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137AEA3C-F549-482D-8EBC-7749D7567C89}" xr6:coauthVersionLast="47" xr6:coauthVersionMax="47" xr10:uidLastSave="{00000000-0000-0000-0000-000000000000}"/>
  <bookViews>
    <workbookView xWindow="-110" yWindow="-110" windowWidth="19420" windowHeight="10420" tabRatio="72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assets'!$C$21:$U$567</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7" l="1"/>
  <c r="O625" i="14" l="1"/>
  <c r="O626" i="14"/>
  <c r="O627" i="14"/>
  <c r="O628" i="14"/>
  <c r="R55" i="16"/>
  <c r="R56" i="16"/>
  <c r="R57" i="16"/>
  <c r="R58" i="16"/>
  <c r="O56" i="16"/>
  <c r="O57" i="16"/>
  <c r="O58" i="16"/>
  <c r="O100" i="16"/>
  <c r="O101" i="16"/>
  <c r="O102" i="16"/>
  <c r="R100" i="16"/>
  <c r="R101" i="16"/>
  <c r="R102" i="16"/>
  <c r="R103" i="16"/>
  <c r="F23" i="17" l="1"/>
  <c r="F24" i="17"/>
  <c r="F25" i="17"/>
  <c r="F26" i="17"/>
  <c r="F27" i="17"/>
  <c r="O408" i="16"/>
  <c r="R408" i="16"/>
  <c r="O409" i="16"/>
  <c r="R409" i="16"/>
  <c r="Q21" i="17" l="1"/>
  <c r="P21" i="17"/>
  <c r="Q21" i="14"/>
  <c r="S21" i="16"/>
  <c r="Q21" i="16"/>
  <c r="R567" i="16"/>
  <c r="R566" i="16"/>
  <c r="R565" i="16"/>
  <c r="R564" i="16"/>
  <c r="R563" i="16"/>
  <c r="R562" i="16"/>
  <c r="R561" i="16"/>
  <c r="R560" i="16"/>
  <c r="R559" i="16"/>
  <c r="R558" i="16"/>
  <c r="R557" i="16"/>
  <c r="R556" i="16"/>
  <c r="R555" i="16"/>
  <c r="R554" i="16"/>
  <c r="R553" i="16"/>
  <c r="R552" i="16"/>
  <c r="R551" i="16"/>
  <c r="R550" i="16"/>
  <c r="R549" i="16"/>
  <c r="R548" i="16"/>
  <c r="R547" i="16"/>
  <c r="R546" i="16"/>
  <c r="R545" i="16"/>
  <c r="R544" i="16"/>
  <c r="R543" i="16"/>
  <c r="R542" i="16"/>
  <c r="R541" i="16"/>
  <c r="R540" i="16"/>
  <c r="R539" i="16"/>
  <c r="R538" i="16"/>
  <c r="R537" i="16"/>
  <c r="R536" i="16"/>
  <c r="R535" i="16"/>
  <c r="R534" i="16"/>
  <c r="R533" i="16"/>
  <c r="R532" i="16"/>
  <c r="R531" i="16"/>
  <c r="R530" i="16"/>
  <c r="R529" i="16"/>
  <c r="R528" i="16"/>
  <c r="R527" i="16"/>
  <c r="R526" i="16"/>
  <c r="R525" i="16"/>
  <c r="R524" i="16"/>
  <c r="R523" i="16"/>
  <c r="R522" i="16"/>
  <c r="R521" i="16"/>
  <c r="R520" i="16"/>
  <c r="R519" i="16"/>
  <c r="R518" i="16"/>
  <c r="R517" i="16"/>
  <c r="R516" i="16"/>
  <c r="R515" i="16"/>
  <c r="R514" i="16"/>
  <c r="R513" i="16"/>
  <c r="R512" i="16"/>
  <c r="R511" i="16"/>
  <c r="R510" i="16"/>
  <c r="R509" i="16"/>
  <c r="R508" i="16"/>
  <c r="R507" i="16"/>
  <c r="R506" i="16"/>
  <c r="R505" i="16"/>
  <c r="R504" i="16"/>
  <c r="R503" i="16"/>
  <c r="R502" i="16"/>
  <c r="R501" i="16"/>
  <c r="R500" i="16"/>
  <c r="R499" i="16"/>
  <c r="R498" i="16"/>
  <c r="R497" i="16"/>
  <c r="R496" i="16"/>
  <c r="R495" i="16"/>
  <c r="R494" i="16"/>
  <c r="R493" i="16"/>
  <c r="R492" i="16"/>
  <c r="R491" i="16"/>
  <c r="R490" i="16"/>
  <c r="R489" i="16"/>
  <c r="R488" i="16"/>
  <c r="R487" i="16"/>
  <c r="R486" i="16"/>
  <c r="R485" i="16"/>
  <c r="R484" i="16"/>
  <c r="R483" i="16"/>
  <c r="R482" i="16"/>
  <c r="R481" i="16"/>
  <c r="R480" i="16"/>
  <c r="R479" i="16"/>
  <c r="R478" i="16"/>
  <c r="R477" i="16"/>
  <c r="R476" i="16"/>
  <c r="R475" i="16"/>
  <c r="R474" i="16"/>
  <c r="R473" i="16"/>
  <c r="R472" i="16"/>
  <c r="R471" i="16"/>
  <c r="R470" i="16"/>
  <c r="R469" i="16"/>
  <c r="R468" i="16"/>
  <c r="R467" i="16"/>
  <c r="R466" i="16"/>
  <c r="R465" i="16"/>
  <c r="R464" i="16"/>
  <c r="R463" i="16"/>
  <c r="R462" i="16"/>
  <c r="R461" i="16"/>
  <c r="R460" i="16"/>
  <c r="R459" i="16"/>
  <c r="R458" i="16"/>
  <c r="R457" i="16"/>
  <c r="R456" i="16"/>
  <c r="R455" i="16"/>
  <c r="R454" i="16"/>
  <c r="R453" i="16"/>
  <c r="R452" i="16"/>
  <c r="R451" i="16"/>
  <c r="R450" i="16"/>
  <c r="R449" i="16"/>
  <c r="R448" i="16"/>
  <c r="R447" i="16"/>
  <c r="R446" i="16"/>
  <c r="R445" i="16"/>
  <c r="R444" i="16"/>
  <c r="R443" i="16"/>
  <c r="R442" i="16"/>
  <c r="R441" i="16"/>
  <c r="R440" i="16"/>
  <c r="R439" i="16"/>
  <c r="R438" i="16"/>
  <c r="R437" i="16"/>
  <c r="R436" i="16"/>
  <c r="R435" i="16"/>
  <c r="R434" i="16"/>
  <c r="R433" i="16"/>
  <c r="R432" i="16"/>
  <c r="R431" i="16"/>
  <c r="R430" i="16"/>
  <c r="R429" i="16"/>
  <c r="R428" i="16"/>
  <c r="R427" i="16"/>
  <c r="R426" i="16"/>
  <c r="R425" i="16"/>
  <c r="R424" i="16"/>
  <c r="R423" i="16"/>
  <c r="R422" i="16"/>
  <c r="R421" i="16"/>
  <c r="R420" i="16"/>
  <c r="R419" i="16"/>
  <c r="R418" i="16"/>
  <c r="R417" i="16"/>
  <c r="R416" i="16"/>
  <c r="R415" i="16"/>
  <c r="R414" i="16"/>
  <c r="R413" i="16"/>
  <c r="R412" i="16"/>
  <c r="R411" i="16"/>
  <c r="R410" i="16"/>
  <c r="R36" i="16"/>
  <c r="R37" i="16"/>
  <c r="R38" i="16"/>
  <c r="R39" i="16"/>
  <c r="R40" i="16"/>
  <c r="R41" i="16"/>
  <c r="R42" i="16"/>
  <c r="R43" i="16"/>
  <c r="R44" i="16"/>
  <c r="R45" i="16"/>
  <c r="R46" i="16"/>
  <c r="R47" i="16"/>
  <c r="R48" i="16"/>
  <c r="R49" i="16"/>
  <c r="R50" i="16"/>
  <c r="R51" i="16"/>
  <c r="R52" i="16"/>
  <c r="R53" i="16"/>
  <c r="R54"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R308" i="16"/>
  <c r="R309" i="16"/>
  <c r="R310" i="16"/>
  <c r="R311" i="16"/>
  <c r="R312" i="16"/>
  <c r="R313" i="16"/>
  <c r="R314" i="16"/>
  <c r="R315" i="16"/>
  <c r="R316" i="16"/>
  <c r="R317" i="16"/>
  <c r="R318" i="16"/>
  <c r="R319" i="16"/>
  <c r="R320" i="16"/>
  <c r="R321" i="16"/>
  <c r="R322" i="16"/>
  <c r="R323" i="16"/>
  <c r="R324" i="16"/>
  <c r="R325" i="16"/>
  <c r="R326" i="16"/>
  <c r="R327" i="16"/>
  <c r="R328" i="16"/>
  <c r="R329" i="16"/>
  <c r="R330" i="16"/>
  <c r="R331" i="16"/>
  <c r="R332" i="16"/>
  <c r="R333" i="16"/>
  <c r="R334" i="16"/>
  <c r="R335" i="16"/>
  <c r="R336" i="16"/>
  <c r="R337" i="16"/>
  <c r="R338" i="16"/>
  <c r="R339" i="16"/>
  <c r="R340" i="16"/>
  <c r="R341" i="16"/>
  <c r="R342" i="16"/>
  <c r="R343" i="16"/>
  <c r="R344" i="16"/>
  <c r="R345" i="16"/>
  <c r="R346" i="16"/>
  <c r="R347" i="16"/>
  <c r="R348" i="16"/>
  <c r="R349" i="16"/>
  <c r="R350" i="16"/>
  <c r="R351" i="16"/>
  <c r="R352" i="16"/>
  <c r="R353" i="16"/>
  <c r="R354" i="16"/>
  <c r="R355" i="16"/>
  <c r="R356" i="16"/>
  <c r="R357" i="16"/>
  <c r="R358" i="16"/>
  <c r="R359" i="16"/>
  <c r="R360" i="16"/>
  <c r="R361" i="16"/>
  <c r="R362" i="16"/>
  <c r="R363" i="16"/>
  <c r="R364" i="16"/>
  <c r="R365" i="16"/>
  <c r="R366" i="16"/>
  <c r="R367" i="16"/>
  <c r="R368" i="16"/>
  <c r="R369" i="16"/>
  <c r="R370" i="16"/>
  <c r="R371" i="16"/>
  <c r="R372" i="16"/>
  <c r="R373" i="16"/>
  <c r="R374" i="16"/>
  <c r="R375" i="16"/>
  <c r="R376" i="16"/>
  <c r="R377" i="16"/>
  <c r="R378" i="16"/>
  <c r="R379" i="16"/>
  <c r="R380" i="16"/>
  <c r="R381" i="16"/>
  <c r="R382" i="16"/>
  <c r="R383" i="16"/>
  <c r="R384" i="16"/>
  <c r="R385" i="16"/>
  <c r="R386" i="16"/>
  <c r="R387" i="16"/>
  <c r="R388" i="16"/>
  <c r="R389" i="16"/>
  <c r="R390" i="16"/>
  <c r="R391" i="16"/>
  <c r="R392" i="16"/>
  <c r="R393" i="16"/>
  <c r="R394" i="16"/>
  <c r="R395" i="16"/>
  <c r="R396" i="16"/>
  <c r="R397" i="16"/>
  <c r="R398" i="16"/>
  <c r="R399" i="16"/>
  <c r="R400" i="16"/>
  <c r="R401" i="16"/>
  <c r="R402" i="16"/>
  <c r="R403" i="16"/>
  <c r="R404" i="16"/>
  <c r="R405" i="16"/>
  <c r="R406" i="16"/>
  <c r="R407" i="16"/>
  <c r="R27" i="16"/>
  <c r="R28" i="16"/>
  <c r="R29" i="16"/>
  <c r="R30" i="16"/>
  <c r="R31" i="16"/>
  <c r="R32" i="16"/>
  <c r="R33" i="16"/>
  <c r="R34" i="16"/>
  <c r="R35" i="16"/>
  <c r="R23" i="16"/>
  <c r="R24" i="16"/>
  <c r="R25" i="16"/>
  <c r="R26" i="16"/>
  <c r="R22"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154" i="14" l="1"/>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30" i="16" l="1"/>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487" i="16"/>
  <c r="F71" i="16"/>
  <c r="F135" i="16"/>
  <c r="F199" i="16"/>
  <c r="F263" i="16"/>
  <c r="F327" i="16"/>
  <c r="F391" i="16"/>
  <c r="F455" i="16"/>
  <c r="F519" i="16"/>
  <c r="F295" i="16"/>
  <c r="F79" i="16"/>
  <c r="F143" i="16"/>
  <c r="F207" i="16"/>
  <c r="F271" i="16"/>
  <c r="F335" i="16"/>
  <c r="F399" i="16"/>
  <c r="F463" i="16"/>
  <c r="F527"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718" i="14"/>
  <c r="F725" i="14"/>
  <c r="F732" i="14"/>
  <c r="F846" i="14"/>
  <c r="F853" i="14"/>
  <c r="F860" i="14"/>
  <c r="F974" i="14"/>
  <c r="F981" i="14"/>
  <c r="F1004" i="14"/>
  <c r="F1016" i="14"/>
  <c r="F1045" i="14"/>
  <c r="F1068" i="14"/>
  <c r="F1080" i="14"/>
  <c r="F1109" i="14"/>
  <c r="F1132" i="14"/>
  <c r="F1144" i="14"/>
  <c r="F766" i="14"/>
  <c r="F773" i="14"/>
  <c r="F780" i="14"/>
  <c r="F894" i="14"/>
  <c r="F901" i="14"/>
  <c r="F908" i="14"/>
  <c r="F993" i="14"/>
  <c r="F1022" i="14"/>
  <c r="F1034" i="14"/>
  <c r="F1057" i="14"/>
  <c r="F1086" i="14"/>
  <c r="F1098" i="14"/>
  <c r="F1121" i="14"/>
  <c r="F1150"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782" i="14"/>
  <c r="F789" i="14"/>
  <c r="F796" i="14"/>
  <c r="F910" i="14"/>
  <c r="F917" i="14"/>
  <c r="F924" i="14"/>
  <c r="F984" i="14"/>
  <c r="F1013" i="14"/>
  <c r="F1036" i="14"/>
  <c r="F1048" i="14"/>
  <c r="F1077" i="14"/>
  <c r="F1100" i="14"/>
  <c r="F1112" i="14"/>
  <c r="F1141" i="14"/>
  <c r="F668" i="14"/>
  <c r="F702" i="14"/>
  <c r="F709" i="14"/>
  <c r="F716" i="14"/>
  <c r="F830" i="14"/>
  <c r="F837" i="14"/>
  <c r="F844" i="14"/>
  <c r="F958" i="14"/>
  <c r="F965" i="14"/>
  <c r="F972" i="14"/>
  <c r="F990" i="14"/>
  <c r="F1002" i="14"/>
  <c r="F1025" i="14"/>
  <c r="F1054" i="14"/>
  <c r="F1066" i="14"/>
  <c r="F1089" i="14"/>
  <c r="F1118" i="14"/>
  <c r="F1130" i="14"/>
  <c r="F1153" i="14"/>
  <c r="F1081" i="14"/>
  <c r="F1052" i="14"/>
  <c r="F1104" i="14"/>
  <c r="F1148" i="14"/>
  <c r="F1017" i="14"/>
  <c r="F1040" i="14"/>
  <c r="F1113" i="14"/>
  <c r="F1084" i="14"/>
  <c r="F1136" i="14"/>
  <c r="F1049" i="14"/>
  <c r="F1072" i="14"/>
  <c r="F1145" i="14"/>
  <c r="F1116" i="14"/>
  <c r="F22" i="16"/>
  <c r="P23" i="17"/>
  <c r="Q23" i="17" s="1" a="1"/>
  <c r="Q23" i="17" s="1"/>
  <c r="F28" i="17"/>
  <c r="F22" i="17"/>
  <c r="Q22" i="17" s="1" a="1"/>
  <c r="Q22" i="17" s="1"/>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Q29" i="17" l="1"/>
  <c r="O41" i="20"/>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Q67" i="20" l="1"/>
  <c r="T67" i="20"/>
  <c r="L69" i="20"/>
  <c r="M69" i="20" s="1"/>
  <c r="E68" i="20"/>
  <c r="T68" i="20" s="1"/>
  <c r="D70" i="20"/>
  <c r="C41" i="19"/>
  <c r="D41" i="19" s="1"/>
  <c r="E69" i="20" s="1"/>
  <c r="Q68" i="20" l="1"/>
  <c r="Q69" i="20"/>
  <c r="T69" i="20"/>
  <c r="L70" i="20"/>
  <c r="M70" i="20" s="1"/>
  <c r="D71" i="20"/>
  <c r="C42" i="19"/>
  <c r="D42" i="19" s="1"/>
  <c r="E70" i="20" s="1"/>
  <c r="Q70" i="20" l="1"/>
  <c r="T70" i="20"/>
  <c r="L71" i="20"/>
  <c r="M71" i="20" s="1"/>
  <c r="C43" i="19"/>
  <c r="D43" i="19" s="1"/>
  <c r="D72" i="20"/>
  <c r="N72" i="20" s="1"/>
  <c r="L72" i="20" l="1"/>
  <c r="M72" i="20" s="1"/>
  <c r="E71" i="20"/>
  <c r="D73" i="20"/>
  <c r="N73" i="20" s="1"/>
  <c r="C44" i="19"/>
  <c r="D44" i="19" s="1"/>
  <c r="Q71" i="20" l="1"/>
  <c r="T71" i="20"/>
  <c r="L73" i="20"/>
  <c r="M73" i="20" s="1"/>
  <c r="E72" i="20"/>
  <c r="C45" i="19"/>
  <c r="D45" i="19" s="1"/>
  <c r="D74" i="20"/>
  <c r="T72" i="20" l="1"/>
  <c r="Q72" i="20"/>
  <c r="Q74" i="20"/>
  <c r="E73" i="20"/>
  <c r="Q73" i="20" s="1"/>
  <c r="L74" i="20"/>
  <c r="M74" i="20" s="1"/>
  <c r="D75" i="20"/>
  <c r="N75" i="20" s="1"/>
  <c r="C46" i="19"/>
  <c r="D46" i="19" s="1"/>
  <c r="E74" i="20" s="1"/>
  <c r="T74" i="20" s="1"/>
  <c r="T73" i="20" l="1"/>
  <c r="L75" i="20"/>
  <c r="M75" i="20" s="1"/>
  <c r="D76" i="20"/>
  <c r="N76" i="20" s="1"/>
  <c r="C47" i="19"/>
  <c r="D47" i="19" s="1"/>
  <c r="E75" i="20" l="1"/>
  <c r="L76" i="20"/>
  <c r="M76" i="20" s="1"/>
  <c r="D77" i="20"/>
  <c r="N77" i="20" s="1"/>
  <c r="C48" i="19"/>
  <c r="D48" i="19" s="1"/>
  <c r="E76" i="20" s="1"/>
  <c r="Q76" i="20" l="1"/>
  <c r="T76" i="20"/>
  <c r="T75" i="20"/>
  <c r="Q75" i="20"/>
  <c r="L77" i="20"/>
  <c r="M77" i="20" s="1"/>
  <c r="D78" i="20"/>
  <c r="N78" i="20" s="1"/>
  <c r="C49" i="19"/>
  <c r="D49" i="19" s="1"/>
  <c r="E77" i="20" s="1"/>
  <c r="T77" i="20" l="1"/>
  <c r="Q77" i="20"/>
  <c r="L78" i="20"/>
  <c r="M78" i="20" s="1"/>
  <c r="D79" i="20"/>
  <c r="N79" i="20" s="1"/>
  <c r="C50" i="19"/>
  <c r="D50" i="19" s="1"/>
  <c r="E78" i="20" s="1"/>
  <c r="T78" i="20" l="1"/>
  <c r="Q78" i="20"/>
  <c r="L79" i="20"/>
  <c r="M79" i="20" s="1"/>
  <c r="C51" i="19"/>
  <c r="D51" i="19" s="1"/>
  <c r="E79" i="20" s="1"/>
  <c r="D80" i="20"/>
  <c r="N80" i="20" s="1"/>
  <c r="Q79" i="20" l="1"/>
  <c r="T79" i="20"/>
  <c r="L80" i="20"/>
  <c r="M80" i="20" s="1"/>
  <c r="D81" i="20"/>
  <c r="N81" i="20" s="1"/>
  <c r="C52" i="19"/>
  <c r="D52" i="19" s="1"/>
  <c r="L81" i="20" l="1"/>
  <c r="M81" i="20" s="1"/>
  <c r="E80" i="20"/>
  <c r="D82" i="20"/>
  <c r="N82" i="20" s="1"/>
  <c r="C53" i="19"/>
  <c r="D53" i="19" s="1"/>
  <c r="E81" i="20" s="1"/>
  <c r="T81" i="20" l="1"/>
  <c r="Q81" i="20"/>
  <c r="T80" i="20"/>
  <c r="Q80" i="20"/>
  <c r="L82" i="20"/>
  <c r="M82" i="20" s="1"/>
  <c r="D83" i="20"/>
  <c r="N83" i="20" s="1"/>
  <c r="C54" i="19"/>
  <c r="D54" i="19" s="1"/>
  <c r="E82" i="20" s="1"/>
  <c r="T82" i="20" l="1"/>
  <c r="Q82" i="20"/>
  <c r="L83" i="20"/>
  <c r="M83" i="20" s="1"/>
  <c r="D84" i="20"/>
  <c r="N84" i="20" s="1"/>
  <c r="C55" i="19"/>
  <c r="D55" i="19" s="1"/>
  <c r="L84" i="20" l="1"/>
  <c r="M84" i="20" s="1"/>
  <c r="E83" i="20"/>
  <c r="D85" i="20"/>
  <c r="N85" i="20" s="1"/>
  <c r="C56" i="19"/>
  <c r="D56" i="19" s="1"/>
  <c r="T83" i="20" l="1"/>
  <c r="Q83" i="20"/>
  <c r="L85" i="20"/>
  <c r="M85" i="20" s="1"/>
  <c r="E84" i="20"/>
  <c r="D86" i="20"/>
  <c r="N86" i="20" s="1"/>
  <c r="C57" i="19"/>
  <c r="D57" i="19" s="1"/>
  <c r="E85" i="20" s="1"/>
  <c r="Q84" i="20" l="1"/>
  <c r="T84" i="20"/>
  <c r="Q85" i="20"/>
  <c r="T85" i="20"/>
  <c r="L86" i="20"/>
  <c r="M86" i="20" s="1"/>
  <c r="D87" i="20"/>
  <c r="N87" i="20" s="1"/>
  <c r="C58" i="19"/>
  <c r="D58" i="19" s="1"/>
  <c r="L87" i="20" l="1"/>
  <c r="M87" i="20" s="1"/>
  <c r="E86" i="20"/>
  <c r="D88" i="20"/>
  <c r="N88" i="20" s="1"/>
  <c r="C59" i="19"/>
  <c r="D59" i="19" s="1"/>
  <c r="E87" i="20" s="1"/>
  <c r="Q87" i="20" l="1"/>
  <c r="T87" i="20"/>
  <c r="T86" i="20"/>
  <c r="Q86" i="20"/>
  <c r="L88" i="20"/>
  <c r="M88" i="20" s="1"/>
  <c r="D89" i="20"/>
  <c r="N89" i="20" s="1"/>
  <c r="C60" i="19"/>
  <c r="D60" i="19" s="1"/>
  <c r="E88" i="20" s="1"/>
  <c r="Q88" i="20" l="1"/>
  <c r="T88" i="20"/>
  <c r="L89" i="20"/>
  <c r="M89" i="20" s="1"/>
  <c r="C61" i="19"/>
  <c r="D61" i="19" s="1"/>
  <c r="E89" i="20" s="1"/>
  <c r="D90" i="20"/>
  <c r="N90" i="20" s="1"/>
  <c r="T89" i="20" l="1"/>
  <c r="Q89" i="20"/>
  <c r="L90" i="20"/>
  <c r="M90" i="20" s="1"/>
  <c r="D91" i="20"/>
  <c r="N91" i="20" s="1"/>
  <c r="C62" i="19"/>
  <c r="D62" i="19" s="1"/>
  <c r="E90" i="20" s="1"/>
  <c r="Q90" i="20" l="1"/>
  <c r="T90" i="20"/>
  <c r="L91" i="20"/>
  <c r="M91" i="20" s="1"/>
  <c r="D92" i="20"/>
  <c r="N92" i="20" s="1"/>
  <c r="C63" i="19"/>
  <c r="D63" i="19" s="1"/>
  <c r="E91" i="20" s="1"/>
  <c r="T91" i="20" l="1"/>
  <c r="Q91" i="20"/>
  <c r="L92" i="20"/>
  <c r="M92" i="20" s="1"/>
  <c r="D93" i="20"/>
  <c r="N93" i="20" s="1"/>
  <c r="C64" i="19"/>
  <c r="D64" i="19" s="1"/>
  <c r="L93" i="20" l="1"/>
  <c r="M93" i="20" s="1"/>
  <c r="E92" i="20"/>
  <c r="D94" i="20"/>
  <c r="C65" i="19"/>
  <c r="D65" i="19" s="1"/>
  <c r="E93" i="20" s="1"/>
  <c r="Q93" i="20" l="1"/>
  <c r="T93" i="20"/>
  <c r="Q92" i="20"/>
  <c r="T92" i="20"/>
  <c r="N94" i="20"/>
  <c r="L94" i="20"/>
  <c r="M94" i="20" s="1"/>
  <c r="C66" i="19"/>
  <c r="D95" i="20"/>
  <c r="N95" i="20" l="1"/>
  <c r="D66" i="19"/>
  <c r="E94" i="20" s="1"/>
  <c r="L95" i="20"/>
  <c r="M95" i="20" s="1"/>
  <c r="D96" i="20"/>
  <c r="C67" i="19"/>
  <c r="T94" i="20" l="1"/>
  <c r="Q94" i="20"/>
  <c r="N96" i="20"/>
  <c r="D67" i="19"/>
  <c r="E95" i="20" s="1"/>
  <c r="L96" i="20"/>
  <c r="M96" i="20" s="1"/>
  <c r="C68" i="19"/>
  <c r="D68" i="19" s="1"/>
  <c r="E96" i="20" s="1"/>
  <c r="D97" i="20"/>
  <c r="T96" i="20" l="1"/>
  <c r="Q96" i="20"/>
  <c r="T95" i="20"/>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P67" i="16" s="1"/>
  <c r="J75" i="16"/>
  <c r="P75" i="16" s="1"/>
  <c r="J83" i="16"/>
  <c r="P83" i="16" s="1"/>
  <c r="J91" i="16"/>
  <c r="J99" i="16"/>
  <c r="J107" i="16"/>
  <c r="J115" i="16"/>
  <c r="J123" i="16"/>
  <c r="J131" i="16"/>
  <c r="P131" i="16" s="1"/>
  <c r="J139" i="16"/>
  <c r="P139" i="16" s="1"/>
  <c r="J147" i="16"/>
  <c r="P147" i="16" s="1"/>
  <c r="J155" i="16"/>
  <c r="J163" i="16"/>
  <c r="J171" i="16"/>
  <c r="J179" i="16"/>
  <c r="J187" i="16"/>
  <c r="J195" i="16"/>
  <c r="P195" i="16" s="1"/>
  <c r="J203" i="16"/>
  <c r="J211" i="16"/>
  <c r="P211" i="16" s="1"/>
  <c r="J219" i="16"/>
  <c r="J227" i="16"/>
  <c r="J235" i="16"/>
  <c r="J243" i="16"/>
  <c r="J251" i="16"/>
  <c r="J259" i="16"/>
  <c r="P259" i="16" s="1"/>
  <c r="J267" i="16"/>
  <c r="P267" i="16" s="1"/>
  <c r="J275" i="16"/>
  <c r="P275" i="16" s="1"/>
  <c r="J283" i="16"/>
  <c r="J291" i="16"/>
  <c r="J299" i="16"/>
  <c r="J307" i="16"/>
  <c r="J315" i="16"/>
  <c r="J323" i="16"/>
  <c r="P323" i="16" s="1"/>
  <c r="J331" i="16"/>
  <c r="P331" i="16" s="1"/>
  <c r="J339" i="16"/>
  <c r="P339" i="16" s="1"/>
  <c r="J347" i="16"/>
  <c r="J355" i="16"/>
  <c r="J363" i="16"/>
  <c r="J371" i="16"/>
  <c r="J379" i="16"/>
  <c r="J387" i="16"/>
  <c r="P387" i="16" s="1"/>
  <c r="J395" i="16"/>
  <c r="P395" i="16" s="1"/>
  <c r="J403" i="16"/>
  <c r="P403" i="16" s="1"/>
  <c r="J411" i="16"/>
  <c r="J419" i="16"/>
  <c r="J427" i="16"/>
  <c r="J435" i="16"/>
  <c r="J443" i="16"/>
  <c r="J451" i="16"/>
  <c r="J459" i="16"/>
  <c r="J467" i="16"/>
  <c r="J475" i="16"/>
  <c r="J483" i="16"/>
  <c r="J491" i="16"/>
  <c r="J499" i="16"/>
  <c r="J507" i="16"/>
  <c r="J515" i="16"/>
  <c r="P515" i="16" s="1"/>
  <c r="J523" i="16"/>
  <c r="P523" i="16" s="1"/>
  <c r="J531" i="16"/>
  <c r="P531" i="16" s="1"/>
  <c r="J539" i="16"/>
  <c r="J547" i="16"/>
  <c r="J555" i="16"/>
  <c r="J563" i="16"/>
  <c r="J22" i="16"/>
  <c r="J30" i="16"/>
  <c r="P30" i="16" s="1"/>
  <c r="J38" i="16"/>
  <c r="P38" i="16" s="1"/>
  <c r="J46" i="16"/>
  <c r="P46" i="16" s="1"/>
  <c r="J54" i="16"/>
  <c r="J62" i="16"/>
  <c r="J70" i="16"/>
  <c r="J78" i="16"/>
  <c r="J86" i="16"/>
  <c r="J94" i="16"/>
  <c r="P94" i="16" s="1"/>
  <c r="J102" i="16"/>
  <c r="P102" i="16" s="1"/>
  <c r="J110" i="16"/>
  <c r="P110" i="16" s="1"/>
  <c r="J118" i="16"/>
  <c r="J126" i="16"/>
  <c r="J134" i="16"/>
  <c r="J142" i="16"/>
  <c r="J150" i="16"/>
  <c r="J158" i="16"/>
  <c r="P158" i="16" s="1"/>
  <c r="J166" i="16"/>
  <c r="P166" i="16" s="1"/>
  <c r="J174" i="16"/>
  <c r="P174" i="16" s="1"/>
  <c r="J182" i="16"/>
  <c r="J190" i="16"/>
  <c r="J198" i="16"/>
  <c r="J206" i="16"/>
  <c r="J214" i="16"/>
  <c r="J222" i="16"/>
  <c r="J230" i="16"/>
  <c r="P230" i="16" s="1"/>
  <c r="J238" i="16"/>
  <c r="P238" i="16" s="1"/>
  <c r="J246" i="16"/>
  <c r="J254" i="16"/>
  <c r="J262" i="16"/>
  <c r="J270" i="16"/>
  <c r="J278" i="16"/>
  <c r="J286" i="16"/>
  <c r="P286" i="16" s="1"/>
  <c r="J294" i="16"/>
  <c r="J302" i="16"/>
  <c r="P302" i="16" s="1"/>
  <c r="J310" i="16"/>
  <c r="J318" i="16"/>
  <c r="J326" i="16"/>
  <c r="J334" i="16"/>
  <c r="J342" i="16"/>
  <c r="J350" i="16"/>
  <c r="P350" i="16" s="1"/>
  <c r="J358" i="16"/>
  <c r="P358" i="16" s="1"/>
  <c r="J366" i="16"/>
  <c r="P366" i="16" s="1"/>
  <c r="J374" i="16"/>
  <c r="J382" i="16"/>
  <c r="J390" i="16"/>
  <c r="J398" i="16"/>
  <c r="J406" i="16"/>
  <c r="J414" i="16"/>
  <c r="P414" i="16" s="1"/>
  <c r="J422" i="16"/>
  <c r="P422" i="16" s="1"/>
  <c r="J430" i="16"/>
  <c r="P430" i="16" s="1"/>
  <c r="J438" i="16"/>
  <c r="J446" i="16"/>
  <c r="J454" i="16"/>
  <c r="J462" i="16"/>
  <c r="J470" i="16"/>
  <c r="J478" i="16"/>
  <c r="J486" i="16"/>
  <c r="J494" i="16"/>
  <c r="J502" i="16"/>
  <c r="J510" i="16"/>
  <c r="J518" i="16"/>
  <c r="J526" i="16"/>
  <c r="J534" i="16"/>
  <c r="J542" i="16"/>
  <c r="J550" i="16"/>
  <c r="J558" i="16"/>
  <c r="J566" i="16"/>
  <c r="J23" i="16"/>
  <c r="J31" i="16"/>
  <c r="J39" i="16"/>
  <c r="J47" i="16"/>
  <c r="J55" i="16"/>
  <c r="P55" i="16" s="1"/>
  <c r="J63" i="16"/>
  <c r="P63" i="16" s="1"/>
  <c r="J71" i="16"/>
  <c r="P71" i="16" s="1"/>
  <c r="J79" i="16"/>
  <c r="J87" i="16"/>
  <c r="J95" i="16"/>
  <c r="J103" i="16"/>
  <c r="J111" i="16"/>
  <c r="J119" i="16"/>
  <c r="P119" i="16" s="1"/>
  <c r="J127" i="16"/>
  <c r="P127" i="16" s="1"/>
  <c r="J135" i="16"/>
  <c r="P135" i="16" s="1"/>
  <c r="J143" i="16"/>
  <c r="J151" i="16"/>
  <c r="J159" i="16"/>
  <c r="J167" i="16"/>
  <c r="J175" i="16"/>
  <c r="J183" i="16"/>
  <c r="P183" i="16" s="1"/>
  <c r="J191" i="16"/>
  <c r="P191" i="16" s="1"/>
  <c r="J199" i="16"/>
  <c r="P199" i="16" s="1"/>
  <c r="J207" i="16"/>
  <c r="J215" i="16"/>
  <c r="J223" i="16"/>
  <c r="J231" i="16"/>
  <c r="J239" i="16"/>
  <c r="J247" i="16"/>
  <c r="P247" i="16" s="1"/>
  <c r="J255" i="16"/>
  <c r="P255" i="16" s="1"/>
  <c r="J263" i="16"/>
  <c r="P263" i="16" s="1"/>
  <c r="J271" i="16"/>
  <c r="J279" i="16"/>
  <c r="J287" i="16"/>
  <c r="J295" i="16"/>
  <c r="J303" i="16"/>
  <c r="J311" i="16"/>
  <c r="P311" i="16" s="1"/>
  <c r="J319" i="16"/>
  <c r="P319" i="16" s="1"/>
  <c r="J327" i="16"/>
  <c r="P327" i="16" s="1"/>
  <c r="J335" i="16"/>
  <c r="J343" i="16"/>
  <c r="J351" i="16"/>
  <c r="J359" i="16"/>
  <c r="J367" i="16"/>
  <c r="J375" i="16"/>
  <c r="P375" i="16" s="1"/>
  <c r="J383" i="16"/>
  <c r="P383" i="16" s="1"/>
  <c r="J391" i="16"/>
  <c r="P391" i="16" s="1"/>
  <c r="J399" i="16"/>
  <c r="J407" i="16"/>
  <c r="J415" i="16"/>
  <c r="J423" i="16"/>
  <c r="J431" i="16"/>
  <c r="J439" i="16"/>
  <c r="P439" i="16" s="1"/>
  <c r="J447" i="16"/>
  <c r="J455" i="16"/>
  <c r="J463" i="16"/>
  <c r="J471" i="16"/>
  <c r="J479" i="16"/>
  <c r="J487" i="16"/>
  <c r="J495" i="16"/>
  <c r="J503" i="16"/>
  <c r="P503" i="16" s="1"/>
  <c r="J511" i="16"/>
  <c r="P511" i="16" s="1"/>
  <c r="J519" i="16"/>
  <c r="P519" i="16" s="1"/>
  <c r="J527" i="16"/>
  <c r="J535" i="16"/>
  <c r="J543" i="16"/>
  <c r="J551" i="16"/>
  <c r="J559" i="16"/>
  <c r="J567" i="16"/>
  <c r="J26" i="16"/>
  <c r="P26" i="16" s="1"/>
  <c r="J34" i="16"/>
  <c r="P34" i="16" s="1"/>
  <c r="J42" i="16"/>
  <c r="J50" i="16"/>
  <c r="J58" i="16"/>
  <c r="J66" i="16"/>
  <c r="J74" i="16"/>
  <c r="J82" i="16"/>
  <c r="P82" i="16" s="1"/>
  <c r="J90" i="16"/>
  <c r="P90" i="16" s="1"/>
  <c r="J98" i="16"/>
  <c r="P98" i="16" s="1"/>
  <c r="J106" i="16"/>
  <c r="J114" i="16"/>
  <c r="J122" i="16"/>
  <c r="J130" i="16"/>
  <c r="J138" i="16"/>
  <c r="J146" i="16"/>
  <c r="P146" i="16" s="1"/>
  <c r="J154" i="16"/>
  <c r="P154" i="16" s="1"/>
  <c r="J162" i="16"/>
  <c r="P162" i="16" s="1"/>
  <c r="J170" i="16"/>
  <c r="J178" i="16"/>
  <c r="J186" i="16"/>
  <c r="J194" i="16"/>
  <c r="J202" i="16"/>
  <c r="J210" i="16"/>
  <c r="P210" i="16" s="1"/>
  <c r="J218" i="16"/>
  <c r="P218" i="16" s="1"/>
  <c r="J226" i="16"/>
  <c r="P226" i="16" s="1"/>
  <c r="J234" i="16"/>
  <c r="J242" i="16"/>
  <c r="J250" i="16"/>
  <c r="J258" i="16"/>
  <c r="J266" i="16"/>
  <c r="J274" i="16"/>
  <c r="P274" i="16" s="1"/>
  <c r="J282" i="16"/>
  <c r="P282" i="16" s="1"/>
  <c r="J290" i="16"/>
  <c r="P290" i="16" s="1"/>
  <c r="J298" i="16"/>
  <c r="J306" i="16"/>
  <c r="J314" i="16"/>
  <c r="J322" i="16"/>
  <c r="J330" i="16"/>
  <c r="J338" i="16"/>
  <c r="P338" i="16" s="1"/>
  <c r="J346" i="16"/>
  <c r="P346" i="16" s="1"/>
  <c r="J354" i="16"/>
  <c r="P354" i="16" s="1"/>
  <c r="J362" i="16"/>
  <c r="J370" i="16"/>
  <c r="J378" i="16"/>
  <c r="J386" i="16"/>
  <c r="J394" i="16"/>
  <c r="J402" i="16"/>
  <c r="P402" i="16" s="1"/>
  <c r="J410" i="16"/>
  <c r="P410" i="16" s="1"/>
  <c r="J418" i="16"/>
  <c r="P418" i="16" s="1"/>
  <c r="J426" i="16"/>
  <c r="J434" i="16"/>
  <c r="J442" i="16"/>
  <c r="J450" i="16"/>
  <c r="J458" i="16"/>
  <c r="J466" i="16"/>
  <c r="J474" i="16"/>
  <c r="J482" i="16"/>
  <c r="J490" i="16"/>
  <c r="J498" i="16"/>
  <c r="J506" i="16"/>
  <c r="J514" i="16"/>
  <c r="J522" i="16"/>
  <c r="J530" i="16"/>
  <c r="P530" i="16" s="1"/>
  <c r="J538" i="16"/>
  <c r="J546" i="16"/>
  <c r="J554" i="16"/>
  <c r="J562" i="16"/>
  <c r="J36" i="16"/>
  <c r="J52" i="16"/>
  <c r="J68" i="16"/>
  <c r="J84" i="16"/>
  <c r="P84" i="16" s="1"/>
  <c r="J100" i="16"/>
  <c r="P100" i="16" s="1"/>
  <c r="J116" i="16"/>
  <c r="P116" i="16" s="1"/>
  <c r="J132" i="16"/>
  <c r="J148" i="16"/>
  <c r="J164" i="16"/>
  <c r="J180" i="16"/>
  <c r="J196" i="16"/>
  <c r="J212" i="16"/>
  <c r="P212" i="16" s="1"/>
  <c r="J228" i="16"/>
  <c r="J244" i="16"/>
  <c r="P244" i="16" s="1"/>
  <c r="J260" i="16"/>
  <c r="J276" i="16"/>
  <c r="J292" i="16"/>
  <c r="J308" i="16"/>
  <c r="J324" i="16"/>
  <c r="J340" i="16"/>
  <c r="P340" i="16" s="1"/>
  <c r="J356" i="16"/>
  <c r="P356" i="16" s="1"/>
  <c r="J372" i="16"/>
  <c r="P372" i="16" s="1"/>
  <c r="J388" i="16"/>
  <c r="J404" i="16"/>
  <c r="J420" i="16"/>
  <c r="J436" i="16"/>
  <c r="J452" i="16"/>
  <c r="J468" i="16"/>
  <c r="J484" i="16"/>
  <c r="J500" i="16"/>
  <c r="J516" i="16"/>
  <c r="J532" i="16"/>
  <c r="J548" i="16"/>
  <c r="J564" i="16"/>
  <c r="J24" i="16"/>
  <c r="J40" i="16"/>
  <c r="P40" i="16" s="1"/>
  <c r="J56" i="16"/>
  <c r="P56" i="16" s="1"/>
  <c r="J72" i="16"/>
  <c r="P72" i="16" s="1"/>
  <c r="J88" i="16"/>
  <c r="J104" i="16"/>
  <c r="J120" i="16"/>
  <c r="J136" i="16"/>
  <c r="P136" i="16" s="1"/>
  <c r="J152" i="16"/>
  <c r="J168" i="16"/>
  <c r="P168" i="16" s="1"/>
  <c r="J184" i="16"/>
  <c r="P184" i="16" s="1"/>
  <c r="J200" i="16"/>
  <c r="P200" i="16" s="1"/>
  <c r="J216" i="16"/>
  <c r="J232" i="16"/>
  <c r="J248" i="16"/>
  <c r="J264" i="16"/>
  <c r="P264" i="16" s="1"/>
  <c r="J280" i="16"/>
  <c r="J296" i="16"/>
  <c r="P296" i="16" s="1"/>
  <c r="J312" i="16"/>
  <c r="P312" i="16" s="1"/>
  <c r="J328" i="16"/>
  <c r="P328" i="16" s="1"/>
  <c r="J344" i="16"/>
  <c r="J360" i="16"/>
  <c r="J376" i="16"/>
  <c r="J392" i="16"/>
  <c r="P392" i="16" s="1"/>
  <c r="J408" i="16"/>
  <c r="J424" i="16"/>
  <c r="P424" i="16" s="1"/>
  <c r="J440" i="16"/>
  <c r="J456" i="16"/>
  <c r="J472" i="16"/>
  <c r="J488" i="16"/>
  <c r="J504" i="16"/>
  <c r="J520" i="16"/>
  <c r="P520" i="16" s="1"/>
  <c r="J536" i="16"/>
  <c r="J552" i="16"/>
  <c r="J25" i="16"/>
  <c r="P25" i="16" s="1"/>
  <c r="J41" i="16"/>
  <c r="P41" i="16" s="1"/>
  <c r="J57" i="16"/>
  <c r="J73" i="16"/>
  <c r="J89" i="16"/>
  <c r="J105" i="16"/>
  <c r="J121" i="16"/>
  <c r="J137" i="16"/>
  <c r="P137" i="16" s="1"/>
  <c r="J153" i="16"/>
  <c r="P153" i="16" s="1"/>
  <c r="J169" i="16"/>
  <c r="P169" i="16" s="1"/>
  <c r="J185" i="16"/>
  <c r="J201" i="16"/>
  <c r="J217" i="16"/>
  <c r="J233" i="16"/>
  <c r="J249" i="16"/>
  <c r="J265" i="16"/>
  <c r="P265" i="16" s="1"/>
  <c r="J281" i="16"/>
  <c r="P281" i="16" s="1"/>
  <c r="J297" i="16"/>
  <c r="P297" i="16" s="1"/>
  <c r="J313" i="16"/>
  <c r="J329" i="16"/>
  <c r="J345" i="16"/>
  <c r="J361" i="16"/>
  <c r="J377" i="16"/>
  <c r="J393" i="16"/>
  <c r="P393" i="16" s="1"/>
  <c r="J409" i="16"/>
  <c r="P409" i="16" s="1"/>
  <c r="J425" i="16"/>
  <c r="P425" i="16" s="1"/>
  <c r="J441" i="16"/>
  <c r="J457" i="16"/>
  <c r="J473" i="16"/>
  <c r="J489" i="16"/>
  <c r="J505" i="16"/>
  <c r="J521" i="16"/>
  <c r="P521" i="16" s="1"/>
  <c r="J537" i="16"/>
  <c r="J553" i="16"/>
  <c r="J28" i="16"/>
  <c r="J44" i="16"/>
  <c r="J60" i="16"/>
  <c r="J76" i="16"/>
  <c r="J92" i="16"/>
  <c r="P92" i="16" s="1"/>
  <c r="J108" i="16"/>
  <c r="P108" i="16" s="1"/>
  <c r="J124" i="16"/>
  <c r="J140" i="16"/>
  <c r="P140" i="16" s="1"/>
  <c r="J156" i="16"/>
  <c r="J172" i="16"/>
  <c r="J188" i="16"/>
  <c r="J204" i="16"/>
  <c r="J220" i="16"/>
  <c r="P220" i="16" s="1"/>
  <c r="J236" i="16"/>
  <c r="P236" i="16" s="1"/>
  <c r="J252" i="16"/>
  <c r="J268" i="16"/>
  <c r="P268" i="16" s="1"/>
  <c r="J284" i="16"/>
  <c r="J300" i="16"/>
  <c r="J316" i="16"/>
  <c r="J332" i="16"/>
  <c r="J348" i="16"/>
  <c r="P348" i="16" s="1"/>
  <c r="J364" i="16"/>
  <c r="P364" i="16" s="1"/>
  <c r="J380" i="16"/>
  <c r="P380" i="16" s="1"/>
  <c r="J396" i="16"/>
  <c r="P396" i="16" s="1"/>
  <c r="J412" i="16"/>
  <c r="J428" i="16"/>
  <c r="J444" i="16"/>
  <c r="J460" i="16"/>
  <c r="J476" i="16"/>
  <c r="J492" i="16"/>
  <c r="J508" i="16"/>
  <c r="P508" i="16" s="1"/>
  <c r="J524" i="16"/>
  <c r="P524" i="16" s="1"/>
  <c r="J540" i="16"/>
  <c r="J556" i="16"/>
  <c r="J29" i="16"/>
  <c r="J45" i="16"/>
  <c r="J61" i="16"/>
  <c r="J77" i="16"/>
  <c r="P77" i="16" s="1"/>
  <c r="J93" i="16"/>
  <c r="J109" i="16"/>
  <c r="P109" i="16" s="1"/>
  <c r="J125" i="16"/>
  <c r="J141" i="16"/>
  <c r="P141" i="16" s="1"/>
  <c r="J157" i="16"/>
  <c r="J173" i="16"/>
  <c r="J189" i="16"/>
  <c r="J205" i="16"/>
  <c r="P205" i="16" s="1"/>
  <c r="J221" i="16"/>
  <c r="P221" i="16" s="1"/>
  <c r="J237" i="16"/>
  <c r="P237" i="16" s="1"/>
  <c r="J253" i="16"/>
  <c r="J269" i="16"/>
  <c r="P269" i="16" s="1"/>
  <c r="J285" i="16"/>
  <c r="J301" i="16"/>
  <c r="J317" i="16"/>
  <c r="J333" i="16"/>
  <c r="P333" i="16" s="1"/>
  <c r="J349" i="16"/>
  <c r="P349" i="16" s="1"/>
  <c r="J365" i="16"/>
  <c r="P365" i="16" s="1"/>
  <c r="J381" i="16"/>
  <c r="J397" i="16"/>
  <c r="P397" i="16" s="1"/>
  <c r="J413" i="16"/>
  <c r="J429" i="16"/>
  <c r="J445" i="16"/>
  <c r="J461" i="16"/>
  <c r="J477" i="16"/>
  <c r="J493" i="16"/>
  <c r="J509" i="16"/>
  <c r="J525" i="16"/>
  <c r="P525" i="16" s="1"/>
  <c r="J541" i="16"/>
  <c r="J557" i="16"/>
  <c r="J64" i="16"/>
  <c r="J101" i="16"/>
  <c r="P101" i="16" s="1"/>
  <c r="J145" i="16"/>
  <c r="P145" i="16" s="1"/>
  <c r="J192" i="16"/>
  <c r="P192" i="16" s="1"/>
  <c r="J229" i="16"/>
  <c r="J273" i="16"/>
  <c r="J320" i="16"/>
  <c r="J357" i="16"/>
  <c r="J401" i="16"/>
  <c r="J448" i="16"/>
  <c r="J485" i="16"/>
  <c r="J529" i="16"/>
  <c r="P529" i="16" s="1"/>
  <c r="J65" i="16"/>
  <c r="J112" i="16"/>
  <c r="J32" i="16"/>
  <c r="J69" i="16"/>
  <c r="J113" i="16"/>
  <c r="J33" i="16"/>
  <c r="P33" i="16" s="1"/>
  <c r="J80" i="16"/>
  <c r="J117" i="16"/>
  <c r="P117" i="16" s="1"/>
  <c r="J161" i="16"/>
  <c r="J208" i="16"/>
  <c r="J245" i="16"/>
  <c r="J289" i="16"/>
  <c r="J336" i="16"/>
  <c r="J373" i="16"/>
  <c r="P373" i="16" s="1"/>
  <c r="J417" i="16"/>
  <c r="J464" i="16"/>
  <c r="J501" i="16"/>
  <c r="J545" i="16"/>
  <c r="J37" i="16"/>
  <c r="J81" i="16"/>
  <c r="J128" i="16"/>
  <c r="J165" i="16"/>
  <c r="P165" i="16" s="1"/>
  <c r="J209" i="16"/>
  <c r="J256" i="16"/>
  <c r="P256" i="16" s="1"/>
  <c r="J293" i="16"/>
  <c r="J337" i="16"/>
  <c r="J384" i="16"/>
  <c r="J421" i="16"/>
  <c r="J465" i="16"/>
  <c r="J512" i="16"/>
  <c r="P512" i="16" s="1"/>
  <c r="J549" i="16"/>
  <c r="J48" i="16"/>
  <c r="P48" i="16" s="1"/>
  <c r="J85" i="16"/>
  <c r="J129" i="16"/>
  <c r="J176" i="16"/>
  <c r="J213" i="16"/>
  <c r="J257" i="16"/>
  <c r="P257" i="16" s="1"/>
  <c r="J304" i="16"/>
  <c r="P304" i="16" s="1"/>
  <c r="J341" i="16"/>
  <c r="J385" i="16"/>
  <c r="P385" i="16" s="1"/>
  <c r="J432" i="16"/>
  <c r="J469" i="16"/>
  <c r="J513" i="16"/>
  <c r="J560" i="16"/>
  <c r="J49" i="16"/>
  <c r="P49" i="16" s="1"/>
  <c r="J96" i="16"/>
  <c r="P96" i="16" s="1"/>
  <c r="J133" i="16"/>
  <c r="J177" i="16"/>
  <c r="P177" i="16" s="1"/>
  <c r="J224" i="16"/>
  <c r="J261" i="16"/>
  <c r="J305" i="16"/>
  <c r="J352" i="16"/>
  <c r="J389" i="16"/>
  <c r="P389" i="16" s="1"/>
  <c r="J433" i="16"/>
  <c r="P433" i="16" s="1"/>
  <c r="J480" i="16"/>
  <c r="J517" i="16"/>
  <c r="P517" i="16" s="1"/>
  <c r="J561" i="16"/>
  <c r="J193" i="16"/>
  <c r="J309" i="16"/>
  <c r="J416" i="16"/>
  <c r="J533" i="16"/>
  <c r="P533" i="16" s="1"/>
  <c r="J197" i="16"/>
  <c r="P197" i="16" s="1"/>
  <c r="J53" i="16"/>
  <c r="P53" i="16" s="1"/>
  <c r="J97" i="16"/>
  <c r="P97" i="16" s="1"/>
  <c r="J240" i="16"/>
  <c r="J353" i="16"/>
  <c r="J453" i="16"/>
  <c r="J144" i="16"/>
  <c r="J241" i="16"/>
  <c r="J368" i="16"/>
  <c r="P368" i="16" s="1"/>
  <c r="J481" i="16"/>
  <c r="J149" i="16"/>
  <c r="P149" i="16" s="1"/>
  <c r="J272" i="16"/>
  <c r="J369" i="16"/>
  <c r="J496" i="16"/>
  <c r="J160" i="16"/>
  <c r="J277" i="16"/>
  <c r="J400" i="16"/>
  <c r="P400" i="16" s="1"/>
  <c r="J497" i="16"/>
  <c r="J449" i="16"/>
  <c r="J225" i="16"/>
  <c r="J544" i="16"/>
  <c r="J288" i="16"/>
  <c r="P288" i="16" s="1"/>
  <c r="J565" i="16"/>
  <c r="J321" i="16"/>
  <c r="J325" i="16"/>
  <c r="P325" i="16" s="1"/>
  <c r="J29" i="14"/>
  <c r="J37" i="14"/>
  <c r="P37" i="14" s="1"/>
  <c r="J45" i="14"/>
  <c r="J53" i="14"/>
  <c r="J61" i="14"/>
  <c r="J69" i="14"/>
  <c r="P69" i="14" s="1"/>
  <c r="J77" i="14"/>
  <c r="J85" i="14"/>
  <c r="P85" i="14" s="1"/>
  <c r="J93" i="14"/>
  <c r="J101" i="14"/>
  <c r="P101" i="14" s="1"/>
  <c r="J109" i="14"/>
  <c r="J117" i="14"/>
  <c r="J125" i="14"/>
  <c r="J133" i="14"/>
  <c r="J141" i="14"/>
  <c r="J149" i="14"/>
  <c r="P149" i="14" s="1"/>
  <c r="J157" i="14"/>
  <c r="P157" i="14" s="1"/>
  <c r="J165" i="14"/>
  <c r="P165" i="14" s="1"/>
  <c r="J173" i="14"/>
  <c r="J181" i="14"/>
  <c r="J189" i="14"/>
  <c r="J197" i="14"/>
  <c r="J205" i="14"/>
  <c r="J213" i="14"/>
  <c r="J221" i="14"/>
  <c r="P221" i="14" s="1"/>
  <c r="J229" i="14"/>
  <c r="P229" i="14" s="1"/>
  <c r="J237" i="14"/>
  <c r="J245" i="14"/>
  <c r="J22" i="14"/>
  <c r="J30" i="14"/>
  <c r="P30" i="14" s="1"/>
  <c r="J38" i="14"/>
  <c r="J46" i="14"/>
  <c r="P46" i="14" s="1"/>
  <c r="J54" i="14"/>
  <c r="P54" i="14" s="1"/>
  <c r="J62" i="14"/>
  <c r="P62" i="14" s="1"/>
  <c r="J70" i="14"/>
  <c r="J78" i="14"/>
  <c r="J86" i="14"/>
  <c r="J94" i="14"/>
  <c r="P94" i="14" s="1"/>
  <c r="J102" i="14"/>
  <c r="J110" i="14"/>
  <c r="P110" i="14" s="1"/>
  <c r="J118" i="14"/>
  <c r="P118" i="14" s="1"/>
  <c r="J126" i="14"/>
  <c r="P126" i="14" s="1"/>
  <c r="J134" i="14"/>
  <c r="J142" i="14"/>
  <c r="J150" i="14"/>
  <c r="J158" i="14"/>
  <c r="J166" i="14"/>
  <c r="J174" i="14"/>
  <c r="P174" i="14" s="1"/>
  <c r="J182" i="14"/>
  <c r="P182" i="14" s="1"/>
  <c r="J190" i="14"/>
  <c r="P190" i="14" s="1"/>
  <c r="J198" i="14"/>
  <c r="J206" i="14"/>
  <c r="J214" i="14"/>
  <c r="J222" i="14"/>
  <c r="J230" i="14"/>
  <c r="J238" i="14"/>
  <c r="P238" i="14" s="1"/>
  <c r="J246" i="14"/>
  <c r="P246" i="14" s="1"/>
  <c r="J181" i="16"/>
  <c r="P181" i="16" s="1"/>
  <c r="J23" i="14"/>
  <c r="J31" i="14"/>
  <c r="J39" i="14"/>
  <c r="J47" i="14"/>
  <c r="P47" i="14" s="1"/>
  <c r="J55" i="14"/>
  <c r="J63" i="14"/>
  <c r="P63" i="14" s="1"/>
  <c r="J71" i="14"/>
  <c r="J79" i="14"/>
  <c r="P79" i="14" s="1"/>
  <c r="J87" i="14"/>
  <c r="J95" i="14"/>
  <c r="J103" i="14"/>
  <c r="J111" i="14"/>
  <c r="P111" i="14" s="1"/>
  <c r="J119" i="14"/>
  <c r="J127" i="14"/>
  <c r="P127" i="14" s="1"/>
  <c r="J135" i="14"/>
  <c r="P135" i="14" s="1"/>
  <c r="J143" i="14"/>
  <c r="P143" i="14" s="1"/>
  <c r="J151" i="14"/>
  <c r="J159" i="14"/>
  <c r="J167" i="14"/>
  <c r="J175" i="14"/>
  <c r="P175" i="14" s="1"/>
  <c r="J183" i="14"/>
  <c r="J191" i="14"/>
  <c r="P191" i="14" s="1"/>
  <c r="J199" i="14"/>
  <c r="P199" i="14" s="1"/>
  <c r="J207" i="14"/>
  <c r="P207" i="14" s="1"/>
  <c r="J215" i="14"/>
  <c r="J223" i="14"/>
  <c r="J231" i="14"/>
  <c r="J239" i="14"/>
  <c r="P239" i="14" s="1"/>
  <c r="J405" i="16"/>
  <c r="J24" i="14"/>
  <c r="J32" i="14"/>
  <c r="P32" i="14" s="1"/>
  <c r="J40" i="14"/>
  <c r="P40" i="14" s="1"/>
  <c r="J48" i="14"/>
  <c r="J56" i="14"/>
  <c r="J64" i="14"/>
  <c r="J72" i="14"/>
  <c r="J80" i="14"/>
  <c r="J88" i="14"/>
  <c r="P88" i="14" s="1"/>
  <c r="J96" i="14"/>
  <c r="P96" i="14" s="1"/>
  <c r="J104" i="14"/>
  <c r="P104" i="14" s="1"/>
  <c r="J112" i="14"/>
  <c r="J120" i="14"/>
  <c r="J128" i="14"/>
  <c r="J136" i="14"/>
  <c r="P136" i="14" s="1"/>
  <c r="J144" i="14"/>
  <c r="J152" i="14"/>
  <c r="P152" i="14" s="1"/>
  <c r="J160" i="14"/>
  <c r="P160" i="14" s="1"/>
  <c r="J168" i="14"/>
  <c r="P168" i="14" s="1"/>
  <c r="J176" i="14"/>
  <c r="J184" i="14"/>
  <c r="J192" i="14"/>
  <c r="J200" i="14"/>
  <c r="J208" i="14"/>
  <c r="J216" i="14"/>
  <c r="J224" i="14"/>
  <c r="P224" i="14" s="1"/>
  <c r="J232" i="14"/>
  <c r="P232" i="14" s="1"/>
  <c r="J240" i="14"/>
  <c r="J248" i="14"/>
  <c r="J256" i="14"/>
  <c r="J264" i="14"/>
  <c r="P264" i="14" s="1"/>
  <c r="J272" i="14"/>
  <c r="J280" i="14"/>
  <c r="P280" i="14" s="1"/>
  <c r="J437" i="16"/>
  <c r="P437" i="16" s="1"/>
  <c r="J25" i="14"/>
  <c r="P25" i="14" s="1"/>
  <c r="J33" i="14"/>
  <c r="J41" i="14"/>
  <c r="J49" i="14"/>
  <c r="J57" i="14"/>
  <c r="J65" i="14"/>
  <c r="J73" i="14"/>
  <c r="P73" i="14" s="1"/>
  <c r="J81" i="14"/>
  <c r="P81" i="14" s="1"/>
  <c r="J89" i="14"/>
  <c r="P89" i="14" s="1"/>
  <c r="J97" i="14"/>
  <c r="J105" i="14"/>
  <c r="J113" i="14"/>
  <c r="J121" i="14"/>
  <c r="P121" i="14" s="1"/>
  <c r="J129" i="14"/>
  <c r="J137" i="14"/>
  <c r="P137" i="14" s="1"/>
  <c r="J145" i="14"/>
  <c r="P145" i="14" s="1"/>
  <c r="J153" i="14"/>
  <c r="P153" i="14" s="1"/>
  <c r="J161" i="14"/>
  <c r="J169" i="14"/>
  <c r="J177" i="14"/>
  <c r="J185" i="14"/>
  <c r="P185" i="14" s="1"/>
  <c r="J193" i="14"/>
  <c r="J201" i="14"/>
  <c r="P201" i="14" s="1"/>
  <c r="J209" i="14"/>
  <c r="P209" i="14" s="1"/>
  <c r="J217" i="14"/>
  <c r="P217" i="14" s="1"/>
  <c r="J225" i="14"/>
  <c r="J233" i="14"/>
  <c r="J241" i="14"/>
  <c r="J249" i="14"/>
  <c r="P249" i="14" s="1"/>
  <c r="J528" i="16"/>
  <c r="J26" i="14"/>
  <c r="P26" i="14" s="1"/>
  <c r="J34" i="14"/>
  <c r="P34" i="14" s="1"/>
  <c r="J42" i="14"/>
  <c r="P42" i="14" s="1"/>
  <c r="J50" i="14"/>
  <c r="J58" i="14"/>
  <c r="J66" i="14"/>
  <c r="J74" i="14"/>
  <c r="P74" i="14" s="1"/>
  <c r="J82" i="14"/>
  <c r="J90" i="14"/>
  <c r="J98" i="14"/>
  <c r="P98" i="14" s="1"/>
  <c r="J106" i="14"/>
  <c r="P106" i="14" s="1"/>
  <c r="J114" i="14"/>
  <c r="J122" i="14"/>
  <c r="J130" i="14"/>
  <c r="J138" i="14"/>
  <c r="P138" i="14" s="1"/>
  <c r="J146" i="14"/>
  <c r="J154" i="14"/>
  <c r="P154" i="14" s="1"/>
  <c r="J162" i="14"/>
  <c r="P162" i="14" s="1"/>
  <c r="J170" i="14"/>
  <c r="P170" i="14" s="1"/>
  <c r="J178" i="14"/>
  <c r="J186" i="14"/>
  <c r="J194" i="14"/>
  <c r="J202" i="14"/>
  <c r="P202" i="14" s="1"/>
  <c r="J210" i="14"/>
  <c r="J218" i="14"/>
  <c r="P218" i="14" s="1"/>
  <c r="J226" i="14"/>
  <c r="P226" i="14" s="1"/>
  <c r="J234" i="14"/>
  <c r="P234" i="14" s="1"/>
  <c r="J242" i="14"/>
  <c r="J27" i="14"/>
  <c r="J35" i="14"/>
  <c r="J43" i="14"/>
  <c r="J51" i="14"/>
  <c r="J59" i="14"/>
  <c r="P59" i="14" s="1"/>
  <c r="J67" i="14"/>
  <c r="P67" i="14" s="1"/>
  <c r="J75" i="14"/>
  <c r="P75" i="14" s="1"/>
  <c r="J83" i="14"/>
  <c r="J91" i="14"/>
  <c r="J99" i="14"/>
  <c r="J107" i="14"/>
  <c r="P107" i="14" s="1"/>
  <c r="J115" i="14"/>
  <c r="J123" i="14"/>
  <c r="P123" i="14" s="1"/>
  <c r="J131" i="14"/>
  <c r="P131" i="14" s="1"/>
  <c r="J139" i="14"/>
  <c r="P139" i="14" s="1"/>
  <c r="J147" i="14"/>
  <c r="J155" i="14"/>
  <c r="J163" i="14"/>
  <c r="J171" i="14"/>
  <c r="J179" i="14"/>
  <c r="J187" i="14"/>
  <c r="P187" i="14" s="1"/>
  <c r="J195" i="14"/>
  <c r="P195" i="14" s="1"/>
  <c r="J203" i="14"/>
  <c r="P203" i="14" s="1"/>
  <c r="J211" i="14"/>
  <c r="J219" i="14"/>
  <c r="J227" i="14"/>
  <c r="J235" i="14"/>
  <c r="P235" i="14" s="1"/>
  <c r="J243" i="14"/>
  <c r="J251" i="14"/>
  <c r="P251" i="14" s="1"/>
  <c r="J259" i="14"/>
  <c r="P259" i="14" s="1"/>
  <c r="J267" i="14"/>
  <c r="P267" i="14" s="1"/>
  <c r="J275" i="14"/>
  <c r="J283" i="14"/>
  <c r="J68" i="14"/>
  <c r="J132" i="14"/>
  <c r="P132" i="14" s="1"/>
  <c r="J196" i="14"/>
  <c r="J250" i="14"/>
  <c r="P250" i="14" s="1"/>
  <c r="J261" i="14"/>
  <c r="P261" i="14" s="1"/>
  <c r="J271" i="14"/>
  <c r="P271" i="14" s="1"/>
  <c r="J282" i="14"/>
  <c r="J291" i="14"/>
  <c r="J299" i="14"/>
  <c r="J307" i="14"/>
  <c r="P307" i="14" s="1"/>
  <c r="J315" i="14"/>
  <c r="J323" i="14"/>
  <c r="P323" i="14" s="1"/>
  <c r="J331" i="14"/>
  <c r="P331" i="14" s="1"/>
  <c r="J339" i="14"/>
  <c r="P339" i="14" s="1"/>
  <c r="J347" i="14"/>
  <c r="J355" i="14"/>
  <c r="J363" i="14"/>
  <c r="J371" i="14"/>
  <c r="J379" i="14"/>
  <c r="J387" i="14"/>
  <c r="P387" i="14" s="1"/>
  <c r="J395" i="14"/>
  <c r="P395" i="14" s="1"/>
  <c r="J403" i="14"/>
  <c r="P403" i="14" s="1"/>
  <c r="J411" i="14"/>
  <c r="J419" i="14"/>
  <c r="J427" i="14"/>
  <c r="J435" i="14"/>
  <c r="J443" i="14"/>
  <c r="J451" i="14"/>
  <c r="P451" i="14" s="1"/>
  <c r="J459" i="14"/>
  <c r="P459" i="14" s="1"/>
  <c r="J467" i="14"/>
  <c r="P467" i="14" s="1"/>
  <c r="J475" i="14"/>
  <c r="J483" i="14"/>
  <c r="J491" i="14"/>
  <c r="J499" i="14"/>
  <c r="P499" i="14" s="1"/>
  <c r="J507" i="14"/>
  <c r="J515" i="14"/>
  <c r="P515" i="14" s="1"/>
  <c r="J523" i="14"/>
  <c r="P523" i="14" s="1"/>
  <c r="J531" i="14"/>
  <c r="P531" i="14" s="1"/>
  <c r="J539" i="14"/>
  <c r="J547" i="14"/>
  <c r="J555" i="14"/>
  <c r="J563" i="14"/>
  <c r="P563" i="14" s="1"/>
  <c r="J571" i="14"/>
  <c r="J579" i="14"/>
  <c r="P579" i="14" s="1"/>
  <c r="J587" i="14"/>
  <c r="P587" i="14" s="1"/>
  <c r="J595" i="14"/>
  <c r="P595" i="14" s="1"/>
  <c r="J603" i="14"/>
  <c r="J611" i="14"/>
  <c r="J619" i="14"/>
  <c r="J627" i="14"/>
  <c r="J635" i="14"/>
  <c r="J643" i="14"/>
  <c r="P643" i="14" s="1"/>
  <c r="J651" i="14"/>
  <c r="P651" i="14" s="1"/>
  <c r="J659" i="14"/>
  <c r="P659" i="14" s="1"/>
  <c r="J667" i="14"/>
  <c r="J675" i="14"/>
  <c r="J683" i="14"/>
  <c r="J691" i="14"/>
  <c r="P691" i="14" s="1"/>
  <c r="J699" i="14"/>
  <c r="J707" i="14"/>
  <c r="P707" i="14" s="1"/>
  <c r="J715" i="14"/>
  <c r="P715" i="14" s="1"/>
  <c r="J723" i="14"/>
  <c r="P723" i="14" s="1"/>
  <c r="J731" i="14"/>
  <c r="J739" i="14"/>
  <c r="J747" i="14"/>
  <c r="J755" i="14"/>
  <c r="P755" i="14" s="1"/>
  <c r="J763" i="14"/>
  <c r="J771" i="14"/>
  <c r="P771" i="14" s="1"/>
  <c r="J779" i="14"/>
  <c r="J787" i="14"/>
  <c r="P787" i="14" s="1"/>
  <c r="J795" i="14"/>
  <c r="J803" i="14"/>
  <c r="J811" i="14"/>
  <c r="J819" i="14"/>
  <c r="P819" i="14" s="1"/>
  <c r="J827" i="14"/>
  <c r="J835" i="14"/>
  <c r="P835" i="14" s="1"/>
  <c r="J843" i="14"/>
  <c r="J851" i="14"/>
  <c r="P851" i="14" s="1"/>
  <c r="J76" i="14"/>
  <c r="P76" i="14" s="1"/>
  <c r="J140" i="14"/>
  <c r="J204" i="14"/>
  <c r="J252" i="14"/>
  <c r="P252" i="14" s="1"/>
  <c r="J262" i="14"/>
  <c r="J273" i="14"/>
  <c r="P273" i="14" s="1"/>
  <c r="J284" i="14"/>
  <c r="P284" i="14" s="1"/>
  <c r="J292" i="14"/>
  <c r="P292" i="14" s="1"/>
  <c r="J300" i="14"/>
  <c r="P300" i="14" s="1"/>
  <c r="J308" i="14"/>
  <c r="J316" i="14"/>
  <c r="J324" i="14"/>
  <c r="J332" i="14"/>
  <c r="J340" i="14"/>
  <c r="P340" i="14" s="1"/>
  <c r="J348" i="14"/>
  <c r="P348" i="14" s="1"/>
  <c r="J356" i="14"/>
  <c r="P356" i="14" s="1"/>
  <c r="J364" i="14"/>
  <c r="P364" i="14" s="1"/>
  <c r="J372" i="14"/>
  <c r="J380" i="14"/>
  <c r="J388" i="14"/>
  <c r="J396" i="14"/>
  <c r="J404" i="14"/>
  <c r="P404" i="14" s="1"/>
  <c r="J412" i="14"/>
  <c r="P412" i="14" s="1"/>
  <c r="J420" i="14"/>
  <c r="P420" i="14" s="1"/>
  <c r="J428" i="14"/>
  <c r="P428" i="14" s="1"/>
  <c r="J436" i="14"/>
  <c r="J444" i="14"/>
  <c r="J452" i="14"/>
  <c r="P452" i="14" s="1"/>
  <c r="J460" i="14"/>
  <c r="J468" i="14"/>
  <c r="P468" i="14" s="1"/>
  <c r="J476" i="14"/>
  <c r="P476" i="14" s="1"/>
  <c r="J484" i="14"/>
  <c r="P484" i="14" s="1"/>
  <c r="J492" i="14"/>
  <c r="P492" i="14" s="1"/>
  <c r="J500" i="14"/>
  <c r="J508" i="14"/>
  <c r="J516" i="14"/>
  <c r="P516" i="14" s="1"/>
  <c r="J524" i="14"/>
  <c r="J532" i="14"/>
  <c r="J540" i="14"/>
  <c r="P540" i="14" s="1"/>
  <c r="J548" i="14"/>
  <c r="P548" i="14" s="1"/>
  <c r="J556" i="14"/>
  <c r="P556" i="14" s="1"/>
  <c r="J564" i="14"/>
  <c r="J572" i="14"/>
  <c r="J580" i="14"/>
  <c r="P580" i="14" s="1"/>
  <c r="J588" i="14"/>
  <c r="J596" i="14"/>
  <c r="P596" i="14" s="1"/>
  <c r="J604" i="14"/>
  <c r="P604" i="14" s="1"/>
  <c r="J612" i="14"/>
  <c r="P612" i="14" s="1"/>
  <c r="J620" i="14"/>
  <c r="P620" i="14" s="1"/>
  <c r="J628" i="14"/>
  <c r="J636" i="14"/>
  <c r="J644" i="14"/>
  <c r="P644" i="14" s="1"/>
  <c r="J652" i="14"/>
  <c r="J660" i="14"/>
  <c r="P660" i="14" s="1"/>
  <c r="J668" i="14"/>
  <c r="P668" i="14" s="1"/>
  <c r="J676" i="14"/>
  <c r="P676" i="14" s="1"/>
  <c r="J684" i="14"/>
  <c r="P684" i="14" s="1"/>
  <c r="J692" i="14"/>
  <c r="J700" i="14"/>
  <c r="J708" i="14"/>
  <c r="J716" i="14"/>
  <c r="J724" i="14"/>
  <c r="P724" i="14" s="1"/>
  <c r="J732" i="14"/>
  <c r="P732" i="14" s="1"/>
  <c r="J740" i="14"/>
  <c r="P740" i="14" s="1"/>
  <c r="J748" i="14"/>
  <c r="P748" i="14" s="1"/>
  <c r="J756" i="14"/>
  <c r="J764" i="14"/>
  <c r="J772" i="14"/>
  <c r="J780" i="14"/>
  <c r="J788" i="14"/>
  <c r="J796" i="14"/>
  <c r="P796" i="14" s="1"/>
  <c r="J804" i="14"/>
  <c r="P804" i="14" s="1"/>
  <c r="J812" i="14"/>
  <c r="P812" i="14" s="1"/>
  <c r="J820" i="14"/>
  <c r="J828" i="14"/>
  <c r="J836" i="14"/>
  <c r="J844" i="14"/>
  <c r="J852" i="14"/>
  <c r="P852" i="14" s="1"/>
  <c r="J84" i="14"/>
  <c r="P84" i="14" s="1"/>
  <c r="J148" i="14"/>
  <c r="P148" i="14" s="1"/>
  <c r="J212" i="14"/>
  <c r="P212" i="14" s="1"/>
  <c r="J253" i="14"/>
  <c r="J263" i="14"/>
  <c r="J274" i="14"/>
  <c r="J285" i="14"/>
  <c r="J293" i="14"/>
  <c r="P293" i="14" s="1"/>
  <c r="J301" i="14"/>
  <c r="P301" i="14" s="1"/>
  <c r="J309" i="14"/>
  <c r="P309" i="14" s="1"/>
  <c r="J317" i="14"/>
  <c r="P317" i="14" s="1"/>
  <c r="J325" i="14"/>
  <c r="J333" i="14"/>
  <c r="J341" i="14"/>
  <c r="P341" i="14" s="1"/>
  <c r="J349" i="14"/>
  <c r="J357" i="14"/>
  <c r="P357" i="14" s="1"/>
  <c r="J365" i="14"/>
  <c r="P365" i="14" s="1"/>
  <c r="J373" i="14"/>
  <c r="P373" i="14" s="1"/>
  <c r="J381" i="14"/>
  <c r="P381" i="14" s="1"/>
  <c r="J389" i="14"/>
  <c r="J397" i="14"/>
  <c r="J405" i="14"/>
  <c r="P405" i="14" s="1"/>
  <c r="J413" i="14"/>
  <c r="J421" i="14"/>
  <c r="P421" i="14" s="1"/>
  <c r="J429" i="14"/>
  <c r="P429" i="14" s="1"/>
  <c r="J437" i="14"/>
  <c r="P437" i="14" s="1"/>
  <c r="J445" i="14"/>
  <c r="P445" i="14" s="1"/>
  <c r="J453" i="14"/>
  <c r="J461" i="14"/>
  <c r="J469" i="14"/>
  <c r="P469" i="14" s="1"/>
  <c r="J477" i="14"/>
  <c r="J485" i="14"/>
  <c r="P485" i="14" s="1"/>
  <c r="J493" i="14"/>
  <c r="P493" i="14" s="1"/>
  <c r="J501" i="14"/>
  <c r="P501" i="14" s="1"/>
  <c r="J509" i="14"/>
  <c r="P509" i="14" s="1"/>
  <c r="J517" i="14"/>
  <c r="J525" i="14"/>
  <c r="J533" i="14"/>
  <c r="P533" i="14" s="1"/>
  <c r="J541" i="14"/>
  <c r="J549" i="14"/>
  <c r="P549" i="14" s="1"/>
  <c r="J557" i="14"/>
  <c r="P557" i="14" s="1"/>
  <c r="J565" i="14"/>
  <c r="P565" i="14" s="1"/>
  <c r="J573" i="14"/>
  <c r="P573" i="14" s="1"/>
  <c r="J581" i="14"/>
  <c r="J589" i="14"/>
  <c r="J597" i="14"/>
  <c r="P597" i="14" s="1"/>
  <c r="J605" i="14"/>
  <c r="J613" i="14"/>
  <c r="P613" i="14" s="1"/>
  <c r="J621" i="14"/>
  <c r="P621" i="14" s="1"/>
  <c r="J629" i="14"/>
  <c r="P629" i="14" s="1"/>
  <c r="J637" i="14"/>
  <c r="P637" i="14" s="1"/>
  <c r="J645" i="14"/>
  <c r="J653" i="14"/>
  <c r="J661" i="14"/>
  <c r="P661" i="14" s="1"/>
  <c r="J669" i="14"/>
  <c r="J677" i="14"/>
  <c r="P677" i="14" s="1"/>
  <c r="J685" i="14"/>
  <c r="P685" i="14" s="1"/>
  <c r="J693" i="14"/>
  <c r="P693" i="14" s="1"/>
  <c r="J701" i="14"/>
  <c r="P701" i="14" s="1"/>
  <c r="J709" i="14"/>
  <c r="J717" i="14"/>
  <c r="J725" i="14"/>
  <c r="P725" i="14" s="1"/>
  <c r="J733" i="14"/>
  <c r="J741" i="14"/>
  <c r="P741" i="14" s="1"/>
  <c r="J749" i="14"/>
  <c r="P749" i="14" s="1"/>
  <c r="J757" i="14"/>
  <c r="P757" i="14" s="1"/>
  <c r="J765" i="14"/>
  <c r="P765" i="14" s="1"/>
  <c r="J773" i="14"/>
  <c r="J781" i="14"/>
  <c r="J789" i="14"/>
  <c r="J797" i="14"/>
  <c r="J805" i="14"/>
  <c r="J813" i="14"/>
  <c r="P813" i="14" s="1"/>
  <c r="J821" i="14"/>
  <c r="P821" i="14" s="1"/>
  <c r="J829" i="14"/>
  <c r="P829" i="14" s="1"/>
  <c r="J837" i="14"/>
  <c r="J845" i="14"/>
  <c r="J853" i="14"/>
  <c r="P853" i="14" s="1"/>
  <c r="J28" i="14"/>
  <c r="J92" i="14"/>
  <c r="P92" i="14" s="1"/>
  <c r="J156" i="14"/>
  <c r="P156" i="14" s="1"/>
  <c r="J220" i="14"/>
  <c r="P220" i="14" s="1"/>
  <c r="J254" i="14"/>
  <c r="J265" i="14"/>
  <c r="P265" i="14" s="1"/>
  <c r="J276" i="14"/>
  <c r="J286" i="14"/>
  <c r="P286" i="14" s="1"/>
  <c r="J294" i="14"/>
  <c r="J302" i="14"/>
  <c r="P302" i="14" s="1"/>
  <c r="J310" i="14"/>
  <c r="P310" i="14" s="1"/>
  <c r="J318" i="14"/>
  <c r="P318" i="14" s="1"/>
  <c r="J326" i="14"/>
  <c r="J334" i="14"/>
  <c r="P334" i="14" s="1"/>
  <c r="J342" i="14"/>
  <c r="J350" i="14"/>
  <c r="P350" i="14" s="1"/>
  <c r="J358" i="14"/>
  <c r="J366" i="14"/>
  <c r="P366" i="14" s="1"/>
  <c r="J374" i="14"/>
  <c r="P374" i="14" s="1"/>
  <c r="J382" i="14"/>
  <c r="P382" i="14" s="1"/>
  <c r="J390" i="14"/>
  <c r="J398" i="14"/>
  <c r="P398" i="14" s="1"/>
  <c r="J406" i="14"/>
  <c r="J414" i="14"/>
  <c r="P414" i="14" s="1"/>
  <c r="J422" i="14"/>
  <c r="J430" i="14"/>
  <c r="P430" i="14" s="1"/>
  <c r="J438" i="14"/>
  <c r="P438" i="14" s="1"/>
  <c r="J446" i="14"/>
  <c r="P446" i="14" s="1"/>
  <c r="J454" i="14"/>
  <c r="J462" i="14"/>
  <c r="P462" i="14" s="1"/>
  <c r="J470" i="14"/>
  <c r="J478" i="14"/>
  <c r="P478" i="14" s="1"/>
  <c r="J486" i="14"/>
  <c r="J494" i="14"/>
  <c r="P494" i="14" s="1"/>
  <c r="J502" i="14"/>
  <c r="P502" i="14" s="1"/>
  <c r="J510" i="14"/>
  <c r="P510" i="14" s="1"/>
  <c r="J518" i="14"/>
  <c r="J526" i="14"/>
  <c r="P526" i="14" s="1"/>
  <c r="J534" i="14"/>
  <c r="J542" i="14"/>
  <c r="J550" i="14"/>
  <c r="J558" i="14"/>
  <c r="P558" i="14" s="1"/>
  <c r="J566" i="14"/>
  <c r="P566" i="14" s="1"/>
  <c r="J574" i="14"/>
  <c r="P574" i="14" s="1"/>
  <c r="J582" i="14"/>
  <c r="J590" i="14"/>
  <c r="P590" i="14" s="1"/>
  <c r="J598" i="14"/>
  <c r="J606" i="14"/>
  <c r="J614" i="14"/>
  <c r="J622" i="14"/>
  <c r="P622" i="14" s="1"/>
  <c r="J630" i="14"/>
  <c r="J638" i="14"/>
  <c r="P638" i="14" s="1"/>
  <c r="J646" i="14"/>
  <c r="J654" i="14"/>
  <c r="P654" i="14" s="1"/>
  <c r="J662" i="14"/>
  <c r="J670" i="14"/>
  <c r="P670" i="14" s="1"/>
  <c r="J678" i="14"/>
  <c r="J686" i="14"/>
  <c r="P686" i="14" s="1"/>
  <c r="J694" i="14"/>
  <c r="P694" i="14" s="1"/>
  <c r="J702" i="14"/>
  <c r="P702" i="14" s="1"/>
  <c r="J710" i="14"/>
  <c r="J718" i="14"/>
  <c r="P718" i="14" s="1"/>
  <c r="J726" i="14"/>
  <c r="J734" i="14"/>
  <c r="P734" i="14" s="1"/>
  <c r="J742" i="14"/>
  <c r="J750" i="14"/>
  <c r="P750" i="14" s="1"/>
  <c r="J758" i="14"/>
  <c r="P758" i="14" s="1"/>
  <c r="J766" i="14"/>
  <c r="P766" i="14" s="1"/>
  <c r="J774" i="14"/>
  <c r="J782" i="14"/>
  <c r="P782" i="14" s="1"/>
  <c r="J790" i="14"/>
  <c r="J798" i="14"/>
  <c r="P798" i="14" s="1"/>
  <c r="J806" i="14"/>
  <c r="J814" i="14"/>
  <c r="P814" i="14" s="1"/>
  <c r="J822" i="14"/>
  <c r="P822" i="14" s="1"/>
  <c r="J830" i="14"/>
  <c r="P830" i="14" s="1"/>
  <c r="J838" i="14"/>
  <c r="J846" i="14"/>
  <c r="P846" i="14" s="1"/>
  <c r="J854" i="14"/>
  <c r="J36" i="14"/>
  <c r="J100" i="14"/>
  <c r="J164" i="14"/>
  <c r="P164" i="14" s="1"/>
  <c r="J228" i="14"/>
  <c r="P228" i="14" s="1"/>
  <c r="J255" i="14"/>
  <c r="P255" i="14" s="1"/>
  <c r="J266" i="14"/>
  <c r="J277" i="14"/>
  <c r="J287" i="14"/>
  <c r="P287" i="14" s="1"/>
  <c r="J295" i="14"/>
  <c r="P295" i="14" s="1"/>
  <c r="J303" i="14"/>
  <c r="J311" i="14"/>
  <c r="P311" i="14" s="1"/>
  <c r="J319" i="14"/>
  <c r="P319" i="14" s="1"/>
  <c r="J327" i="14"/>
  <c r="P327" i="14" s="1"/>
  <c r="J335" i="14"/>
  <c r="J343" i="14"/>
  <c r="J351" i="14"/>
  <c r="P351" i="14" s="1"/>
  <c r="J359" i="14"/>
  <c r="J367" i="14"/>
  <c r="J375" i="14"/>
  <c r="P375" i="14" s="1"/>
  <c r="J383" i="14"/>
  <c r="P383" i="14" s="1"/>
  <c r="J391" i="14"/>
  <c r="P391" i="14" s="1"/>
  <c r="J399" i="14"/>
  <c r="J407" i="14"/>
  <c r="J415" i="14"/>
  <c r="P415" i="14" s="1"/>
  <c r="J423" i="14"/>
  <c r="P423" i="14" s="1"/>
  <c r="J431" i="14"/>
  <c r="J439" i="14"/>
  <c r="P439" i="14" s="1"/>
  <c r="J447" i="14"/>
  <c r="P447" i="14" s="1"/>
  <c r="J455" i="14"/>
  <c r="P455" i="14" s="1"/>
  <c r="J463" i="14"/>
  <c r="J471" i="14"/>
  <c r="J479" i="14"/>
  <c r="P479" i="14" s="1"/>
  <c r="J487" i="14"/>
  <c r="P487" i="14" s="1"/>
  <c r="J495" i="14"/>
  <c r="J503" i="14"/>
  <c r="P503" i="14" s="1"/>
  <c r="J511" i="14"/>
  <c r="P511" i="14" s="1"/>
  <c r="J519" i="14"/>
  <c r="P519" i="14" s="1"/>
  <c r="J527" i="14"/>
  <c r="J535" i="14"/>
  <c r="J543" i="14"/>
  <c r="P543" i="14" s="1"/>
  <c r="J551" i="14"/>
  <c r="P551" i="14" s="1"/>
  <c r="J559" i="14"/>
  <c r="J567" i="14"/>
  <c r="P567" i="14" s="1"/>
  <c r="J575" i="14"/>
  <c r="P575" i="14" s="1"/>
  <c r="J583" i="14"/>
  <c r="P583" i="14" s="1"/>
  <c r="J591" i="14"/>
  <c r="J599" i="14"/>
  <c r="J607" i="14"/>
  <c r="P607" i="14" s="1"/>
  <c r="J615" i="14"/>
  <c r="P615" i="14" s="1"/>
  <c r="J623" i="14"/>
  <c r="J631" i="14"/>
  <c r="P631" i="14" s="1"/>
  <c r="J639" i="14"/>
  <c r="P639" i="14" s="1"/>
  <c r="J647" i="14"/>
  <c r="P647" i="14" s="1"/>
  <c r="J655" i="14"/>
  <c r="J663" i="14"/>
  <c r="J671" i="14"/>
  <c r="P671" i="14" s="1"/>
  <c r="J679" i="14"/>
  <c r="P679" i="14" s="1"/>
  <c r="J687" i="14"/>
  <c r="J695" i="14"/>
  <c r="P695" i="14" s="1"/>
  <c r="J703" i="14"/>
  <c r="P703" i="14" s="1"/>
  <c r="J711" i="14"/>
  <c r="P711" i="14" s="1"/>
  <c r="J719" i="14"/>
  <c r="J727" i="14"/>
  <c r="J735" i="14"/>
  <c r="P735" i="14" s="1"/>
  <c r="J743" i="14"/>
  <c r="P743" i="14" s="1"/>
  <c r="J751" i="14"/>
  <c r="J759" i="14"/>
  <c r="P759" i="14" s="1"/>
  <c r="J767" i="14"/>
  <c r="P767" i="14" s="1"/>
  <c r="J775" i="14"/>
  <c r="P775" i="14" s="1"/>
  <c r="J783" i="14"/>
  <c r="J791" i="14"/>
  <c r="J799" i="14"/>
  <c r="P799" i="14" s="1"/>
  <c r="J807" i="14"/>
  <c r="P807" i="14" s="1"/>
  <c r="J815" i="14"/>
  <c r="J823" i="14"/>
  <c r="P823" i="14" s="1"/>
  <c r="J831" i="14"/>
  <c r="J839" i="14"/>
  <c r="P839" i="14" s="1"/>
  <c r="J847" i="14"/>
  <c r="J44" i="14"/>
  <c r="J108" i="14"/>
  <c r="J172" i="14"/>
  <c r="P172" i="14" s="1"/>
  <c r="J236" i="14"/>
  <c r="J257" i="14"/>
  <c r="P257" i="14" s="1"/>
  <c r="J268" i="14"/>
  <c r="P268" i="14" s="1"/>
  <c r="J278" i="14"/>
  <c r="P278" i="14" s="1"/>
  <c r="J288" i="14"/>
  <c r="J296" i="14"/>
  <c r="J304" i="14"/>
  <c r="J312" i="14"/>
  <c r="P312" i="14" s="1"/>
  <c r="J320" i="14"/>
  <c r="J328" i="14"/>
  <c r="P328" i="14" s="1"/>
  <c r="J336" i="14"/>
  <c r="P336" i="14" s="1"/>
  <c r="J344" i="14"/>
  <c r="P344" i="14" s="1"/>
  <c r="J352" i="14"/>
  <c r="J360" i="14"/>
  <c r="J368" i="14"/>
  <c r="J376" i="14"/>
  <c r="P376" i="14" s="1"/>
  <c r="J384" i="14"/>
  <c r="J392" i="14"/>
  <c r="P392" i="14" s="1"/>
  <c r="J400" i="14"/>
  <c r="P400" i="14" s="1"/>
  <c r="J408" i="14"/>
  <c r="P408" i="14" s="1"/>
  <c r="J416" i="14"/>
  <c r="J424" i="14"/>
  <c r="J432" i="14"/>
  <c r="J440" i="14"/>
  <c r="P440" i="14" s="1"/>
  <c r="J448" i="14"/>
  <c r="J456" i="14"/>
  <c r="P456" i="14" s="1"/>
  <c r="J464" i="14"/>
  <c r="P464" i="14" s="1"/>
  <c r="J472" i="14"/>
  <c r="P472" i="14" s="1"/>
  <c r="J480" i="14"/>
  <c r="J488" i="14"/>
  <c r="J496" i="14"/>
  <c r="J504" i="14"/>
  <c r="P504" i="14" s="1"/>
  <c r="J512" i="14"/>
  <c r="J520" i="14"/>
  <c r="P520" i="14" s="1"/>
  <c r="J528" i="14"/>
  <c r="P528" i="14" s="1"/>
  <c r="J536" i="14"/>
  <c r="P536" i="14" s="1"/>
  <c r="J544" i="14"/>
  <c r="J552" i="14"/>
  <c r="J560" i="14"/>
  <c r="J568" i="14"/>
  <c r="P568" i="14" s="1"/>
  <c r="J576" i="14"/>
  <c r="J584" i="14"/>
  <c r="P584" i="14" s="1"/>
  <c r="J592" i="14"/>
  <c r="P592" i="14" s="1"/>
  <c r="J600" i="14"/>
  <c r="P600" i="14" s="1"/>
  <c r="J608" i="14"/>
  <c r="J616" i="14"/>
  <c r="J624" i="14"/>
  <c r="J632" i="14"/>
  <c r="P632" i="14" s="1"/>
  <c r="J640" i="14"/>
  <c r="J648" i="14"/>
  <c r="P648" i="14" s="1"/>
  <c r="J656" i="14"/>
  <c r="P656" i="14" s="1"/>
  <c r="J664" i="14"/>
  <c r="P664" i="14" s="1"/>
  <c r="J672" i="14"/>
  <c r="J680" i="14"/>
  <c r="J688" i="14"/>
  <c r="J696" i="14"/>
  <c r="P696" i="14" s="1"/>
  <c r="J704" i="14"/>
  <c r="J712" i="14"/>
  <c r="P712" i="14" s="1"/>
  <c r="J720" i="14"/>
  <c r="P720" i="14" s="1"/>
  <c r="J728" i="14"/>
  <c r="P728" i="14" s="1"/>
  <c r="J736" i="14"/>
  <c r="J744" i="14"/>
  <c r="J752" i="14"/>
  <c r="J760" i="14"/>
  <c r="P760" i="14" s="1"/>
  <c r="J768" i="14"/>
  <c r="J776" i="14"/>
  <c r="P776" i="14" s="1"/>
  <c r="J784" i="14"/>
  <c r="P784" i="14" s="1"/>
  <c r="J792" i="14"/>
  <c r="P792" i="14" s="1"/>
  <c r="J800" i="14"/>
  <c r="J808" i="14"/>
  <c r="J816" i="14"/>
  <c r="J824" i="14"/>
  <c r="P824" i="14" s="1"/>
  <c r="J832" i="14"/>
  <c r="J840" i="14"/>
  <c r="P840" i="14" s="1"/>
  <c r="J848" i="14"/>
  <c r="P848" i="14" s="1"/>
  <c r="J856" i="14"/>
  <c r="P856" i="14" s="1"/>
  <c r="J52" i="14"/>
  <c r="J116" i="14"/>
  <c r="J180" i="14"/>
  <c r="J244" i="14"/>
  <c r="P244" i="14" s="1"/>
  <c r="J258" i="14"/>
  <c r="P258" i="14" s="1"/>
  <c r="J269" i="14"/>
  <c r="P269" i="14" s="1"/>
  <c r="J279" i="14"/>
  <c r="P279" i="14" s="1"/>
  <c r="J289" i="14"/>
  <c r="P289" i="14" s="1"/>
  <c r="J297" i="14"/>
  <c r="J305" i="14"/>
  <c r="J313" i="14"/>
  <c r="J321" i="14"/>
  <c r="J329" i="14"/>
  <c r="P329" i="14" s="1"/>
  <c r="J337" i="14"/>
  <c r="P337" i="14" s="1"/>
  <c r="J345" i="14"/>
  <c r="P345" i="14" s="1"/>
  <c r="J353" i="14"/>
  <c r="P353" i="14" s="1"/>
  <c r="J361" i="14"/>
  <c r="J369" i="14"/>
  <c r="J377" i="14"/>
  <c r="J385" i="14"/>
  <c r="P385" i="14" s="1"/>
  <c r="J393" i="14"/>
  <c r="P393" i="14" s="1"/>
  <c r="J401" i="14"/>
  <c r="P401" i="14" s="1"/>
  <c r="J409" i="14"/>
  <c r="J417" i="14"/>
  <c r="P417" i="14" s="1"/>
  <c r="J425" i="14"/>
  <c r="J433" i="14"/>
  <c r="J441" i="14"/>
  <c r="J449" i="14"/>
  <c r="P449" i="14" s="1"/>
  <c r="J457" i="14"/>
  <c r="P457" i="14" s="1"/>
  <c r="J465" i="14"/>
  <c r="P465" i="14" s="1"/>
  <c r="J473" i="14"/>
  <c r="P473" i="14" s="1"/>
  <c r="J481" i="14"/>
  <c r="P481" i="14" s="1"/>
  <c r="J489" i="14"/>
  <c r="J497" i="14"/>
  <c r="J505" i="14"/>
  <c r="J513" i="14"/>
  <c r="P513" i="14" s="1"/>
  <c r="J521" i="14"/>
  <c r="P521" i="14" s="1"/>
  <c r="J529" i="14"/>
  <c r="J537" i="14"/>
  <c r="P537" i="14" s="1"/>
  <c r="J545" i="14"/>
  <c r="P545" i="14" s="1"/>
  <c r="J553" i="14"/>
  <c r="J561" i="14"/>
  <c r="J569" i="14"/>
  <c r="J577" i="14"/>
  <c r="P577" i="14" s="1"/>
  <c r="J585" i="14"/>
  <c r="P585" i="14" s="1"/>
  <c r="J593" i="14"/>
  <c r="P593" i="14" s="1"/>
  <c r="J601" i="14"/>
  <c r="P601" i="14" s="1"/>
  <c r="J609" i="14"/>
  <c r="P609" i="14" s="1"/>
  <c r="J617" i="14"/>
  <c r="J625" i="14"/>
  <c r="J633" i="14"/>
  <c r="J641" i="14"/>
  <c r="P641" i="14" s="1"/>
  <c r="J649" i="14"/>
  <c r="P649" i="14" s="1"/>
  <c r="J657" i="14"/>
  <c r="P657" i="14" s="1"/>
  <c r="J665" i="14"/>
  <c r="P665" i="14" s="1"/>
  <c r="J673" i="14"/>
  <c r="P673" i="14" s="1"/>
  <c r="J681" i="14"/>
  <c r="J689" i="14"/>
  <c r="J697" i="14"/>
  <c r="J705" i="14"/>
  <c r="J713" i="14"/>
  <c r="P713" i="14" s="1"/>
  <c r="J721" i="14"/>
  <c r="P721" i="14" s="1"/>
  <c r="J729" i="14"/>
  <c r="P729" i="14" s="1"/>
  <c r="J737" i="14"/>
  <c r="P737" i="14" s="1"/>
  <c r="J745" i="14"/>
  <c r="J753" i="14"/>
  <c r="J761" i="14"/>
  <c r="J769" i="14"/>
  <c r="J777" i="14"/>
  <c r="P777" i="14" s="1"/>
  <c r="J785" i="14"/>
  <c r="P785" i="14" s="1"/>
  <c r="J793" i="14"/>
  <c r="P793" i="14" s="1"/>
  <c r="J801" i="14"/>
  <c r="P801" i="14" s="1"/>
  <c r="J809" i="14"/>
  <c r="J817" i="14"/>
  <c r="J825" i="14"/>
  <c r="J833" i="14"/>
  <c r="P833" i="14" s="1"/>
  <c r="J841" i="14"/>
  <c r="P841" i="14" s="1"/>
  <c r="J849" i="14"/>
  <c r="P849" i="14" s="1"/>
  <c r="J290" i="14"/>
  <c r="P290" i="14" s="1"/>
  <c r="J354" i="14"/>
  <c r="P354" i="14" s="1"/>
  <c r="J418" i="14"/>
  <c r="J482" i="14"/>
  <c r="J546" i="14"/>
  <c r="J610" i="14"/>
  <c r="P610" i="14" s="1"/>
  <c r="J674" i="14"/>
  <c r="J738" i="14"/>
  <c r="P738" i="14" s="1"/>
  <c r="J802" i="14"/>
  <c r="P802" i="14" s="1"/>
  <c r="J857" i="14"/>
  <c r="P857" i="14" s="1"/>
  <c r="J865" i="14"/>
  <c r="J873" i="14"/>
  <c r="J881" i="14"/>
  <c r="J889" i="14"/>
  <c r="P889" i="14" s="1"/>
  <c r="J897" i="14"/>
  <c r="J905" i="14"/>
  <c r="P905" i="14" s="1"/>
  <c r="J913" i="14"/>
  <c r="P913" i="14" s="1"/>
  <c r="J921" i="14"/>
  <c r="P921" i="14" s="1"/>
  <c r="J929" i="14"/>
  <c r="J937" i="14"/>
  <c r="J945" i="14"/>
  <c r="J953" i="14"/>
  <c r="P953" i="14" s="1"/>
  <c r="J961" i="14"/>
  <c r="J969" i="14"/>
  <c r="P969" i="14" s="1"/>
  <c r="J977" i="14"/>
  <c r="P977" i="14" s="1"/>
  <c r="J985" i="14"/>
  <c r="P985" i="14" s="1"/>
  <c r="J993" i="14"/>
  <c r="J1001" i="14"/>
  <c r="J1009" i="14"/>
  <c r="J1017" i="14"/>
  <c r="P1017" i="14" s="1"/>
  <c r="J1025" i="14"/>
  <c r="J1033" i="14"/>
  <c r="P1033" i="14" s="1"/>
  <c r="J1041" i="14"/>
  <c r="P1041" i="14" s="1"/>
  <c r="J1049" i="14"/>
  <c r="P1049" i="14" s="1"/>
  <c r="J1057" i="14"/>
  <c r="J1065" i="14"/>
  <c r="J1073" i="14"/>
  <c r="J1081" i="14"/>
  <c r="P1081" i="14" s="1"/>
  <c r="J1089" i="14"/>
  <c r="J1097" i="14"/>
  <c r="P1097" i="14" s="1"/>
  <c r="J1105" i="14"/>
  <c r="P1105" i="14" s="1"/>
  <c r="J1113" i="14"/>
  <c r="P1113" i="14" s="1"/>
  <c r="J1121" i="14"/>
  <c r="J1129" i="14"/>
  <c r="J1137" i="14"/>
  <c r="J1145" i="14"/>
  <c r="P1145" i="14" s="1"/>
  <c r="J1153" i="14"/>
  <c r="J60" i="14"/>
  <c r="P60" i="14" s="1"/>
  <c r="J298" i="14"/>
  <c r="P298" i="14" s="1"/>
  <c r="J362" i="14"/>
  <c r="P362" i="14" s="1"/>
  <c r="J426" i="14"/>
  <c r="J490" i="14"/>
  <c r="J554" i="14"/>
  <c r="J618" i="14"/>
  <c r="P618" i="14" s="1"/>
  <c r="J682" i="14"/>
  <c r="J746" i="14"/>
  <c r="P746" i="14" s="1"/>
  <c r="J810" i="14"/>
  <c r="P810" i="14" s="1"/>
  <c r="J858" i="14"/>
  <c r="P858" i="14" s="1"/>
  <c r="J866" i="14"/>
  <c r="J874" i="14"/>
  <c r="J882" i="14"/>
  <c r="P882" i="14" s="1"/>
  <c r="J890" i="14"/>
  <c r="P890" i="14" s="1"/>
  <c r="J898" i="14"/>
  <c r="J906" i="14"/>
  <c r="P906" i="14" s="1"/>
  <c r="J914" i="14"/>
  <c r="P914" i="14" s="1"/>
  <c r="J922" i="14"/>
  <c r="P922" i="14" s="1"/>
  <c r="J930" i="14"/>
  <c r="J938" i="14"/>
  <c r="J946" i="14"/>
  <c r="J954" i="14"/>
  <c r="P954" i="14" s="1"/>
  <c r="J962" i="14"/>
  <c r="J970" i="14"/>
  <c r="P970" i="14" s="1"/>
  <c r="J978" i="14"/>
  <c r="P978" i="14" s="1"/>
  <c r="J986" i="14"/>
  <c r="P986" i="14" s="1"/>
  <c r="J994" i="14"/>
  <c r="J1002" i="14"/>
  <c r="J1010" i="14"/>
  <c r="P1010" i="14" s="1"/>
  <c r="J1018" i="14"/>
  <c r="P1018" i="14" s="1"/>
  <c r="J1026" i="14"/>
  <c r="J1034" i="14"/>
  <c r="P1034" i="14" s="1"/>
  <c r="J1042" i="14"/>
  <c r="P1042" i="14" s="1"/>
  <c r="J1050" i="14"/>
  <c r="P1050" i="14" s="1"/>
  <c r="J1058" i="14"/>
  <c r="J1066" i="14"/>
  <c r="J1074" i="14"/>
  <c r="P1074" i="14" s="1"/>
  <c r="J1082" i="14"/>
  <c r="P1082" i="14" s="1"/>
  <c r="J1090" i="14"/>
  <c r="J1098" i="14"/>
  <c r="P1098" i="14" s="1"/>
  <c r="J1106" i="14"/>
  <c r="P1106" i="14" s="1"/>
  <c r="J1114" i="14"/>
  <c r="P1114" i="14" s="1"/>
  <c r="J1122" i="14"/>
  <c r="J1130" i="14"/>
  <c r="J1138" i="14"/>
  <c r="J1146" i="14"/>
  <c r="P1146" i="14" s="1"/>
  <c r="J1154" i="14"/>
  <c r="J124" i="14"/>
  <c r="P124" i="14" s="1"/>
  <c r="J306" i="14"/>
  <c r="P306" i="14" s="1"/>
  <c r="J370" i="14"/>
  <c r="P370" i="14" s="1"/>
  <c r="J434" i="14"/>
  <c r="J498" i="14"/>
  <c r="J562" i="14"/>
  <c r="P562" i="14" s="1"/>
  <c r="J626" i="14"/>
  <c r="P626" i="14" s="1"/>
  <c r="J690" i="14"/>
  <c r="J754" i="14"/>
  <c r="P754" i="14" s="1"/>
  <c r="J818" i="14"/>
  <c r="P818" i="14" s="1"/>
  <c r="J859" i="14"/>
  <c r="P859" i="14" s="1"/>
  <c r="J867" i="14"/>
  <c r="J875" i="14"/>
  <c r="J883" i="14"/>
  <c r="P883" i="14" s="1"/>
  <c r="J891" i="14"/>
  <c r="J899" i="14"/>
  <c r="J907" i="14"/>
  <c r="P907" i="14" s="1"/>
  <c r="J915" i="14"/>
  <c r="P915" i="14" s="1"/>
  <c r="J923" i="14"/>
  <c r="P923" i="14" s="1"/>
  <c r="J931" i="14"/>
  <c r="J939" i="14"/>
  <c r="J947" i="14"/>
  <c r="P947" i="14" s="1"/>
  <c r="J955" i="14"/>
  <c r="J963" i="14"/>
  <c r="J971" i="14"/>
  <c r="P971" i="14" s="1"/>
  <c r="J979" i="14"/>
  <c r="P979" i="14" s="1"/>
  <c r="J987" i="14"/>
  <c r="P987" i="14" s="1"/>
  <c r="J995" i="14"/>
  <c r="J1003" i="14"/>
  <c r="J1011" i="14"/>
  <c r="P1011" i="14" s="1"/>
  <c r="J1019" i="14"/>
  <c r="P1019" i="14" s="1"/>
  <c r="J1027" i="14"/>
  <c r="J1035" i="14"/>
  <c r="P1035" i="14" s="1"/>
  <c r="J1043" i="14"/>
  <c r="P1043" i="14" s="1"/>
  <c r="J1051" i="14"/>
  <c r="P1051" i="14" s="1"/>
  <c r="J1059" i="14"/>
  <c r="J1067" i="14"/>
  <c r="J1075" i="14"/>
  <c r="P1075" i="14" s="1"/>
  <c r="J1083" i="14"/>
  <c r="P1083" i="14" s="1"/>
  <c r="J1091" i="14"/>
  <c r="J1099" i="14"/>
  <c r="P1099" i="14" s="1"/>
  <c r="J1107" i="14"/>
  <c r="P1107" i="14" s="1"/>
  <c r="J1115" i="14"/>
  <c r="P1115" i="14" s="1"/>
  <c r="J1123" i="14"/>
  <c r="J1131" i="14"/>
  <c r="J1139" i="14"/>
  <c r="P1139" i="14" s="1"/>
  <c r="J1147" i="14"/>
  <c r="P1147" i="14" s="1"/>
  <c r="J188" i="14"/>
  <c r="P188" i="14" s="1"/>
  <c r="J314" i="14"/>
  <c r="P314" i="14" s="1"/>
  <c r="J378" i="14"/>
  <c r="P378" i="14" s="1"/>
  <c r="J442" i="14"/>
  <c r="P442" i="14" s="1"/>
  <c r="J506" i="14"/>
  <c r="J570" i="14"/>
  <c r="P570" i="14" s="1"/>
  <c r="J634" i="14"/>
  <c r="J698" i="14"/>
  <c r="P698" i="14" s="1"/>
  <c r="J762" i="14"/>
  <c r="P762" i="14" s="1"/>
  <c r="J826" i="14"/>
  <c r="P826" i="14" s="1"/>
  <c r="J860" i="14"/>
  <c r="P860" i="14" s="1"/>
  <c r="J868" i="14"/>
  <c r="P868" i="14" s="1"/>
  <c r="J876" i="14"/>
  <c r="J884" i="14"/>
  <c r="P884" i="14" s="1"/>
  <c r="J892" i="14"/>
  <c r="J900" i="14"/>
  <c r="J908" i="14"/>
  <c r="P908" i="14" s="1"/>
  <c r="J916" i="14"/>
  <c r="P916" i="14" s="1"/>
  <c r="J924" i="14"/>
  <c r="P924" i="14" s="1"/>
  <c r="J932" i="14"/>
  <c r="P932" i="14" s="1"/>
  <c r="J940" i="14"/>
  <c r="J948" i="14"/>
  <c r="P948" i="14" s="1"/>
  <c r="J956" i="14"/>
  <c r="J964" i="14"/>
  <c r="J972" i="14"/>
  <c r="P972" i="14" s="1"/>
  <c r="J980" i="14"/>
  <c r="P980" i="14" s="1"/>
  <c r="J988" i="14"/>
  <c r="P988" i="14" s="1"/>
  <c r="J996" i="14"/>
  <c r="P996" i="14" s="1"/>
  <c r="J1004" i="14"/>
  <c r="J1012" i="14"/>
  <c r="P1012" i="14" s="1"/>
  <c r="J1020" i="14"/>
  <c r="J1028" i="14"/>
  <c r="P1028" i="14" s="1"/>
  <c r="J1036" i="14"/>
  <c r="J1044" i="14"/>
  <c r="P1044" i="14" s="1"/>
  <c r="J1052" i="14"/>
  <c r="P1052" i="14" s="1"/>
  <c r="J1060" i="14"/>
  <c r="P1060" i="14" s="1"/>
  <c r="J1068" i="14"/>
  <c r="J1076" i="14"/>
  <c r="J1084" i="14"/>
  <c r="J1092" i="14"/>
  <c r="P1092" i="14" s="1"/>
  <c r="J1100" i="14"/>
  <c r="P1100" i="14" s="1"/>
  <c r="J1108" i="14"/>
  <c r="P1108" i="14" s="1"/>
  <c r="J1116" i="14"/>
  <c r="P1116" i="14" s="1"/>
  <c r="J1124" i="14"/>
  <c r="P1124" i="14" s="1"/>
  <c r="J1132" i="14"/>
  <c r="J1140" i="14"/>
  <c r="P1140" i="14" s="1"/>
  <c r="J1148" i="14"/>
  <c r="J247" i="14"/>
  <c r="J322" i="14"/>
  <c r="P322" i="14" s="1"/>
  <c r="J386" i="14"/>
  <c r="P386" i="14" s="1"/>
  <c r="J450" i="14"/>
  <c r="P450" i="14" s="1"/>
  <c r="J514" i="14"/>
  <c r="P514" i="14" s="1"/>
  <c r="J578" i="14"/>
  <c r="P578" i="14" s="1"/>
  <c r="J642" i="14"/>
  <c r="J706" i="14"/>
  <c r="J770" i="14"/>
  <c r="P770" i="14" s="1"/>
  <c r="J834" i="14"/>
  <c r="P834" i="14" s="1"/>
  <c r="J861" i="14"/>
  <c r="P861" i="14" s="1"/>
  <c r="J869" i="14"/>
  <c r="P869" i="14" s="1"/>
  <c r="J877" i="14"/>
  <c r="P877" i="14" s="1"/>
  <c r="J885" i="14"/>
  <c r="P885" i="14" s="1"/>
  <c r="J893" i="14"/>
  <c r="P893" i="14" s="1"/>
  <c r="J901" i="14"/>
  <c r="J909" i="14"/>
  <c r="J917" i="14"/>
  <c r="P917" i="14" s="1"/>
  <c r="J925" i="14"/>
  <c r="P925" i="14" s="1"/>
  <c r="J933" i="14"/>
  <c r="P933" i="14" s="1"/>
  <c r="J941" i="14"/>
  <c r="P941" i="14" s="1"/>
  <c r="J949" i="14"/>
  <c r="J957" i="14"/>
  <c r="P957" i="14" s="1"/>
  <c r="J965" i="14"/>
  <c r="J973" i="14"/>
  <c r="J981" i="14"/>
  <c r="P981" i="14" s="1"/>
  <c r="J989" i="14"/>
  <c r="P989" i="14" s="1"/>
  <c r="J997" i="14"/>
  <c r="P997" i="14" s="1"/>
  <c r="J1005" i="14"/>
  <c r="P1005" i="14" s="1"/>
  <c r="J1013" i="14"/>
  <c r="J1021" i="14"/>
  <c r="J1029" i="14"/>
  <c r="J1037" i="14"/>
  <c r="P1037" i="14" s="1"/>
  <c r="J1045" i="14"/>
  <c r="P1045" i="14" s="1"/>
  <c r="J1053" i="14"/>
  <c r="P1053" i="14" s="1"/>
  <c r="J1061" i="14"/>
  <c r="P1061" i="14" s="1"/>
  <c r="J1069" i="14"/>
  <c r="P1069" i="14" s="1"/>
  <c r="J1077" i="14"/>
  <c r="J1085" i="14"/>
  <c r="J1093" i="14"/>
  <c r="J1101" i="14"/>
  <c r="P1101" i="14" s="1"/>
  <c r="J1109" i="14"/>
  <c r="P1109" i="14" s="1"/>
  <c r="J1117" i="14"/>
  <c r="P1117" i="14" s="1"/>
  <c r="J1125" i="14"/>
  <c r="P1125" i="14" s="1"/>
  <c r="J1133" i="14"/>
  <c r="P1133" i="14" s="1"/>
  <c r="J1141" i="14"/>
  <c r="P1141" i="14" s="1"/>
  <c r="J1149" i="14"/>
  <c r="P1149" i="14" s="1"/>
  <c r="J260" i="14"/>
  <c r="P260" i="14" s="1"/>
  <c r="J330" i="14"/>
  <c r="P330" i="14" s="1"/>
  <c r="J394" i="14"/>
  <c r="J458" i="14"/>
  <c r="P458" i="14" s="1"/>
  <c r="J522" i="14"/>
  <c r="P522" i="14" s="1"/>
  <c r="J586" i="14"/>
  <c r="P586" i="14" s="1"/>
  <c r="J650" i="14"/>
  <c r="J714" i="14"/>
  <c r="P714" i="14" s="1"/>
  <c r="J778" i="14"/>
  <c r="J842" i="14"/>
  <c r="J862" i="14"/>
  <c r="J870" i="14"/>
  <c r="P870" i="14" s="1"/>
  <c r="J878" i="14"/>
  <c r="P878" i="14" s="1"/>
  <c r="J886" i="14"/>
  <c r="P886" i="14" s="1"/>
  <c r="J894" i="14"/>
  <c r="J902" i="14"/>
  <c r="P902" i="14" s="1"/>
  <c r="J910" i="14"/>
  <c r="J918" i="14"/>
  <c r="P918" i="14" s="1"/>
  <c r="J926" i="14"/>
  <c r="P926" i="14" s="1"/>
  <c r="J934" i="14"/>
  <c r="P934" i="14" s="1"/>
  <c r="J942" i="14"/>
  <c r="P942" i="14" s="1"/>
  <c r="J950" i="14"/>
  <c r="P950" i="14" s="1"/>
  <c r="J958" i="14"/>
  <c r="J966" i="14"/>
  <c r="P966" i="14" s="1"/>
  <c r="J974" i="14"/>
  <c r="J982" i="14"/>
  <c r="J990" i="14"/>
  <c r="J998" i="14"/>
  <c r="P998" i="14" s="1"/>
  <c r="J1006" i="14"/>
  <c r="P1006" i="14" s="1"/>
  <c r="J1014" i="14"/>
  <c r="P1014" i="14" s="1"/>
  <c r="J1022" i="14"/>
  <c r="J1030" i="14"/>
  <c r="P1030" i="14" s="1"/>
  <c r="J1038" i="14"/>
  <c r="J1046" i="14"/>
  <c r="J1054" i="14"/>
  <c r="J1062" i="14"/>
  <c r="P1062" i="14" s="1"/>
  <c r="J1070" i="14"/>
  <c r="P1070" i="14" s="1"/>
  <c r="J1078" i="14"/>
  <c r="P1078" i="14" s="1"/>
  <c r="J1086" i="14"/>
  <c r="J1094" i="14"/>
  <c r="P1094" i="14" s="1"/>
  <c r="J1102" i="14"/>
  <c r="J1110" i="14"/>
  <c r="J1118" i="14"/>
  <c r="J1126" i="14"/>
  <c r="P1126" i="14" s="1"/>
  <c r="J1134" i="14"/>
  <c r="P1134" i="14" s="1"/>
  <c r="J1142" i="14"/>
  <c r="P1142" i="14" s="1"/>
  <c r="J1150" i="14"/>
  <c r="J270" i="14"/>
  <c r="J338" i="14"/>
  <c r="P338" i="14" s="1"/>
  <c r="J402" i="14"/>
  <c r="P402" i="14" s="1"/>
  <c r="J466" i="14"/>
  <c r="J530" i="14"/>
  <c r="P530" i="14" s="1"/>
  <c r="J594" i="14"/>
  <c r="P594" i="14" s="1"/>
  <c r="J658" i="14"/>
  <c r="P658" i="14" s="1"/>
  <c r="J722" i="14"/>
  <c r="J786" i="14"/>
  <c r="J850" i="14"/>
  <c r="P850" i="14" s="1"/>
  <c r="J863" i="14"/>
  <c r="P863" i="14" s="1"/>
  <c r="J871" i="14"/>
  <c r="J879" i="14"/>
  <c r="P879" i="14" s="1"/>
  <c r="J887" i="14"/>
  <c r="P887" i="14" s="1"/>
  <c r="J895" i="14"/>
  <c r="P895" i="14" s="1"/>
  <c r="J903" i="14"/>
  <c r="J911" i="14"/>
  <c r="J919" i="14"/>
  <c r="P919" i="14" s="1"/>
  <c r="J927" i="14"/>
  <c r="P927" i="14" s="1"/>
  <c r="J935" i="14"/>
  <c r="J943" i="14"/>
  <c r="P943" i="14" s="1"/>
  <c r="J951" i="14"/>
  <c r="P951" i="14" s="1"/>
  <c r="J959" i="14"/>
  <c r="P959" i="14" s="1"/>
  <c r="J967" i="14"/>
  <c r="J975" i="14"/>
  <c r="J983" i="14"/>
  <c r="P983" i="14" s="1"/>
  <c r="J991" i="14"/>
  <c r="J999" i="14"/>
  <c r="J1007" i="14"/>
  <c r="P1007" i="14" s="1"/>
  <c r="J1015" i="14"/>
  <c r="P1015" i="14" s="1"/>
  <c r="J1023" i="14"/>
  <c r="P1023" i="14" s="1"/>
  <c r="J1031" i="14"/>
  <c r="J1039" i="14"/>
  <c r="J1047" i="14"/>
  <c r="P1047" i="14" s="1"/>
  <c r="J1055" i="14"/>
  <c r="P1055" i="14" s="1"/>
  <c r="J1063" i="14"/>
  <c r="J1071" i="14"/>
  <c r="P1071" i="14" s="1"/>
  <c r="J1079" i="14"/>
  <c r="P1079" i="14" s="1"/>
  <c r="J1087" i="14"/>
  <c r="P1087" i="14" s="1"/>
  <c r="J1095" i="14"/>
  <c r="J1103" i="14"/>
  <c r="J1111" i="14"/>
  <c r="P1111" i="14" s="1"/>
  <c r="J1119" i="14"/>
  <c r="P1119" i="14" s="1"/>
  <c r="J1127" i="14"/>
  <c r="J1135" i="14"/>
  <c r="P1135" i="14" s="1"/>
  <c r="J1143" i="14"/>
  <c r="P1143" i="14" s="1"/>
  <c r="J1151" i="14"/>
  <c r="P1151" i="14" s="1"/>
  <c r="J602" i="14"/>
  <c r="P602" i="14" s="1"/>
  <c r="J888" i="14"/>
  <c r="J952" i="14"/>
  <c r="P952" i="14" s="1"/>
  <c r="J1016" i="14"/>
  <c r="P1016" i="14" s="1"/>
  <c r="J1080" i="14"/>
  <c r="P1080" i="14" s="1"/>
  <c r="J1144" i="14"/>
  <c r="P1144" i="14" s="1"/>
  <c r="J666" i="14"/>
  <c r="P666" i="14" s="1"/>
  <c r="J896" i="14"/>
  <c r="P896" i="14" s="1"/>
  <c r="J960" i="14"/>
  <c r="J1024" i="14"/>
  <c r="J1088" i="14"/>
  <c r="J1152" i="14"/>
  <c r="J730" i="14"/>
  <c r="J904" i="14"/>
  <c r="P904" i="14" s="1"/>
  <c r="J968" i="14"/>
  <c r="P968" i="14" s="1"/>
  <c r="J1032" i="14"/>
  <c r="P1032" i="14" s="1"/>
  <c r="J1096" i="14"/>
  <c r="P1096" i="14" s="1"/>
  <c r="J281" i="14"/>
  <c r="P281" i="14" s="1"/>
  <c r="J794" i="14"/>
  <c r="J912" i="14"/>
  <c r="P912" i="14" s="1"/>
  <c r="J976" i="14"/>
  <c r="J1040" i="14"/>
  <c r="P1040" i="14" s="1"/>
  <c r="J1104" i="14"/>
  <c r="P1104" i="14" s="1"/>
  <c r="J346" i="14"/>
  <c r="P346" i="14" s="1"/>
  <c r="J855" i="14"/>
  <c r="P855" i="14" s="1"/>
  <c r="J920" i="14"/>
  <c r="J984" i="14"/>
  <c r="J1048" i="14"/>
  <c r="P1048" i="14" s="1"/>
  <c r="J1112" i="14"/>
  <c r="P1112" i="14" s="1"/>
  <c r="J410" i="14"/>
  <c r="P410" i="14" s="1"/>
  <c r="J864" i="14"/>
  <c r="P864" i="14" s="1"/>
  <c r="J928" i="14"/>
  <c r="P928" i="14" s="1"/>
  <c r="J992" i="14"/>
  <c r="P992" i="14" s="1"/>
  <c r="J1056" i="14"/>
  <c r="J1120" i="14"/>
  <c r="J474" i="14"/>
  <c r="J872" i="14"/>
  <c r="P872" i="14" s="1"/>
  <c r="J936" i="14"/>
  <c r="P936" i="14" s="1"/>
  <c r="J1000" i="14"/>
  <c r="P1000" i="14" s="1"/>
  <c r="J1064" i="14"/>
  <c r="P1064" i="14" s="1"/>
  <c r="J1128" i="14"/>
  <c r="J1008" i="14"/>
  <c r="P1008" i="14" s="1"/>
  <c r="J538" i="14"/>
  <c r="J880" i="14"/>
  <c r="J944" i="14"/>
  <c r="P944" i="14" s="1"/>
  <c r="J1072" i="14"/>
  <c r="P1072" i="14" s="1"/>
  <c r="J1136" i="14"/>
  <c r="P1136" i="14" s="1"/>
  <c r="P83" i="14"/>
  <c r="P147" i="14"/>
  <c r="P211" i="14"/>
  <c r="P275" i="14"/>
  <c r="P68" i="14"/>
  <c r="P196" i="14"/>
  <c r="P324" i="14"/>
  <c r="P388" i="14"/>
  <c r="P564" i="14"/>
  <c r="P628" i="14"/>
  <c r="P692" i="14"/>
  <c r="P29" i="14"/>
  <c r="P93" i="14"/>
  <c r="P349" i="14"/>
  <c r="P413" i="14"/>
  <c r="P477" i="14"/>
  <c r="P70" i="14"/>
  <c r="P134" i="14"/>
  <c r="P198" i="14"/>
  <c r="P254" i="14"/>
  <c r="P262" i="14"/>
  <c r="P326" i="14"/>
  <c r="P454" i="14"/>
  <c r="P582" i="14"/>
  <c r="P23" i="14"/>
  <c r="P87" i="14"/>
  <c r="P151" i="14"/>
  <c r="P215" i="14"/>
  <c r="P343" i="14"/>
  <c r="P407" i="14"/>
  <c r="P471" i="14"/>
  <c r="P535" i="14"/>
  <c r="P599" i="14"/>
  <c r="P655" i="14"/>
  <c r="P663" i="14"/>
  <c r="P272" i="14"/>
  <c r="P441" i="14"/>
  <c r="P991" i="14"/>
  <c r="P627" i="14"/>
  <c r="P683" i="14"/>
  <c r="P744" i="14"/>
  <c r="P752" i="14"/>
  <c r="P808" i="14"/>
  <c r="P880" i="14"/>
  <c r="P888" i="14"/>
  <c r="P64" i="14"/>
  <c r="P192" i="14"/>
  <c r="P233" i="14"/>
  <c r="P361" i="14"/>
  <c r="P539" i="14"/>
  <c r="P617" i="14"/>
  <c r="P642" i="14"/>
  <c r="P705" i="14"/>
  <c r="P769" i="14"/>
  <c r="P897" i="14"/>
  <c r="P961" i="14"/>
  <c r="P1025" i="14"/>
  <c r="P66" i="14"/>
  <c r="P112" i="14"/>
  <c r="P240" i="14"/>
  <c r="P409" i="14"/>
  <c r="P432" i="14"/>
  <c r="P544" i="14"/>
  <c r="P555" i="14"/>
  <c r="P645" i="14"/>
  <c r="P731" i="14"/>
  <c r="P739" i="14"/>
  <c r="P795" i="14"/>
  <c r="P803" i="14"/>
  <c r="P867" i="14"/>
  <c r="P931" i="14"/>
  <c r="P995" i="14"/>
  <c r="P1059" i="14"/>
  <c r="P282" i="14"/>
  <c r="P305" i="14"/>
  <c r="P474" i="14"/>
  <c r="P667" i="14"/>
  <c r="P689" i="14"/>
  <c r="P756" i="14"/>
  <c r="P820" i="14"/>
  <c r="P876" i="14"/>
  <c r="P114" i="14"/>
  <c r="P1137" i="14"/>
  <c r="P178" i="14"/>
  <c r="P786" i="14"/>
  <c r="P806" i="14"/>
  <c r="P1154" i="14"/>
  <c r="P874" i="14"/>
  <c r="P1123" i="14"/>
  <c r="P193" i="14"/>
  <c r="P248" i="14"/>
  <c r="P547" i="14"/>
  <c r="P790" i="14"/>
  <c r="P982" i="14"/>
  <c r="P1084" i="14"/>
  <c r="P426" i="14"/>
  <c r="P837" i="14"/>
  <c r="P946" i="14"/>
  <c r="P994" i="14"/>
  <c r="P561" i="14"/>
  <c r="P1058" i="14"/>
  <c r="P1110" i="14"/>
  <c r="P797" i="14"/>
  <c r="P845" i="14"/>
  <c r="P434" i="14"/>
  <c r="P490" i="14"/>
  <c r="P625" i="14"/>
  <c r="P1118" i="14"/>
  <c r="P781" i="14"/>
  <c r="P690" i="14"/>
  <c r="P842" i="14"/>
  <c r="P97" i="14"/>
  <c r="P862" i="14"/>
  <c r="P99" i="16"/>
  <c r="P58" i="16"/>
  <c r="P95" i="16"/>
  <c r="P408" i="16"/>
  <c r="P22" i="16"/>
  <c r="P23" i="16"/>
  <c r="P24" i="16"/>
  <c r="P27" i="16"/>
  <c r="P28" i="16"/>
  <c r="P29" i="16"/>
  <c r="P31" i="16"/>
  <c r="P32" i="16"/>
  <c r="P35" i="16"/>
  <c r="P36" i="16"/>
  <c r="P37" i="16"/>
  <c r="P39" i="16"/>
  <c r="P42" i="16"/>
  <c r="P43" i="16"/>
  <c r="P44" i="16"/>
  <c r="P45" i="16"/>
  <c r="P47" i="16"/>
  <c r="P50" i="16"/>
  <c r="P51" i="16"/>
  <c r="P52" i="16"/>
  <c r="P54" i="16"/>
  <c r="P57" i="16"/>
  <c r="P59" i="16"/>
  <c r="P60" i="16"/>
  <c r="P61" i="16"/>
  <c r="P62" i="16"/>
  <c r="P64" i="16"/>
  <c r="P65" i="16"/>
  <c r="P66" i="16"/>
  <c r="P68" i="16"/>
  <c r="P69" i="16"/>
  <c r="P70" i="16"/>
  <c r="P73" i="16"/>
  <c r="P74" i="16"/>
  <c r="P76" i="16"/>
  <c r="P78" i="16"/>
  <c r="P79" i="16"/>
  <c r="P80" i="16"/>
  <c r="P81" i="16"/>
  <c r="P85" i="16"/>
  <c r="P86" i="16"/>
  <c r="P87" i="16"/>
  <c r="P88" i="16"/>
  <c r="P89" i="16"/>
  <c r="P91" i="16"/>
  <c r="P93" i="16"/>
  <c r="P103" i="16"/>
  <c r="P104" i="16"/>
  <c r="P105" i="16"/>
  <c r="P106" i="16"/>
  <c r="P107" i="16"/>
  <c r="P111" i="16"/>
  <c r="P112" i="16"/>
  <c r="P113" i="16"/>
  <c r="P114" i="16"/>
  <c r="P115" i="16"/>
  <c r="P118" i="16"/>
  <c r="P120" i="16"/>
  <c r="P121" i="16"/>
  <c r="P122" i="16"/>
  <c r="P123" i="16"/>
  <c r="P124" i="16"/>
  <c r="P125" i="16"/>
  <c r="P126" i="16"/>
  <c r="P1102" i="14"/>
  <c r="P1103" i="14"/>
  <c r="P1120" i="14"/>
  <c r="P1121" i="14"/>
  <c r="P1122" i="14"/>
  <c r="P1127" i="14"/>
  <c r="P1128" i="14"/>
  <c r="P1129" i="14"/>
  <c r="P1130" i="14"/>
  <c r="P1131" i="14"/>
  <c r="P1132" i="14"/>
  <c r="P1138" i="14"/>
  <c r="P1148" i="14"/>
  <c r="P1150" i="14"/>
  <c r="P1152" i="14"/>
  <c r="P1153" i="14"/>
  <c r="P411" i="16"/>
  <c r="P412" i="16"/>
  <c r="P413" i="16"/>
  <c r="P415" i="16"/>
  <c r="P416" i="16"/>
  <c r="P417" i="16"/>
  <c r="P419" i="16"/>
  <c r="P420" i="16"/>
  <c r="P421" i="16"/>
  <c r="P423" i="16"/>
  <c r="P426" i="16"/>
  <c r="P427" i="16"/>
  <c r="P428" i="16"/>
  <c r="P429" i="16"/>
  <c r="P431" i="16"/>
  <c r="P432" i="16"/>
  <c r="P434" i="16"/>
  <c r="P435" i="16"/>
  <c r="P436" i="16"/>
  <c r="P438" i="16"/>
  <c r="P440" i="16"/>
  <c r="P441" i="16"/>
  <c r="P442" i="16"/>
  <c r="P443" i="16"/>
  <c r="P444" i="16"/>
  <c r="P445" i="16"/>
  <c r="P324" i="16"/>
  <c r="P326" i="16"/>
  <c r="P329" i="16"/>
  <c r="P330" i="16"/>
  <c r="P332" i="16"/>
  <c r="P334" i="16"/>
  <c r="P335" i="16"/>
  <c r="P336" i="16"/>
  <c r="P337" i="16"/>
  <c r="P341" i="16"/>
  <c r="P342" i="16"/>
  <c r="P343" i="16"/>
  <c r="P344" i="16"/>
  <c r="P345" i="16"/>
  <c r="P347" i="16"/>
  <c r="P351" i="16"/>
  <c r="P352" i="16"/>
  <c r="P353" i="16"/>
  <c r="P355" i="16"/>
  <c r="P357" i="16"/>
  <c r="P359" i="16"/>
  <c r="P360" i="16"/>
  <c r="P361" i="16"/>
  <c r="P362" i="16"/>
  <c r="P363" i="16"/>
  <c r="P367" i="16"/>
  <c r="P369" i="16"/>
  <c r="P370" i="16"/>
  <c r="P371" i="16"/>
  <c r="P374" i="16"/>
  <c r="P376" i="16"/>
  <c r="P377" i="16"/>
  <c r="P378" i="16"/>
  <c r="P379" i="16"/>
  <c r="P381" i="16"/>
  <c r="P382" i="16"/>
  <c r="P384" i="16"/>
  <c r="P386" i="16"/>
  <c r="P388" i="16"/>
  <c r="P390" i="16"/>
  <c r="P394" i="16"/>
  <c r="P398" i="16"/>
  <c r="P399" i="16"/>
  <c r="P401" i="16"/>
  <c r="P404" i="16"/>
  <c r="P405" i="16"/>
  <c r="P406" i="16"/>
  <c r="P407" i="16"/>
  <c r="P501" i="16"/>
  <c r="P502" i="16"/>
  <c r="P504" i="16"/>
  <c r="P505" i="16"/>
  <c r="P506" i="16"/>
  <c r="P507" i="16"/>
  <c r="P509" i="16"/>
  <c r="P510" i="16"/>
  <c r="P513" i="16"/>
  <c r="P514" i="16"/>
  <c r="P516" i="16"/>
  <c r="P518" i="16"/>
  <c r="P522" i="16"/>
  <c r="P526" i="16"/>
  <c r="P527" i="16"/>
  <c r="P528" i="16"/>
  <c r="P532" i="16"/>
  <c r="P534" i="16"/>
  <c r="P535" i="16"/>
  <c r="P536" i="16"/>
  <c r="P22" i="14"/>
  <c r="P559" i="14"/>
  <c r="P560" i="14"/>
  <c r="P569" i="14"/>
  <c r="P571" i="14"/>
  <c r="P572" i="14"/>
  <c r="P576" i="14"/>
  <c r="P581" i="14"/>
  <c r="P588" i="14"/>
  <c r="P589" i="14"/>
  <c r="P591" i="14"/>
  <c r="P598" i="14"/>
  <c r="P603" i="14"/>
  <c r="P605" i="14"/>
  <c r="P606" i="14"/>
  <c r="P608" i="14"/>
  <c r="P611" i="14"/>
  <c r="P614" i="14"/>
  <c r="P616" i="14"/>
  <c r="P619" i="14"/>
  <c r="P623" i="14"/>
  <c r="P624" i="14"/>
  <c r="P630" i="14"/>
  <c r="P633" i="14"/>
  <c r="P634" i="14"/>
  <c r="P635" i="14"/>
  <c r="P636" i="14"/>
  <c r="P640" i="14"/>
  <c r="P646" i="14"/>
  <c r="P650" i="14"/>
  <c r="P652" i="14"/>
  <c r="P653" i="14"/>
  <c r="P662" i="14"/>
  <c r="P669" i="14"/>
  <c r="P672" i="14"/>
  <c r="P674" i="14"/>
  <c r="P675" i="14"/>
  <c r="P678" i="14"/>
  <c r="P680" i="14"/>
  <c r="P681" i="14"/>
  <c r="P682" i="14"/>
  <c r="P687" i="14"/>
  <c r="P688" i="14"/>
  <c r="P697" i="14"/>
  <c r="P699" i="14"/>
  <c r="P700" i="14"/>
  <c r="P704" i="14"/>
  <c r="P706" i="14"/>
  <c r="P708" i="14"/>
  <c r="P709" i="14"/>
  <c r="P710" i="14"/>
  <c r="P716" i="14"/>
  <c r="P717" i="14"/>
  <c r="P719" i="14"/>
  <c r="P722" i="14"/>
  <c r="P726" i="14"/>
  <c r="P727" i="14"/>
  <c r="P730" i="14"/>
  <c r="P733" i="14"/>
  <c r="P736" i="14"/>
  <c r="P742" i="14"/>
  <c r="P745" i="14"/>
  <c r="P747" i="14"/>
  <c r="P751" i="14"/>
  <c r="P753" i="14"/>
  <c r="P761" i="14"/>
  <c r="P763" i="14"/>
  <c r="P764" i="14"/>
  <c r="P768" i="14"/>
  <c r="P772" i="14"/>
  <c r="P773" i="14"/>
  <c r="P774" i="14"/>
  <c r="P778" i="14"/>
  <c r="P779" i="14"/>
  <c r="P780" i="14"/>
  <c r="P783" i="14"/>
  <c r="P788" i="14"/>
  <c r="P789" i="14"/>
  <c r="P791" i="14"/>
  <c r="P794" i="14"/>
  <c r="P800" i="14"/>
  <c r="P805" i="14"/>
  <c r="P809" i="14"/>
  <c r="P817" i="14"/>
  <c r="P828" i="14"/>
  <c r="P832" i="14"/>
  <c r="P836" i="14"/>
  <c r="P838" i="14"/>
  <c r="P844" i="14"/>
  <c r="P854" i="14"/>
  <c r="P866" i="14"/>
  <c r="P892" i="14"/>
  <c r="P894" i="14"/>
  <c r="P898" i="14"/>
  <c r="P900" i="14"/>
  <c r="P910" i="14"/>
  <c r="P929" i="14"/>
  <c r="P935" i="14"/>
  <c r="P937" i="14"/>
  <c r="P939" i="14"/>
  <c r="P945" i="14"/>
  <c r="P949" i="14"/>
  <c r="P955" i="14"/>
  <c r="P963" i="14"/>
  <c r="P965" i="14"/>
  <c r="P967" i="14"/>
  <c r="P973" i="14"/>
  <c r="P975" i="14"/>
  <c r="P811" i="14"/>
  <c r="P815" i="14"/>
  <c r="P816" i="14"/>
  <c r="P825" i="14"/>
  <c r="P827" i="14"/>
  <c r="P831" i="14"/>
  <c r="P843" i="14"/>
  <c r="P847" i="14"/>
  <c r="P865" i="14"/>
  <c r="P871" i="14"/>
  <c r="P873" i="14"/>
  <c r="P875" i="14"/>
  <c r="P881" i="14"/>
  <c r="P891" i="14"/>
  <c r="P899" i="14"/>
  <c r="P901" i="14"/>
  <c r="P903" i="14"/>
  <c r="P909" i="14"/>
  <c r="P911" i="14"/>
  <c r="P920" i="14"/>
  <c r="P930" i="14"/>
  <c r="P938" i="14"/>
  <c r="P940" i="14"/>
  <c r="P956" i="14"/>
  <c r="P958" i="14"/>
  <c r="P960" i="14"/>
  <c r="P962" i="14"/>
  <c r="P964" i="14"/>
  <c r="P974" i="14"/>
  <c r="P976" i="14"/>
  <c r="P984" i="14"/>
  <c r="P990" i="14"/>
  <c r="P993" i="14"/>
  <c r="P999" i="14"/>
  <c r="P1001" i="14"/>
  <c r="P1002" i="14"/>
  <c r="P1003" i="14"/>
  <c r="P1004" i="14"/>
  <c r="P1009" i="14"/>
  <c r="P1013" i="14"/>
  <c r="P1020" i="14"/>
  <c r="P1021" i="14"/>
  <c r="P1022" i="14"/>
  <c r="P1024" i="14"/>
  <c r="P1026" i="14"/>
  <c r="P1027" i="14"/>
  <c r="P1029" i="14"/>
  <c r="P1031" i="14"/>
  <c r="P1036" i="14"/>
  <c r="P1038" i="14"/>
  <c r="P1039" i="14"/>
  <c r="P1046" i="14"/>
  <c r="P1054" i="14"/>
  <c r="P1056" i="14"/>
  <c r="P1057" i="14"/>
  <c r="P1063" i="14"/>
  <c r="P1065" i="14"/>
  <c r="P1066" i="14"/>
  <c r="P1067" i="14"/>
  <c r="P1068" i="14"/>
  <c r="P1073" i="14"/>
  <c r="P1076" i="14"/>
  <c r="P1077" i="14"/>
  <c r="P1085" i="14"/>
  <c r="P1086" i="14"/>
  <c r="P1088" i="14"/>
  <c r="P1089" i="14"/>
  <c r="P1090" i="14"/>
  <c r="P1091" i="14"/>
  <c r="P1093" i="14"/>
  <c r="P1095" i="14"/>
  <c r="P219" i="14"/>
  <c r="P223" i="14"/>
  <c r="P225" i="14"/>
  <c r="P227" i="14"/>
  <c r="P230" i="14"/>
  <c r="P231" i="14"/>
  <c r="P236" i="14"/>
  <c r="P237" i="14"/>
  <c r="P241" i="14"/>
  <c r="P242" i="14"/>
  <c r="P243" i="14"/>
  <c r="P245" i="14"/>
  <c r="P247" i="14"/>
  <c r="P253" i="14"/>
  <c r="P256" i="14"/>
  <c r="P263" i="14"/>
  <c r="P266" i="14"/>
  <c r="P274" i="14"/>
  <c r="P276" i="14"/>
  <c r="P288" i="14"/>
  <c r="P294" i="14"/>
  <c r="P296" i="14"/>
  <c r="P297" i="14"/>
  <c r="P299" i="14"/>
  <c r="P303" i="14"/>
  <c r="P313" i="14"/>
  <c r="P315" i="14"/>
  <c r="P321" i="14"/>
  <c r="P325" i="14"/>
  <c r="P332" i="14"/>
  <c r="P342" i="14"/>
  <c r="P347" i="14"/>
  <c r="P355" i="14"/>
  <c r="P359" i="14"/>
  <c r="P363" i="14"/>
  <c r="P367" i="14"/>
  <c r="P369" i="14"/>
  <c r="P371" i="14"/>
  <c r="P377" i="14"/>
  <c r="P379" i="14"/>
  <c r="P384" i="14"/>
  <c r="P390" i="14"/>
  <c r="P394" i="14"/>
  <c r="P396" i="14"/>
  <c r="P406" i="14"/>
  <c r="P411" i="14"/>
  <c r="P419" i="14"/>
  <c r="P425" i="14"/>
  <c r="P427" i="14"/>
  <c r="P431" i="14"/>
  <c r="P433" i="14"/>
  <c r="P436" i="14"/>
  <c r="P444" i="14"/>
  <c r="P448" i="14"/>
  <c r="P460" i="14"/>
  <c r="P466" i="14"/>
  <c r="P470" i="14"/>
  <c r="P480" i="14"/>
  <c r="P482" i="14"/>
  <c r="P496" i="14"/>
  <c r="P498" i="14"/>
  <c r="P222" i="14"/>
  <c r="P270" i="14"/>
  <c r="P277" i="14"/>
  <c r="P283" i="14"/>
  <c r="P285" i="14"/>
  <c r="P291" i="14"/>
  <c r="P304" i="14"/>
  <c r="P308" i="14"/>
  <c r="P316" i="14"/>
  <c r="P320" i="14"/>
  <c r="P333" i="14"/>
  <c r="P335" i="14"/>
  <c r="P352" i="14"/>
  <c r="P358" i="14"/>
  <c r="P360" i="14"/>
  <c r="P368" i="14"/>
  <c r="P372" i="14"/>
  <c r="P380" i="14"/>
  <c r="P389" i="14"/>
  <c r="P397" i="14"/>
  <c r="P399" i="14"/>
  <c r="P416" i="14"/>
  <c r="P418" i="14"/>
  <c r="P422" i="14"/>
  <c r="P424" i="14"/>
  <c r="P435" i="14"/>
  <c r="P443" i="14"/>
  <c r="P453" i="14"/>
  <c r="P461" i="14"/>
  <c r="P463" i="14"/>
  <c r="P475" i="14"/>
  <c r="P483" i="14"/>
  <c r="P486" i="14"/>
  <c r="P488" i="14"/>
  <c r="P489" i="14"/>
  <c r="P491" i="14"/>
  <c r="P495" i="14"/>
  <c r="P497" i="14"/>
  <c r="P500" i="14"/>
  <c r="P505" i="14"/>
  <c r="P507" i="14"/>
  <c r="P517" i="14"/>
  <c r="P524" i="14"/>
  <c r="P532" i="14"/>
  <c r="P541" i="14"/>
  <c r="P550" i="14"/>
  <c r="P553" i="14"/>
  <c r="P506" i="14"/>
  <c r="P508" i="14"/>
  <c r="P512" i="14"/>
  <c r="P518" i="14"/>
  <c r="P525" i="14"/>
  <c r="P527" i="14"/>
  <c r="P529" i="14"/>
  <c r="P534" i="14"/>
  <c r="P538" i="14"/>
  <c r="P542" i="14"/>
  <c r="P546" i="14"/>
  <c r="P552" i="14"/>
  <c r="P554" i="14"/>
  <c r="Q37" i="20"/>
  <c r="B34" i="20"/>
  <c r="P140" i="14"/>
  <c r="P320" i="16"/>
  <c r="P213" i="14"/>
  <c r="P205" i="14"/>
  <c r="P197" i="14"/>
  <c r="P189" i="14"/>
  <c r="P183" i="14"/>
  <c r="P181" i="14"/>
  <c r="P179" i="14"/>
  <c r="P177" i="14"/>
  <c r="P173" i="14"/>
  <c r="P171" i="14"/>
  <c r="P169" i="14"/>
  <c r="P167" i="14"/>
  <c r="P163" i="14"/>
  <c r="P161" i="14"/>
  <c r="P129" i="14"/>
  <c r="P317" i="16"/>
  <c r="P309" i="16"/>
  <c r="P301" i="16"/>
  <c r="P293" i="16"/>
  <c r="P285" i="16"/>
  <c r="P280" i="16"/>
  <c r="P278" i="16"/>
  <c r="P276" i="16"/>
  <c r="P272" i="16"/>
  <c r="P270" i="16"/>
  <c r="P266" i="16"/>
  <c r="P262" i="16"/>
  <c r="P260" i="16"/>
  <c r="P258" i="16"/>
  <c r="P254" i="16"/>
  <c r="P252" i="16"/>
  <c r="P250" i="16"/>
  <c r="P248" i="16"/>
  <c r="P246" i="16"/>
  <c r="P242" i="16"/>
  <c r="P240" i="16"/>
  <c r="P234" i="16"/>
  <c r="P232" i="16"/>
  <c r="P228" i="16"/>
  <c r="P158" i="14"/>
  <c r="P150" i="14"/>
  <c r="P142" i="14"/>
  <c r="P322" i="16"/>
  <c r="P314" i="16"/>
  <c r="P306" i="16"/>
  <c r="P298" i="16"/>
  <c r="P216" i="14"/>
  <c r="P214" i="14"/>
  <c r="P210" i="14"/>
  <c r="P208" i="14"/>
  <c r="P206" i="14"/>
  <c r="P204" i="14"/>
  <c r="P200" i="14"/>
  <c r="P194" i="14"/>
  <c r="P186" i="14"/>
  <c r="P184" i="14"/>
  <c r="P180" i="14"/>
  <c r="P176" i="14"/>
  <c r="P166" i="14"/>
  <c r="P141" i="14"/>
  <c r="P133" i="14"/>
  <c r="P125" i="14"/>
  <c r="P321" i="16"/>
  <c r="P313" i="16"/>
  <c r="P305" i="16"/>
  <c r="P289" i="16"/>
  <c r="P279" i="16"/>
  <c r="P277" i="16"/>
  <c r="P273" i="16"/>
  <c r="P271" i="16"/>
  <c r="P261" i="16"/>
  <c r="P253" i="16"/>
  <c r="P251" i="16"/>
  <c r="P249" i="16"/>
  <c r="P245" i="16"/>
  <c r="P243" i="16"/>
  <c r="P241" i="16"/>
  <c r="P239" i="16"/>
  <c r="P235" i="16"/>
  <c r="P233" i="16"/>
  <c r="P231" i="16"/>
  <c r="P229" i="16"/>
  <c r="P227" i="16"/>
  <c r="P284" i="16"/>
  <c r="P144" i="14"/>
  <c r="P128" i="14"/>
  <c r="P316" i="16"/>
  <c r="P287" i="16"/>
  <c r="P122" i="14"/>
  <c r="P310" i="16"/>
  <c r="P307" i="16"/>
  <c r="P294" i="16"/>
  <c r="P291" i="16"/>
  <c r="P303" i="16"/>
  <c r="P300" i="16"/>
  <c r="P159" i="14"/>
  <c r="P146" i="14"/>
  <c r="P130" i="14"/>
  <c r="P318" i="16"/>
  <c r="P315" i="16"/>
  <c r="P299" i="16"/>
  <c r="P155" i="14"/>
  <c r="P120" i="14"/>
  <c r="P308" i="16"/>
  <c r="P295" i="16"/>
  <c r="P292" i="16"/>
  <c r="P283" i="16"/>
  <c r="P224" i="16"/>
  <c r="P222" i="16"/>
  <c r="P216" i="16"/>
  <c r="P214" i="16"/>
  <c r="P208" i="16"/>
  <c r="P225" i="16"/>
  <c r="P217" i="16"/>
  <c r="P213" i="16"/>
  <c r="P209" i="16"/>
  <c r="P206" i="16"/>
  <c r="P204" i="16"/>
  <c r="P202" i="16"/>
  <c r="P198" i="16"/>
  <c r="P196" i="16"/>
  <c r="P194" i="16"/>
  <c r="P190" i="16"/>
  <c r="P188" i="16"/>
  <c r="P186" i="16"/>
  <c r="P182" i="16"/>
  <c r="P180" i="16"/>
  <c r="P178" i="16"/>
  <c r="P176" i="16"/>
  <c r="P172" i="16"/>
  <c r="P170" i="16"/>
  <c r="P164" i="16"/>
  <c r="P160" i="16"/>
  <c r="P156" i="16"/>
  <c r="P152" i="16"/>
  <c r="P150" i="16"/>
  <c r="P148" i="16"/>
  <c r="P144" i="16"/>
  <c r="P142" i="16"/>
  <c r="P138" i="16"/>
  <c r="P134" i="16"/>
  <c r="P132" i="16"/>
  <c r="P130" i="16"/>
  <c r="P128" i="16"/>
  <c r="P219" i="16"/>
  <c r="P201" i="16"/>
  <c r="P193" i="16"/>
  <c r="P189" i="16"/>
  <c r="P185" i="16"/>
  <c r="P173" i="16"/>
  <c r="P161" i="16"/>
  <c r="P157" i="16"/>
  <c r="P133" i="16"/>
  <c r="P129" i="16"/>
  <c r="P116" i="14"/>
  <c r="P108" i="14"/>
  <c r="P102" i="14"/>
  <c r="P100" i="14"/>
  <c r="P90" i="14"/>
  <c r="P86" i="14"/>
  <c r="P82" i="14"/>
  <c r="P80" i="14"/>
  <c r="P78" i="14"/>
  <c r="P72" i="14"/>
  <c r="P58" i="14"/>
  <c r="P56" i="14"/>
  <c r="P52" i="14"/>
  <c r="P50" i="14"/>
  <c r="P48" i="14"/>
  <c r="P44" i="14"/>
  <c r="P38" i="14"/>
  <c r="P36" i="14"/>
  <c r="P28" i="14"/>
  <c r="P24" i="14"/>
  <c r="P223" i="16"/>
  <c r="P215" i="16"/>
  <c r="P207" i="16"/>
  <c r="P203" i="16"/>
  <c r="P187" i="16"/>
  <c r="P179" i="16"/>
  <c r="P175" i="16"/>
  <c r="P171" i="16"/>
  <c r="P167" i="16"/>
  <c r="P163" i="16"/>
  <c r="P159" i="16"/>
  <c r="P155" i="16"/>
  <c r="P151" i="16"/>
  <c r="P143" i="16"/>
  <c r="P119" i="14"/>
  <c r="P117" i="14"/>
  <c r="P115" i="14"/>
  <c r="P113" i="14"/>
  <c r="P109" i="14"/>
  <c r="P105" i="14"/>
  <c r="P103" i="14"/>
  <c r="P99" i="14"/>
  <c r="P95" i="14"/>
  <c r="P91" i="14"/>
  <c r="P77" i="14"/>
  <c r="P71" i="14"/>
  <c r="P65" i="14"/>
  <c r="P61" i="14"/>
  <c r="P57" i="14"/>
  <c r="P55" i="14"/>
  <c r="P51" i="14"/>
  <c r="P43" i="14"/>
  <c r="P39" i="14"/>
  <c r="P35" i="14"/>
  <c r="P31" i="14"/>
  <c r="P27" i="14"/>
  <c r="P53" i="14"/>
  <c r="P49" i="14"/>
  <c r="P45" i="14"/>
  <c r="P41" i="14"/>
  <c r="P33" i="14"/>
  <c r="R40" i="20"/>
  <c r="U40" i="20"/>
  <c r="S175" i="16" l="1"/>
  <c r="S207" i="16"/>
  <c r="S145" i="16"/>
  <c r="S177" i="16"/>
  <c r="S211" i="16"/>
  <c r="S140" i="16"/>
  <c r="S156" i="16"/>
  <c r="S172" i="16"/>
  <c r="S188" i="16"/>
  <c r="S204" i="16"/>
  <c r="S210" i="16"/>
  <c r="S283" i="16"/>
  <c r="S282" i="16"/>
  <c r="S287" i="16"/>
  <c r="S229" i="16"/>
  <c r="S245" i="16"/>
  <c r="S261" i="16"/>
  <c r="S277" i="16"/>
  <c r="S236" i="16"/>
  <c r="S252" i="16"/>
  <c r="S268" i="16"/>
  <c r="S293" i="16"/>
  <c r="S530" i="16"/>
  <c r="S522" i="16"/>
  <c r="S514" i="16"/>
  <c r="S506" i="16"/>
  <c r="S405" i="16"/>
  <c r="S397" i="16"/>
  <c r="S389" i="16"/>
  <c r="S381" i="16"/>
  <c r="S373" i="16"/>
  <c r="S365" i="16"/>
  <c r="S357" i="16"/>
  <c r="S349" i="16"/>
  <c r="S341" i="16"/>
  <c r="S333" i="16"/>
  <c r="S325" i="16"/>
  <c r="S442" i="16"/>
  <c r="S433" i="16"/>
  <c r="S428" i="16"/>
  <c r="S414" i="16"/>
  <c r="S410" i="16"/>
  <c r="S124" i="16"/>
  <c r="S116" i="16"/>
  <c r="S108" i="16"/>
  <c r="S91" i="16"/>
  <c r="S83" i="16"/>
  <c r="S75" i="16"/>
  <c r="S67" i="16"/>
  <c r="S59" i="16"/>
  <c r="S50" i="16"/>
  <c r="S42" i="16"/>
  <c r="S34" i="16"/>
  <c r="S26" i="16"/>
  <c r="S96" i="16"/>
  <c r="S131" i="16"/>
  <c r="S147" i="16"/>
  <c r="S215" i="16"/>
  <c r="S149" i="16"/>
  <c r="S181" i="16"/>
  <c r="S219" i="16"/>
  <c r="S142" i="16"/>
  <c r="S158" i="16"/>
  <c r="S174" i="16"/>
  <c r="S190" i="16"/>
  <c r="S206" i="16"/>
  <c r="S212" i="16"/>
  <c r="S286" i="16"/>
  <c r="S291" i="16"/>
  <c r="S316" i="16"/>
  <c r="S231" i="16"/>
  <c r="S247" i="16"/>
  <c r="S263" i="16"/>
  <c r="S279" i="16"/>
  <c r="S238" i="16"/>
  <c r="S254" i="16"/>
  <c r="S270" i="16"/>
  <c r="S301" i="16"/>
  <c r="S288" i="16"/>
  <c r="S529" i="16"/>
  <c r="S521" i="16"/>
  <c r="S513" i="16"/>
  <c r="S505" i="16"/>
  <c r="S404" i="16"/>
  <c r="S396" i="16"/>
  <c r="S388" i="16"/>
  <c r="S380" i="16"/>
  <c r="S372" i="16"/>
  <c r="S364" i="16"/>
  <c r="S356" i="16"/>
  <c r="S348" i="16"/>
  <c r="S340" i="16"/>
  <c r="S332" i="16"/>
  <c r="S324" i="16"/>
  <c r="S437" i="16"/>
  <c r="S432" i="16"/>
  <c r="S427" i="16"/>
  <c r="S423" i="16"/>
  <c r="S418" i="16"/>
  <c r="S409" i="16"/>
  <c r="S123" i="16"/>
  <c r="S115" i="16"/>
  <c r="S107" i="16"/>
  <c r="S90" i="16"/>
  <c r="S82" i="16"/>
  <c r="S74" i="16"/>
  <c r="S66" i="16"/>
  <c r="S57" i="16"/>
  <c r="S49" i="16"/>
  <c r="S41" i="16"/>
  <c r="S33" i="16"/>
  <c r="S25" i="16"/>
  <c r="S95" i="16"/>
  <c r="S143" i="16"/>
  <c r="S179" i="16"/>
  <c r="S151" i="16"/>
  <c r="S183" i="16"/>
  <c r="S223" i="16"/>
  <c r="S153" i="16"/>
  <c r="S185" i="16"/>
  <c r="S128" i="16"/>
  <c r="S144" i="16"/>
  <c r="S160" i="16"/>
  <c r="S176" i="16"/>
  <c r="S192" i="16"/>
  <c r="S209" i="16"/>
  <c r="S214" i="16"/>
  <c r="S292" i="16"/>
  <c r="S294" i="16"/>
  <c r="S233" i="16"/>
  <c r="S249" i="16"/>
  <c r="S265" i="16"/>
  <c r="S281" i="16"/>
  <c r="S240" i="16"/>
  <c r="S256" i="16"/>
  <c r="S272" i="16"/>
  <c r="S309" i="16"/>
  <c r="S296" i="16"/>
  <c r="S536" i="16"/>
  <c r="S528" i="16"/>
  <c r="S520" i="16"/>
  <c r="S512" i="16"/>
  <c r="S504" i="16"/>
  <c r="S403" i="16"/>
  <c r="S395" i="16"/>
  <c r="S387" i="16"/>
  <c r="S379" i="16"/>
  <c r="S371" i="16"/>
  <c r="S363" i="16"/>
  <c r="S355" i="16"/>
  <c r="S347" i="16"/>
  <c r="S339" i="16"/>
  <c r="S331" i="16"/>
  <c r="S323" i="16"/>
  <c r="S441" i="16"/>
  <c r="S436" i="16"/>
  <c r="S422" i="16"/>
  <c r="S413" i="16"/>
  <c r="S122" i="16"/>
  <c r="S114" i="16"/>
  <c r="S106" i="16"/>
  <c r="S89" i="16"/>
  <c r="S81" i="16"/>
  <c r="S73" i="16"/>
  <c r="S65" i="16"/>
  <c r="S56" i="16"/>
  <c r="S48" i="16"/>
  <c r="S40" i="16"/>
  <c r="S32" i="16"/>
  <c r="S24" i="16"/>
  <c r="S102" i="16"/>
  <c r="S155" i="16"/>
  <c r="S187" i="16"/>
  <c r="S157" i="16"/>
  <c r="S189" i="16"/>
  <c r="S130" i="16"/>
  <c r="S146" i="16"/>
  <c r="S162" i="16"/>
  <c r="S178" i="16"/>
  <c r="S194" i="16"/>
  <c r="S213" i="16"/>
  <c r="S216" i="16"/>
  <c r="S295" i="16"/>
  <c r="S299" i="16"/>
  <c r="S307" i="16"/>
  <c r="S235" i="16"/>
  <c r="S251" i="16"/>
  <c r="S267" i="16"/>
  <c r="S289" i="16"/>
  <c r="S298" i="16"/>
  <c r="S226" i="16"/>
  <c r="S242" i="16"/>
  <c r="S258" i="16"/>
  <c r="S274" i="16"/>
  <c r="S317" i="16"/>
  <c r="S304" i="16"/>
  <c r="S535" i="16"/>
  <c r="S527" i="16"/>
  <c r="S519" i="16"/>
  <c r="S511" i="16"/>
  <c r="S503" i="16"/>
  <c r="S402" i="16"/>
  <c r="S394" i="16"/>
  <c r="S386" i="16"/>
  <c r="S378" i="16"/>
  <c r="S370" i="16"/>
  <c r="S362" i="16"/>
  <c r="S354" i="16"/>
  <c r="S346" i="16"/>
  <c r="S338" i="16"/>
  <c r="S330" i="16"/>
  <c r="S445" i="16"/>
  <c r="S431" i="16"/>
  <c r="S426" i="16"/>
  <c r="S417" i="16"/>
  <c r="S121" i="16"/>
  <c r="S113" i="16"/>
  <c r="S105" i="16"/>
  <c r="S88" i="16"/>
  <c r="S80" i="16"/>
  <c r="S72" i="16"/>
  <c r="S64" i="16"/>
  <c r="S55" i="16"/>
  <c r="S47" i="16"/>
  <c r="S39" i="16"/>
  <c r="S31" i="16"/>
  <c r="S23" i="16"/>
  <c r="S94" i="16"/>
  <c r="S191" i="16"/>
  <c r="S129" i="16"/>
  <c r="S161" i="16"/>
  <c r="S193" i="16"/>
  <c r="S132" i="16"/>
  <c r="S148" i="16"/>
  <c r="S164" i="16"/>
  <c r="S180" i="16"/>
  <c r="S196" i="16"/>
  <c r="S217" i="16"/>
  <c r="S218" i="16"/>
  <c r="S308" i="16"/>
  <c r="S302" i="16"/>
  <c r="S290" i="16"/>
  <c r="S310" i="16"/>
  <c r="S237" i="16"/>
  <c r="S253" i="16"/>
  <c r="S269" i="16"/>
  <c r="S297" i="16"/>
  <c r="S306" i="16"/>
  <c r="S228" i="16"/>
  <c r="S244" i="16"/>
  <c r="S260" i="16"/>
  <c r="S276" i="16"/>
  <c r="S312" i="16"/>
  <c r="S534" i="16"/>
  <c r="S526" i="16"/>
  <c r="S518" i="16"/>
  <c r="S510" i="16"/>
  <c r="S502" i="16"/>
  <c r="S401" i="16"/>
  <c r="S393" i="16"/>
  <c r="S385" i="16"/>
  <c r="S377" i="16"/>
  <c r="S369" i="16"/>
  <c r="S361" i="16"/>
  <c r="S353" i="16"/>
  <c r="S345" i="16"/>
  <c r="S337" i="16"/>
  <c r="S329" i="16"/>
  <c r="S440" i="16"/>
  <c r="S430" i="16"/>
  <c r="S421" i="16"/>
  <c r="S412" i="16"/>
  <c r="S120" i="16"/>
  <c r="S112" i="16"/>
  <c r="S104" i="16"/>
  <c r="S87" i="16"/>
  <c r="S79" i="16"/>
  <c r="S71" i="16"/>
  <c r="S63" i="16"/>
  <c r="S54" i="16"/>
  <c r="S46" i="16"/>
  <c r="S38" i="16"/>
  <c r="S30" i="16"/>
  <c r="S101" i="16"/>
  <c r="S195" i="16"/>
  <c r="S133" i="16"/>
  <c r="S165" i="16"/>
  <c r="S197" i="16"/>
  <c r="S134" i="16"/>
  <c r="S150" i="16"/>
  <c r="S166" i="16"/>
  <c r="S182" i="16"/>
  <c r="S198" i="16"/>
  <c r="S221" i="16"/>
  <c r="S220" i="16"/>
  <c r="S311" i="16"/>
  <c r="S315" i="16"/>
  <c r="S300" i="16"/>
  <c r="S284" i="16"/>
  <c r="S239" i="16"/>
  <c r="S255" i="16"/>
  <c r="S271" i="16"/>
  <c r="S305" i="16"/>
  <c r="S314" i="16"/>
  <c r="S230" i="16"/>
  <c r="S246" i="16"/>
  <c r="S262" i="16"/>
  <c r="S278" i="16"/>
  <c r="S320" i="16"/>
  <c r="S533" i="16"/>
  <c r="S525" i="16"/>
  <c r="S517" i="16"/>
  <c r="S509" i="16"/>
  <c r="S501" i="16"/>
  <c r="S400" i="16"/>
  <c r="S392" i="16"/>
  <c r="S384" i="16"/>
  <c r="S376" i="16"/>
  <c r="S368" i="16"/>
  <c r="S360" i="16"/>
  <c r="S352" i="16"/>
  <c r="S344" i="16"/>
  <c r="S336" i="16"/>
  <c r="S328" i="16"/>
  <c r="S444" i="16"/>
  <c r="S435" i="16"/>
  <c r="S425" i="16"/>
  <c r="S416" i="16"/>
  <c r="S127" i="16"/>
  <c r="S119" i="16"/>
  <c r="S111" i="16"/>
  <c r="S103" i="16"/>
  <c r="S86" i="16"/>
  <c r="S78" i="16"/>
  <c r="S70" i="16"/>
  <c r="S62" i="16"/>
  <c r="S53" i="16"/>
  <c r="S45" i="16"/>
  <c r="S37" i="16"/>
  <c r="S29" i="16"/>
  <c r="S408" i="16"/>
  <c r="S58" i="16"/>
  <c r="S159" i="16"/>
  <c r="S135" i="16"/>
  <c r="S199" i="16"/>
  <c r="S137" i="16"/>
  <c r="S169" i="16"/>
  <c r="S201" i="16"/>
  <c r="S136" i="16"/>
  <c r="S152" i="16"/>
  <c r="S168" i="16"/>
  <c r="S184" i="16"/>
  <c r="S200" i="16"/>
  <c r="S225" i="16"/>
  <c r="S222" i="16"/>
  <c r="S318" i="16"/>
  <c r="S303" i="16"/>
  <c r="S319" i="16"/>
  <c r="S241" i="16"/>
  <c r="S257" i="16"/>
  <c r="S273" i="16"/>
  <c r="S313" i="16"/>
  <c r="S322" i="16"/>
  <c r="S232" i="16"/>
  <c r="S248" i="16"/>
  <c r="S264" i="16"/>
  <c r="S280" i="16"/>
  <c r="S532" i="16"/>
  <c r="S524" i="16"/>
  <c r="S516" i="16"/>
  <c r="S508" i="16"/>
  <c r="S407" i="16"/>
  <c r="S399" i="16"/>
  <c r="S391" i="16"/>
  <c r="S383" i="16"/>
  <c r="S375" i="16"/>
  <c r="S367" i="16"/>
  <c r="S359" i="16"/>
  <c r="S351" i="16"/>
  <c r="S343" i="16"/>
  <c r="S335" i="16"/>
  <c r="S327" i="16"/>
  <c r="S439" i="16"/>
  <c r="S434" i="16"/>
  <c r="S429" i="16"/>
  <c r="S424" i="16"/>
  <c r="S420" i="16"/>
  <c r="S415" i="16"/>
  <c r="S411" i="16"/>
  <c r="S126" i="16"/>
  <c r="S118" i="16"/>
  <c r="S110" i="16"/>
  <c r="S93" i="16"/>
  <c r="S85" i="16"/>
  <c r="S77" i="16"/>
  <c r="S69" i="16"/>
  <c r="S61" i="16"/>
  <c r="S52" i="16"/>
  <c r="S44" i="16"/>
  <c r="S36" i="16"/>
  <c r="S28" i="16"/>
  <c r="S98" i="16"/>
  <c r="S100" i="16"/>
  <c r="S163" i="16"/>
  <c r="S167" i="16"/>
  <c r="S139" i="16"/>
  <c r="S171" i="16"/>
  <c r="S203" i="16"/>
  <c r="S141" i="16"/>
  <c r="S173" i="16"/>
  <c r="S205" i="16"/>
  <c r="S138" i="16"/>
  <c r="S154" i="16"/>
  <c r="S170" i="16"/>
  <c r="S186" i="16"/>
  <c r="S202" i="16"/>
  <c r="S208" i="16"/>
  <c r="S224" i="16"/>
  <c r="S227" i="16"/>
  <c r="S243" i="16"/>
  <c r="S259" i="16"/>
  <c r="S275" i="16"/>
  <c r="S321" i="16"/>
  <c r="S234" i="16"/>
  <c r="S250" i="16"/>
  <c r="S266" i="16"/>
  <c r="S285" i="16"/>
  <c r="S531" i="16"/>
  <c r="S523" i="16"/>
  <c r="S515" i="16"/>
  <c r="S507" i="16"/>
  <c r="S406" i="16"/>
  <c r="S398" i="16"/>
  <c r="S390" i="16"/>
  <c r="S382" i="16"/>
  <c r="S374" i="16"/>
  <c r="S366" i="16"/>
  <c r="S358" i="16"/>
  <c r="S350" i="16"/>
  <c r="S342" i="16"/>
  <c r="S334" i="16"/>
  <c r="S326" i="16"/>
  <c r="S443" i="16"/>
  <c r="S438" i="16"/>
  <c r="S419" i="16"/>
  <c r="S125" i="16"/>
  <c r="S117" i="16"/>
  <c r="S109" i="16"/>
  <c r="S92" i="16"/>
  <c r="S84" i="16"/>
  <c r="S76" i="16"/>
  <c r="S68" i="16"/>
  <c r="S60" i="16"/>
  <c r="S51" i="16"/>
  <c r="S43" i="16"/>
  <c r="S35" i="16"/>
  <c r="S27" i="16"/>
  <c r="S97" i="16"/>
  <c r="S99" i="16"/>
  <c r="S22" i="16"/>
  <c r="P446" i="16"/>
  <c r="N70" i="20"/>
  <c r="N71" i="20"/>
  <c r="N63" i="20"/>
  <c r="N74" i="20"/>
  <c r="P537" i="16"/>
  <c r="U41" i="20"/>
  <c r="R41" i="20"/>
  <c r="S537" i="16" l="1"/>
  <c r="S446" i="16"/>
  <c r="P447" i="16"/>
  <c r="P538" i="16"/>
  <c r="R42" i="20"/>
  <c r="U42" i="20"/>
  <c r="S447" i="16" l="1"/>
  <c r="S538" i="16"/>
  <c r="P448" i="16"/>
  <c r="P539" i="16"/>
  <c r="R43" i="20"/>
  <c r="U43" i="20"/>
  <c r="S448" i="16" l="1"/>
  <c r="S539" i="16"/>
  <c r="P449" i="16"/>
  <c r="P540" i="16"/>
  <c r="R44" i="20"/>
  <c r="U44" i="20"/>
  <c r="S449" i="16" l="1"/>
  <c r="S540" i="16"/>
  <c r="P450" i="16"/>
  <c r="P541" i="16"/>
  <c r="U45" i="20"/>
  <c r="R45" i="20"/>
  <c r="S541" i="16" l="1"/>
  <c r="S450" i="16"/>
  <c r="P451" i="16"/>
  <c r="P542" i="16"/>
  <c r="R46" i="20"/>
  <c r="U46" i="20"/>
  <c r="S451" i="16" l="1"/>
  <c r="S542" i="16"/>
  <c r="P452" i="16"/>
  <c r="P543" i="16"/>
  <c r="R47" i="20"/>
  <c r="U47" i="20"/>
  <c r="S452" i="16" l="1"/>
  <c r="S543" i="16"/>
  <c r="P453" i="16"/>
  <c r="P544" i="16"/>
  <c r="R48" i="20"/>
  <c r="U48" i="20"/>
  <c r="S544" i="16" l="1"/>
  <c r="S453" i="16"/>
  <c r="P454" i="16"/>
  <c r="P545" i="16"/>
  <c r="U49" i="20"/>
  <c r="R49" i="20"/>
  <c r="S454" i="16" l="1"/>
  <c r="S545" i="16"/>
  <c r="P455" i="16"/>
  <c r="P546" i="16"/>
  <c r="R50" i="20"/>
  <c r="U50" i="20"/>
  <c r="S455" i="16" l="1"/>
  <c r="S546" i="16"/>
  <c r="P456" i="16"/>
  <c r="P547" i="16"/>
  <c r="R51" i="20"/>
  <c r="U51" i="20"/>
  <c r="S456" i="16" l="1"/>
  <c r="S547" i="16"/>
  <c r="P457" i="16"/>
  <c r="P548" i="16"/>
  <c r="R52" i="20"/>
  <c r="U52" i="20"/>
  <c r="S457" i="16" l="1"/>
  <c r="S548" i="16"/>
  <c r="P458" i="16"/>
  <c r="P549" i="16"/>
  <c r="U53" i="20"/>
  <c r="R53" i="20"/>
  <c r="S458" i="16" l="1"/>
  <c r="S549" i="16"/>
  <c r="P459" i="16"/>
  <c r="P550" i="16"/>
  <c r="R54" i="20"/>
  <c r="U54" i="20"/>
  <c r="S550" i="16" l="1"/>
  <c r="S459" i="16"/>
  <c r="P460" i="16"/>
  <c r="P551" i="16"/>
  <c r="U55" i="20"/>
  <c r="R55" i="20"/>
  <c r="S551" i="16" l="1"/>
  <c r="S460" i="16"/>
  <c r="P461" i="16"/>
  <c r="P552" i="16"/>
  <c r="R56" i="20"/>
  <c r="U56" i="20"/>
  <c r="S552" i="16" l="1"/>
  <c r="S461" i="16"/>
  <c r="P462" i="16"/>
  <c r="P553" i="16"/>
  <c r="U57" i="20"/>
  <c r="R57" i="20"/>
  <c r="S462" i="16" l="1"/>
  <c r="S553" i="16"/>
  <c r="P463" i="16"/>
  <c r="P554" i="16"/>
  <c r="R58" i="20"/>
  <c r="U58" i="20"/>
  <c r="S463" i="16" l="1"/>
  <c r="S554" i="16"/>
  <c r="P464" i="16"/>
  <c r="P555" i="16"/>
  <c r="R59" i="20"/>
  <c r="U59" i="20"/>
  <c r="S464" i="16" l="1"/>
  <c r="S555" i="16"/>
  <c r="P465" i="16"/>
  <c r="P556" i="16"/>
  <c r="R60" i="20"/>
  <c r="U60" i="20"/>
  <c r="U61" i="20"/>
  <c r="U62" i="20"/>
  <c r="R61" i="20"/>
  <c r="R62" i="20"/>
  <c r="S556" i="16" l="1"/>
  <c r="S465" i="16"/>
  <c r="P466" i="16"/>
  <c r="P557" i="16"/>
  <c r="U97" i="20"/>
  <c r="R97" i="20"/>
  <c r="G97" i="20"/>
  <c r="F97" i="20"/>
  <c r="S466" i="16" l="1"/>
  <c r="S557" i="16"/>
  <c r="P467" i="16"/>
  <c r="P558" i="16"/>
  <c r="R98" i="20"/>
  <c r="U98" i="20"/>
  <c r="F98" i="20"/>
  <c r="G98" i="20"/>
  <c r="S467" i="16" l="1"/>
  <c r="S558" i="16"/>
  <c r="P468" i="16"/>
  <c r="P559" i="16"/>
  <c r="H63" i="20"/>
  <c r="R63" i="20"/>
  <c r="U63" i="20"/>
  <c r="S559" i="16" l="1"/>
  <c r="S468" i="16"/>
  <c r="P469" i="16"/>
  <c r="P560" i="16"/>
  <c r="H64" i="20"/>
  <c r="R64" i="20"/>
  <c r="U64" i="20"/>
  <c r="O62" i="20"/>
  <c r="S560" i="16" l="1"/>
  <c r="S469" i="16"/>
  <c r="P470" i="16"/>
  <c r="P561" i="16"/>
  <c r="H65" i="20"/>
  <c r="R65" i="20"/>
  <c r="U65" i="20"/>
  <c r="O61" i="20"/>
  <c r="S561" i="16" l="1"/>
  <c r="S470" i="16"/>
  <c r="P471" i="16"/>
  <c r="P562" i="16"/>
  <c r="H66" i="20"/>
  <c r="R66" i="20"/>
  <c r="U66" i="20"/>
  <c r="C67" i="20"/>
  <c r="C66" i="20" s="1"/>
  <c r="C65" i="20" l="1"/>
  <c r="Q557" i="16" a="1"/>
  <c r="Q557" i="16" s="1"/>
  <c r="Q558" i="16" a="1"/>
  <c r="Q558" i="16" s="1"/>
  <c r="Q559" i="16" a="1"/>
  <c r="Q559" i="16" s="1"/>
  <c r="Q560" i="16" a="1"/>
  <c r="Q560" i="16" s="1"/>
  <c r="Q561" i="16" a="1"/>
  <c r="Q561" i="16" s="1"/>
  <c r="S471" i="16"/>
  <c r="Q562" i="16" a="1"/>
  <c r="Q562" i="16" s="1"/>
  <c r="S562" i="16"/>
  <c r="P472" i="16"/>
  <c r="P563" i="16"/>
  <c r="G66" i="20"/>
  <c r="F66" i="20"/>
  <c r="C64" i="20"/>
  <c r="O65" i="20"/>
  <c r="G65" i="20"/>
  <c r="F65" i="20"/>
  <c r="O66" i="20"/>
  <c r="H67" i="20"/>
  <c r="G67" i="20"/>
  <c r="U67" i="20"/>
  <c r="R67" i="20"/>
  <c r="C68" i="20"/>
  <c r="F67" i="20"/>
  <c r="O67" i="20"/>
  <c r="Q548" i="16" l="1" a="1"/>
  <c r="Q548" i="16" s="1"/>
  <c r="Q549" i="16" a="1"/>
  <c r="Q549" i="16" s="1"/>
  <c r="Q550" i="16" a="1"/>
  <c r="Q550" i="16" s="1"/>
  <c r="Q551" i="16" a="1"/>
  <c r="Q551" i="16" s="1"/>
  <c r="Q552" i="16" a="1"/>
  <c r="Q552" i="16" s="1"/>
  <c r="Q553" i="16" a="1"/>
  <c r="Q553" i="16" s="1"/>
  <c r="Q554" i="16" a="1"/>
  <c r="Q554" i="16" s="1"/>
  <c r="Q555" i="16" a="1"/>
  <c r="Q555" i="16" s="1"/>
  <c r="Q556" i="16" a="1"/>
  <c r="Q556" i="16" s="1"/>
  <c r="S472" i="16"/>
  <c r="Q563" i="16" a="1"/>
  <c r="Q563" i="16" s="1"/>
  <c r="S563" i="16"/>
  <c r="P473" i="16"/>
  <c r="P564" i="16"/>
  <c r="C63" i="20"/>
  <c r="O64" i="20"/>
  <c r="G64" i="20"/>
  <c r="F64" i="20"/>
  <c r="H68" i="20"/>
  <c r="O68" i="20"/>
  <c r="U68" i="20"/>
  <c r="F68" i="20"/>
  <c r="G68" i="20"/>
  <c r="R68" i="20"/>
  <c r="C69" i="20"/>
  <c r="Q541" i="16" l="1" a="1"/>
  <c r="Q541" i="16" s="1"/>
  <c r="Q542" i="16" a="1"/>
  <c r="Q542" i="16" s="1"/>
  <c r="Q543" i="16" a="1"/>
  <c r="Q543" i="16" s="1"/>
  <c r="Q544" i="16" a="1"/>
  <c r="Q544" i="16" s="1"/>
  <c r="Q545" i="16" a="1"/>
  <c r="Q545" i="16" s="1"/>
  <c r="Q546" i="16" a="1"/>
  <c r="Q546" i="16" s="1"/>
  <c r="Q547" i="16" a="1"/>
  <c r="Q547" i="16" s="1"/>
  <c r="S473" i="16"/>
  <c r="S564" i="16"/>
  <c r="Q564" i="16" a="1"/>
  <c r="Q564" i="16" s="1"/>
  <c r="P474" i="16"/>
  <c r="P565" i="16"/>
  <c r="F63" i="20"/>
  <c r="C62" i="20"/>
  <c r="O63" i="20"/>
  <c r="G63" i="20"/>
  <c r="H69" i="20"/>
  <c r="R69" i="20"/>
  <c r="C70" i="20"/>
  <c r="O69" i="20"/>
  <c r="U69" i="20"/>
  <c r="F69" i="20"/>
  <c r="G69" i="20"/>
  <c r="Q539" i="16" l="1" a="1"/>
  <c r="Q539" i="16" s="1"/>
  <c r="Q540" i="16" a="1"/>
  <c r="Q540" i="16" s="1"/>
  <c r="S474" i="16"/>
  <c r="S565" i="16"/>
  <c r="Q565" i="16" a="1"/>
  <c r="Q565" i="16" s="1"/>
  <c r="P475" i="16"/>
  <c r="P566" i="16"/>
  <c r="G62" i="20"/>
  <c r="F62" i="20"/>
  <c r="C61" i="20"/>
  <c r="H70" i="20"/>
  <c r="C71" i="20"/>
  <c r="U70" i="20"/>
  <c r="G70" i="20"/>
  <c r="R70" i="20"/>
  <c r="O70" i="20"/>
  <c r="F70" i="20"/>
  <c r="Q536" i="16" l="1" a="1"/>
  <c r="Q536" i="16" s="1"/>
  <c r="Q535" i="16" a="1"/>
  <c r="Q535" i="16" s="1"/>
  <c r="Q537" i="16" a="1"/>
  <c r="Q537" i="16" s="1"/>
  <c r="Q538" i="16" a="1"/>
  <c r="Q538" i="16" s="1"/>
  <c r="S475" i="16"/>
  <c r="Q566" i="16" a="1"/>
  <c r="Q566" i="16" s="1"/>
  <c r="S566" i="16"/>
  <c r="P476" i="16"/>
  <c r="P567" i="16"/>
  <c r="F61" i="20"/>
  <c r="C60" i="20"/>
  <c r="G61" i="20"/>
  <c r="H71" i="20"/>
  <c r="R71" i="20"/>
  <c r="F71" i="20"/>
  <c r="C72" i="20"/>
  <c r="U71" i="20"/>
  <c r="G71" i="20"/>
  <c r="O71" i="20"/>
  <c r="Q534" i="16" l="1" a="1"/>
  <c r="Q534" i="16" s="1"/>
  <c r="Q533" i="16" a="1"/>
  <c r="Q533" i="16" s="1"/>
  <c r="Q532" i="16" a="1"/>
  <c r="Q532" i="16" s="1"/>
  <c r="S476" i="16"/>
  <c r="S567" i="16"/>
  <c r="Q567" i="16" a="1"/>
  <c r="Q567" i="16" s="1"/>
  <c r="P477" i="16"/>
  <c r="F60" i="20"/>
  <c r="C59" i="20"/>
  <c r="G60" i="20"/>
  <c r="H72" i="20"/>
  <c r="O72" i="20"/>
  <c r="U72" i="20"/>
  <c r="R72" i="20"/>
  <c r="G72" i="20"/>
  <c r="F72" i="20"/>
  <c r="C73" i="20"/>
  <c r="Q530" i="16" l="1" a="1"/>
  <c r="Q530" i="16" s="1"/>
  <c r="Q520" i="16" a="1"/>
  <c r="Q520" i="16" s="1"/>
  <c r="Q523" i="16" a="1"/>
  <c r="Q523" i="16" s="1"/>
  <c r="Q515" i="16" a="1"/>
  <c r="Q515" i="16" s="1"/>
  <c r="Q513" i="16" a="1"/>
  <c r="Q513" i="16" s="1"/>
  <c r="Q512" i="16" a="1"/>
  <c r="Q512" i="16" s="1"/>
  <c r="Q527" i="16" a="1"/>
  <c r="Q527" i="16" s="1"/>
  <c r="Q516" i="16" a="1"/>
  <c r="Q516" i="16" s="1"/>
  <c r="Q522" i="16" a="1"/>
  <c r="Q522" i="16" s="1"/>
  <c r="Q519" i="16" a="1"/>
  <c r="Q519" i="16" s="1"/>
  <c r="Q526" i="16" a="1"/>
  <c r="Q526" i="16" s="1"/>
  <c r="Q514" i="16" a="1"/>
  <c r="Q514" i="16" s="1"/>
  <c r="Q525" i="16" a="1"/>
  <c r="Q525" i="16" s="1"/>
  <c r="Q508" i="16" a="1"/>
  <c r="Q508" i="16" s="1"/>
  <c r="Q507" i="16" a="1"/>
  <c r="Q507" i="16" s="1"/>
  <c r="Q531" i="16" a="1"/>
  <c r="Q531" i="16" s="1"/>
  <c r="Q529" i="16" a="1"/>
  <c r="Q529" i="16" s="1"/>
  <c r="Q517" i="16" a="1"/>
  <c r="Q517" i="16" s="1"/>
  <c r="Q521" i="16" a="1"/>
  <c r="Q521" i="16" s="1"/>
  <c r="Q528" i="16" a="1"/>
  <c r="Q528" i="16" s="1"/>
  <c r="Q511" i="16" a="1"/>
  <c r="Q511" i="16" s="1"/>
  <c r="Q518" i="16" a="1"/>
  <c r="Q518" i="16" s="1"/>
  <c r="Q510" i="16" a="1"/>
  <c r="Q510" i="16" s="1"/>
  <c r="Q524" i="16" a="1"/>
  <c r="Q524" i="16" s="1"/>
  <c r="Q509" i="16" a="1"/>
  <c r="Q509" i="16" s="1"/>
  <c r="S477" i="16"/>
  <c r="P478" i="16"/>
  <c r="G59" i="20"/>
  <c r="F59" i="20"/>
  <c r="C58" i="20"/>
  <c r="H73" i="20"/>
  <c r="G73" i="20"/>
  <c r="F73" i="20"/>
  <c r="O73" i="20"/>
  <c r="C74" i="20"/>
  <c r="U73" i="20"/>
  <c r="R73" i="20"/>
  <c r="Q506" i="16" l="1" a="1"/>
  <c r="Q506" i="16" s="1"/>
  <c r="Q505" i="16" a="1"/>
  <c r="Q505" i="16" s="1"/>
  <c r="S478" i="16"/>
  <c r="P479" i="16"/>
  <c r="F58" i="20"/>
  <c r="C57" i="20"/>
  <c r="G58" i="20"/>
  <c r="H74" i="20"/>
  <c r="F74" i="20"/>
  <c r="C75" i="20"/>
  <c r="G74" i="20"/>
  <c r="O74" i="20"/>
  <c r="U74" i="20"/>
  <c r="R74" i="20"/>
  <c r="S479" i="16" l="1"/>
  <c r="P480" i="16"/>
  <c r="G57" i="20"/>
  <c r="F57" i="20"/>
  <c r="C56" i="20"/>
  <c r="H75" i="20"/>
  <c r="R75" i="20"/>
  <c r="O75" i="20"/>
  <c r="C76" i="20"/>
  <c r="F75" i="20"/>
  <c r="G75" i="20"/>
  <c r="U75" i="20"/>
  <c r="Q502" i="16" l="1" a="1"/>
  <c r="Q502" i="16" s="1"/>
  <c r="Q501" i="16" a="1"/>
  <c r="Q501" i="16" s="1"/>
  <c r="Q504" i="16" a="1"/>
  <c r="Q504" i="16" s="1"/>
  <c r="Q503" i="16" a="1"/>
  <c r="Q503" i="16" s="1"/>
  <c r="Q480" i="16" a="1"/>
  <c r="Q480" i="16" s="1"/>
  <c r="S480" i="16"/>
  <c r="P481" i="16"/>
  <c r="C55" i="20"/>
  <c r="F56" i="20"/>
  <c r="G56" i="20"/>
  <c r="H76" i="20"/>
  <c r="O76" i="20"/>
  <c r="F76" i="20"/>
  <c r="C77" i="20"/>
  <c r="U76" i="20"/>
  <c r="G76" i="20"/>
  <c r="R76" i="20"/>
  <c r="Q481" i="16" l="1" a="1"/>
  <c r="Q481" i="16" s="1"/>
  <c r="S481" i="16"/>
  <c r="P482" i="16"/>
  <c r="C54" i="20"/>
  <c r="Q479" i="16" s="1" a="1"/>
  <c r="Q479" i="16" s="1"/>
  <c r="F55" i="20"/>
  <c r="G55" i="20"/>
  <c r="H77" i="20"/>
  <c r="R77" i="20"/>
  <c r="O77" i="20"/>
  <c r="G77" i="20"/>
  <c r="U77" i="20"/>
  <c r="C78" i="20"/>
  <c r="F77" i="20"/>
  <c r="S482" i="16" l="1"/>
  <c r="Q482" i="16" a="1"/>
  <c r="Q482" i="16" s="1"/>
  <c r="P483" i="16"/>
  <c r="G54" i="20"/>
  <c r="C53" i="20"/>
  <c r="F54" i="20"/>
  <c r="H78" i="20"/>
  <c r="C79" i="20"/>
  <c r="F78" i="20"/>
  <c r="G78" i="20"/>
  <c r="R78" i="20"/>
  <c r="U78" i="20"/>
  <c r="O78" i="20"/>
  <c r="Q389" i="16" l="1" a="1"/>
  <c r="Q389" i="16" s="1"/>
  <c r="Q357" i="16" a="1"/>
  <c r="Q357" i="16" s="1"/>
  <c r="Q442" i="16" a="1"/>
  <c r="Q442" i="16" s="1"/>
  <c r="Q381" i="16" a="1"/>
  <c r="Q381" i="16" s="1"/>
  <c r="Q349" i="16" a="1"/>
  <c r="Q349" i="16" s="1"/>
  <c r="Q433" i="16" a="1"/>
  <c r="Q433" i="16" s="1"/>
  <c r="Q405" i="16" a="1"/>
  <c r="Q405" i="16" s="1"/>
  <c r="Q373" i="16" a="1"/>
  <c r="Q373" i="16" s="1"/>
  <c r="Q341" i="16" a="1"/>
  <c r="Q341" i="16" s="1"/>
  <c r="Q397" i="16" a="1"/>
  <c r="Q397" i="16" s="1"/>
  <c r="Q365" i="16" a="1"/>
  <c r="Q365" i="16" s="1"/>
  <c r="Q414" i="16" a="1"/>
  <c r="Q414" i="16" s="1"/>
  <c r="Q396" i="16" a="1"/>
  <c r="Q396" i="16" s="1"/>
  <c r="Q364" i="16" a="1"/>
  <c r="Q364" i="16" s="1"/>
  <c r="Q427" i="16" a="1"/>
  <c r="Q427" i="16" s="1"/>
  <c r="Q395" i="16" a="1"/>
  <c r="Q395" i="16" s="1"/>
  <c r="Q363" i="16" a="1"/>
  <c r="Q363" i="16" s="1"/>
  <c r="Q378" i="16" a="1"/>
  <c r="Q378" i="16" s="1"/>
  <c r="Q440" i="16" a="1"/>
  <c r="Q440" i="16" s="1"/>
  <c r="Q352" i="16" a="1"/>
  <c r="Q352" i="16" s="1"/>
  <c r="Q444" i="16" a="1"/>
  <c r="Q444" i="16" s="1"/>
  <c r="Q429" i="16" a="1"/>
  <c r="Q429" i="16" s="1"/>
  <c r="Q411" i="16" a="1"/>
  <c r="Q411" i="16" s="1"/>
  <c r="Q398" i="16" a="1"/>
  <c r="Q398" i="16" s="1"/>
  <c r="Q419" i="16" a="1"/>
  <c r="Q419" i="16" s="1"/>
  <c r="Q358" i="16" a="1"/>
  <c r="Q358" i="16" s="1"/>
  <c r="Q356" i="16" a="1"/>
  <c r="Q356" i="16" s="1"/>
  <c r="Q355" i="16" a="1"/>
  <c r="Q355" i="16" s="1"/>
  <c r="Q402" i="16" a="1"/>
  <c r="Q402" i="16" s="1"/>
  <c r="Q370" i="16" a="1"/>
  <c r="Q370" i="16" s="1"/>
  <c r="Q338" i="16" a="1"/>
  <c r="Q338" i="16" s="1"/>
  <c r="Q426" i="16" a="1"/>
  <c r="Q426" i="16" s="1"/>
  <c r="Q377" i="16" a="1"/>
  <c r="Q377" i="16" s="1"/>
  <c r="Q345" i="16" a="1"/>
  <c r="Q345" i="16" s="1"/>
  <c r="Q430" i="16" a="1"/>
  <c r="Q430" i="16" s="1"/>
  <c r="Q376" i="16" a="1"/>
  <c r="Q376" i="16" s="1"/>
  <c r="Q344" i="16" a="1"/>
  <c r="Q344" i="16" s="1"/>
  <c r="Q390" i="16" a="1"/>
  <c r="Q390" i="16" s="1"/>
  <c r="Q410" i="16" a="1"/>
  <c r="Q410" i="16" s="1"/>
  <c r="Q388" i="16" a="1"/>
  <c r="Q388" i="16" s="1"/>
  <c r="Q423" i="16" a="1"/>
  <c r="Q423" i="16" s="1"/>
  <c r="Q387" i="16" a="1"/>
  <c r="Q387" i="16" s="1"/>
  <c r="Q413" i="16" a="1"/>
  <c r="Q413" i="16" s="1"/>
  <c r="Q435" i="16" a="1"/>
  <c r="Q435" i="16" s="1"/>
  <c r="Q391" i="16" a="1"/>
  <c r="Q391" i="16" s="1"/>
  <c r="Q359" i="16" a="1"/>
  <c r="Q359" i="16" s="1"/>
  <c r="Q424" i="16" a="1"/>
  <c r="Q424" i="16" s="1"/>
  <c r="Q418" i="16" a="1"/>
  <c r="Q418" i="16" s="1"/>
  <c r="Q347" i="16" a="1"/>
  <c r="Q347" i="16" s="1"/>
  <c r="Q441" i="16" a="1"/>
  <c r="Q441" i="16" s="1"/>
  <c r="Q362" i="16" a="1"/>
  <c r="Q362" i="16" s="1"/>
  <c r="Q417" i="16" a="1"/>
  <c r="Q417" i="16" s="1"/>
  <c r="Q401" i="16" a="1"/>
  <c r="Q401" i="16" s="1"/>
  <c r="Q369" i="16" a="1"/>
  <c r="Q369" i="16" s="1"/>
  <c r="Q400" i="16" a="1"/>
  <c r="Q400" i="16" s="1"/>
  <c r="Q368" i="16" a="1"/>
  <c r="Q368" i="16" s="1"/>
  <c r="Q425" i="16" a="1"/>
  <c r="Q425" i="16" s="1"/>
  <c r="Q439" i="16" a="1"/>
  <c r="Q439" i="16" s="1"/>
  <c r="Q350" i="16" a="1"/>
  <c r="Q350" i="16" s="1"/>
  <c r="Q428" i="16" a="1"/>
  <c r="Q428" i="16" s="1"/>
  <c r="Q380" i="16" a="1"/>
  <c r="Q380" i="16" s="1"/>
  <c r="Q348" i="16" a="1"/>
  <c r="Q348" i="16" s="1"/>
  <c r="Q437" i="16" a="1"/>
  <c r="Q437" i="16" s="1"/>
  <c r="Q379" i="16" a="1"/>
  <c r="Q379" i="16" s="1"/>
  <c r="Q394" i="16" a="1"/>
  <c r="Q394" i="16" s="1"/>
  <c r="Q421" i="16" a="1"/>
  <c r="Q421" i="16" s="1"/>
  <c r="Q383" i="16" a="1"/>
  <c r="Q383" i="16" s="1"/>
  <c r="Q351" i="16" a="1"/>
  <c r="Q351" i="16" s="1"/>
  <c r="Q420" i="16" a="1"/>
  <c r="Q420" i="16" s="1"/>
  <c r="Q382" i="16" a="1"/>
  <c r="Q382" i="16" s="1"/>
  <c r="Q443" i="16" a="1"/>
  <c r="Q443" i="16" s="1"/>
  <c r="Q438" i="16" a="1"/>
  <c r="Q438" i="16" s="1"/>
  <c r="Q340" i="16" a="1"/>
  <c r="Q340" i="16" s="1"/>
  <c r="Q409" i="16" a="1"/>
  <c r="Q409" i="16" s="1"/>
  <c r="Q339" i="16" a="1"/>
  <c r="Q339" i="16" s="1"/>
  <c r="Q386" i="16" a="1"/>
  <c r="Q386" i="16" s="1"/>
  <c r="Q445" i="16" a="1"/>
  <c r="Q445" i="16" s="1"/>
  <c r="Q434" i="16" a="1"/>
  <c r="Q434" i="16" s="1"/>
  <c r="Q404" i="16" a="1"/>
  <c r="Q404" i="16" s="1"/>
  <c r="Q372" i="16" a="1"/>
  <c r="Q372" i="16" s="1"/>
  <c r="Q432" i="16" a="1"/>
  <c r="Q432" i="16" s="1"/>
  <c r="Q403" i="16" a="1"/>
  <c r="Q403" i="16" s="1"/>
  <c r="Q371" i="16" a="1"/>
  <c r="Q371" i="16" s="1"/>
  <c r="Q436" i="16" a="1"/>
  <c r="Q436" i="16" s="1"/>
  <c r="Q354" i="16" a="1"/>
  <c r="Q354" i="16" s="1"/>
  <c r="Q393" i="16" a="1"/>
  <c r="Q393" i="16" s="1"/>
  <c r="Q361" i="16" a="1"/>
  <c r="Q361" i="16" s="1"/>
  <c r="Q412" i="16" a="1"/>
  <c r="Q412" i="16" s="1"/>
  <c r="Q392" i="16" a="1"/>
  <c r="Q392" i="16" s="1"/>
  <c r="Q360" i="16" a="1"/>
  <c r="Q360" i="16" s="1"/>
  <c r="Q416" i="16" a="1"/>
  <c r="Q416" i="16" s="1"/>
  <c r="Q407" i="16" a="1"/>
  <c r="Q407" i="16" s="1"/>
  <c r="Q375" i="16" a="1"/>
  <c r="Q375" i="16" s="1"/>
  <c r="Q343" i="16" a="1"/>
  <c r="Q343" i="16" s="1"/>
  <c r="Q415" i="16" a="1"/>
  <c r="Q415" i="16" s="1"/>
  <c r="Q406" i="16" a="1"/>
  <c r="Q406" i="16" s="1"/>
  <c r="Q374" i="16" a="1"/>
  <c r="Q374" i="16" s="1"/>
  <c r="Q342" i="16" a="1"/>
  <c r="Q342" i="16" s="1"/>
  <c r="Q431" i="16" a="1"/>
  <c r="Q431" i="16" s="1"/>
  <c r="Q367" i="16" a="1"/>
  <c r="Q367" i="16" s="1"/>
  <c r="Q385" i="16" a="1"/>
  <c r="Q385" i="16" s="1"/>
  <c r="Q346" i="16" a="1"/>
  <c r="Q346" i="16" s="1"/>
  <c r="Q384" i="16" a="1"/>
  <c r="Q384" i="16" s="1"/>
  <c r="Q399" i="16" a="1"/>
  <c r="Q399" i="16" s="1"/>
  <c r="Q422" i="16" a="1"/>
  <c r="Q422" i="16" s="1"/>
  <c r="Q366" i="16" a="1"/>
  <c r="Q366" i="16" s="1"/>
  <c r="Q353" i="16" a="1"/>
  <c r="Q353" i="16" s="1"/>
  <c r="Q408" i="16" a="1"/>
  <c r="Q408" i="16" s="1"/>
  <c r="Q446" i="16" a="1"/>
  <c r="Q446" i="16" s="1"/>
  <c r="Q447" i="16" a="1"/>
  <c r="Q447" i="16" s="1"/>
  <c r="Q448" i="16" a="1"/>
  <c r="Q448" i="16" s="1"/>
  <c r="Q449" i="16" a="1"/>
  <c r="Q449" i="16" s="1"/>
  <c r="Q450" i="16" a="1"/>
  <c r="Q450" i="16" s="1"/>
  <c r="Q451" i="16" a="1"/>
  <c r="Q451" i="16" s="1"/>
  <c r="Q452" i="16"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Q467" i="16" a="1"/>
  <c r="Q467" i="16" s="1"/>
  <c r="Q468" i="16" a="1"/>
  <c r="Q468" i="16" s="1"/>
  <c r="Q469" i="16" a="1"/>
  <c r="Q469" i="16" s="1"/>
  <c r="Q470" i="16" a="1"/>
  <c r="Q470" i="16" s="1"/>
  <c r="Q471" i="16" a="1"/>
  <c r="Q471" i="16" s="1"/>
  <c r="Q472" i="16" a="1"/>
  <c r="Q472" i="16" s="1"/>
  <c r="Q473" i="16" a="1"/>
  <c r="Q473" i="16" s="1"/>
  <c r="Q474" i="16" a="1"/>
  <c r="Q474" i="16" s="1"/>
  <c r="Q475" i="16" a="1"/>
  <c r="Q475" i="16" s="1"/>
  <c r="Q476" i="16" a="1"/>
  <c r="Q476" i="16" s="1"/>
  <c r="Q477" i="16" a="1"/>
  <c r="Q477" i="16" s="1"/>
  <c r="Q478" i="16" a="1"/>
  <c r="Q478" i="16" s="1"/>
  <c r="S483" i="16"/>
  <c r="Q483" i="16" a="1"/>
  <c r="Q483" i="16" s="1"/>
  <c r="P484" i="16"/>
  <c r="C52" i="20"/>
  <c r="F53" i="20"/>
  <c r="G53" i="20"/>
  <c r="H79" i="20"/>
  <c r="G79" i="20"/>
  <c r="U79" i="20"/>
  <c r="C80" i="20"/>
  <c r="F79" i="20"/>
  <c r="O79" i="20"/>
  <c r="R79" i="20"/>
  <c r="Q337" i="16" l="1" a="1"/>
  <c r="Q337" i="16" s="1"/>
  <c r="Q336" i="16" a="1"/>
  <c r="Q336" i="16" s="1"/>
  <c r="S484" i="16"/>
  <c r="Q484" i="16" a="1"/>
  <c r="Q484" i="16" s="1"/>
  <c r="P485" i="16"/>
  <c r="C51" i="20"/>
  <c r="Q335" i="16" s="1" a="1"/>
  <c r="Q335" i="16" s="1"/>
  <c r="G52" i="20"/>
  <c r="F52" i="20"/>
  <c r="H80" i="20"/>
  <c r="O80" i="20"/>
  <c r="R80" i="20"/>
  <c r="F80" i="20"/>
  <c r="U80" i="20"/>
  <c r="C81" i="20"/>
  <c r="G80" i="20"/>
  <c r="S485" i="16" l="1"/>
  <c r="Q485" i="16" a="1"/>
  <c r="Q485" i="16" s="1"/>
  <c r="P486" i="16"/>
  <c r="C50" i="20"/>
  <c r="G51" i="20"/>
  <c r="F51" i="20"/>
  <c r="H81" i="20"/>
  <c r="F81" i="20"/>
  <c r="G81" i="20"/>
  <c r="O81" i="20"/>
  <c r="U81" i="20"/>
  <c r="R81" i="20"/>
  <c r="C82" i="20"/>
  <c r="Q293" i="16" l="1" a="1"/>
  <c r="Q293" i="16" s="1"/>
  <c r="Q291" i="16" a="1"/>
  <c r="Q291" i="16" s="1"/>
  <c r="Q309" i="16" a="1"/>
  <c r="Q309" i="16" s="1"/>
  <c r="Q331" i="16" a="1"/>
  <c r="Q331" i="16" s="1"/>
  <c r="Q307" i="16" a="1"/>
  <c r="Q307" i="16" s="1"/>
  <c r="Q289" i="16" a="1"/>
  <c r="Q289" i="16" s="1"/>
  <c r="Q315" i="16" a="1"/>
  <c r="Q315" i="16" s="1"/>
  <c r="Q333" i="16" a="1"/>
  <c r="Q333" i="16" s="1"/>
  <c r="Q316" i="16" a="1"/>
  <c r="Q316" i="16" s="1"/>
  <c r="Q324" i="16" a="1"/>
  <c r="Q324" i="16" s="1"/>
  <c r="Q298" i="16" a="1"/>
  <c r="Q298" i="16" s="1"/>
  <c r="Q290" i="16" a="1"/>
  <c r="Q290" i="16" s="1"/>
  <c r="Q332" i="16" a="1"/>
  <c r="Q332" i="16" s="1"/>
  <c r="Q325" i="16" a="1"/>
  <c r="Q325" i="16" s="1"/>
  <c r="Q301" i="16" a="1"/>
  <c r="Q301" i="16" s="1"/>
  <c r="Q296" i="16" a="1"/>
  <c r="Q296" i="16" s="1"/>
  <c r="Q323" i="16" a="1"/>
  <c r="Q323" i="16" s="1"/>
  <c r="Q300" i="16" a="1"/>
  <c r="Q300" i="16" s="1"/>
  <c r="Q319" i="16" a="1"/>
  <c r="Q319" i="16" s="1"/>
  <c r="Q313" i="16" a="1"/>
  <c r="Q313" i="16" s="1"/>
  <c r="Q327" i="16" a="1"/>
  <c r="Q327" i="16" s="1"/>
  <c r="Q326" i="16" a="1"/>
  <c r="Q326" i="16" s="1"/>
  <c r="Q288" i="16" a="1"/>
  <c r="Q288" i="16" s="1"/>
  <c r="Q330" i="16" a="1"/>
  <c r="Q330" i="16" s="1"/>
  <c r="Q297" i="16" a="1"/>
  <c r="Q297" i="16" s="1"/>
  <c r="Q305" i="16" a="1"/>
  <c r="Q305" i="16" s="1"/>
  <c r="Q322" i="16" a="1"/>
  <c r="Q322" i="16" s="1"/>
  <c r="Q321" i="16" a="1"/>
  <c r="Q321" i="16" s="1"/>
  <c r="Q295" i="16" a="1"/>
  <c r="Q295" i="16" s="1"/>
  <c r="Q317" i="16" a="1"/>
  <c r="Q317" i="16" s="1"/>
  <c r="Q310" i="16" a="1"/>
  <c r="Q310" i="16" s="1"/>
  <c r="Q304" i="16" a="1"/>
  <c r="Q304" i="16" s="1"/>
  <c r="Q308" i="16" a="1"/>
  <c r="Q308" i="16" s="1"/>
  <c r="Q306" i="16" a="1"/>
  <c r="Q306" i="16" s="1"/>
  <c r="Q314" i="16" a="1"/>
  <c r="Q314" i="16" s="1"/>
  <c r="Q292" i="16" a="1"/>
  <c r="Q292" i="16" s="1"/>
  <c r="Q299" i="16" a="1"/>
  <c r="Q299" i="16" s="1"/>
  <c r="Q329" i="16" a="1"/>
  <c r="Q329" i="16" s="1"/>
  <c r="Q311" i="16" a="1"/>
  <c r="Q311" i="16" s="1"/>
  <c r="Q328" i="16" a="1"/>
  <c r="Q328" i="16" s="1"/>
  <c r="Q318" i="16" a="1"/>
  <c r="Q318" i="16" s="1"/>
  <c r="Q312" i="16" a="1"/>
  <c r="Q312" i="16" s="1"/>
  <c r="Q303" i="16" a="1"/>
  <c r="Q303" i="16" s="1"/>
  <c r="Q294" i="16" a="1"/>
  <c r="Q294" i="16" s="1"/>
  <c r="Q302" i="16" a="1"/>
  <c r="Q302" i="16" s="1"/>
  <c r="Q320" i="16" a="1"/>
  <c r="Q320" i="16" s="1"/>
  <c r="Q334" i="16" a="1"/>
  <c r="Q334" i="16" s="1"/>
  <c r="Q486" i="16" a="1"/>
  <c r="Q486" i="16" s="1"/>
  <c r="S486" i="16"/>
  <c r="P487" i="16"/>
  <c r="G50" i="20"/>
  <c r="C49" i="20"/>
  <c r="F50" i="20"/>
  <c r="H82" i="20"/>
  <c r="U82" i="20"/>
  <c r="G82" i="20"/>
  <c r="F82" i="20"/>
  <c r="O82" i="20"/>
  <c r="C83" i="20"/>
  <c r="R82" i="20"/>
  <c r="Q287" i="16" l="1" a="1"/>
  <c r="Q287" i="16" s="1"/>
  <c r="Q277" i="16" a="1"/>
  <c r="Q277" i="16" s="1"/>
  <c r="Q252" i="16" a="1"/>
  <c r="Q252" i="16" s="1"/>
  <c r="Q263" i="16" a="1"/>
  <c r="Q263" i="16" s="1"/>
  <c r="Q281" i="16" a="1"/>
  <c r="Q281" i="16" s="1"/>
  <c r="Q253" i="16" a="1"/>
  <c r="Q253" i="16" s="1"/>
  <c r="Q255" i="16" a="1"/>
  <c r="Q255" i="16" s="1"/>
  <c r="Q259" i="16" a="1"/>
  <c r="Q259" i="16" s="1"/>
  <c r="Q261" i="16" a="1"/>
  <c r="Q261" i="16" s="1"/>
  <c r="Q274" i="16" a="1"/>
  <c r="Q274" i="16" s="1"/>
  <c r="Q271" i="16" a="1"/>
  <c r="Q271" i="16" s="1"/>
  <c r="Q264" i="16" a="1"/>
  <c r="Q264" i="16" s="1"/>
  <c r="Q266" i="16" a="1"/>
  <c r="Q266" i="16" s="1"/>
  <c r="Q283" i="16" a="1"/>
  <c r="Q283" i="16" s="1"/>
  <c r="Q279" i="16" a="1"/>
  <c r="Q279" i="16" s="1"/>
  <c r="Q269" i="16" a="1"/>
  <c r="Q269" i="16" s="1"/>
  <c r="Q275" i="16" a="1"/>
  <c r="Q275" i="16" s="1"/>
  <c r="Q282" i="16" a="1"/>
  <c r="Q282" i="16" s="1"/>
  <c r="Q256" i="16" a="1"/>
  <c r="Q256" i="16" s="1"/>
  <c r="Q260" i="16" a="1"/>
  <c r="Q260" i="16" s="1"/>
  <c r="Q284" i="16" a="1"/>
  <c r="Q284" i="16" s="1"/>
  <c r="Q280" i="16" a="1"/>
  <c r="Q280" i="16" s="1"/>
  <c r="Q249" i="16" a="1"/>
  <c r="Q249" i="16" s="1"/>
  <c r="Q251" i="16" a="1"/>
  <c r="Q251" i="16" s="1"/>
  <c r="Q262" i="16" a="1"/>
  <c r="Q262" i="16" s="1"/>
  <c r="Q285" i="16" a="1"/>
  <c r="Q285" i="16" s="1"/>
  <c r="Q270" i="16" a="1"/>
  <c r="Q270" i="16" s="1"/>
  <c r="Q286" i="16" a="1"/>
  <c r="Q286" i="16" s="1"/>
  <c r="Q254" i="16" a="1"/>
  <c r="Q254" i="16" s="1"/>
  <c r="Q272" i="16" a="1"/>
  <c r="Q272" i="16" s="1"/>
  <c r="Q276" i="16" a="1"/>
  <c r="Q276" i="16" s="1"/>
  <c r="Q278" i="16" a="1"/>
  <c r="Q278" i="16" s="1"/>
  <c r="Q268" i="16" a="1"/>
  <c r="Q268" i="16" s="1"/>
  <c r="Q265" i="16" a="1"/>
  <c r="Q265" i="16" s="1"/>
  <c r="Q267" i="16" a="1"/>
  <c r="Q267" i="16" s="1"/>
  <c r="Q257" i="16" a="1"/>
  <c r="Q257" i="16" s="1"/>
  <c r="Q258" i="16" a="1"/>
  <c r="Q258" i="16" s="1"/>
  <c r="Q250" i="16" a="1"/>
  <c r="Q250" i="16" s="1"/>
  <c r="Q273" i="16" a="1"/>
  <c r="Q273" i="16" s="1"/>
  <c r="Q487" i="16" a="1"/>
  <c r="Q487" i="16" s="1"/>
  <c r="S487" i="16"/>
  <c r="P488" i="16"/>
  <c r="C48" i="20"/>
  <c r="G49" i="20"/>
  <c r="F49" i="20"/>
  <c r="H83" i="20"/>
  <c r="U83" i="20"/>
  <c r="F83" i="20"/>
  <c r="R83" i="20"/>
  <c r="G83" i="20"/>
  <c r="C84" i="20"/>
  <c r="O83" i="20"/>
  <c r="Q245" i="16" l="1" a="1"/>
  <c r="Q245" i="16" s="1"/>
  <c r="Q244" i="16" a="1"/>
  <c r="Q244" i="16" s="1"/>
  <c r="Q246" i="16" a="1"/>
  <c r="Q246" i="16" s="1"/>
  <c r="Q241" i="16" a="1"/>
  <c r="Q241" i="16" s="1"/>
  <c r="Q243" i="16" a="1"/>
  <c r="Q243" i="16" s="1"/>
  <c r="Q247" i="16" a="1"/>
  <c r="Q247" i="16" s="1"/>
  <c r="Q242" i="16" a="1"/>
  <c r="Q242" i="16" s="1"/>
  <c r="Q248" i="16" a="1"/>
  <c r="Q248" i="16" s="1"/>
  <c r="S488" i="16"/>
  <c r="Q488" i="16" a="1"/>
  <c r="Q488" i="16" s="1"/>
  <c r="P489" i="16"/>
  <c r="F48" i="20"/>
  <c r="G48" i="20"/>
  <c r="C47" i="20"/>
  <c r="H84" i="20"/>
  <c r="O84" i="20"/>
  <c r="U84" i="20"/>
  <c r="F84" i="20"/>
  <c r="C85" i="20"/>
  <c r="G84" i="20"/>
  <c r="R84" i="20"/>
  <c r="Q188" i="16" l="1" a="1"/>
  <c r="Q188" i="16" s="1"/>
  <c r="Q207" i="16" a="1"/>
  <c r="Q207" i="16" s="1"/>
  <c r="Q140" i="16" a="1"/>
  <c r="Q140" i="16" s="1"/>
  <c r="Q204" i="16" a="1"/>
  <c r="Q204" i="16" s="1"/>
  <c r="Q145" i="16" a="1"/>
  <c r="Q145" i="16" s="1"/>
  <c r="Q156" i="16" a="1"/>
  <c r="Q156" i="16" s="1"/>
  <c r="Q210" i="16" a="1"/>
  <c r="Q210" i="16" s="1"/>
  <c r="Q229" i="16" a="1"/>
  <c r="Q229" i="16" s="1"/>
  <c r="Q236" i="16" a="1"/>
  <c r="Q236" i="16" s="1"/>
  <c r="Q177" i="16" a="1"/>
  <c r="Q177" i="16" s="1"/>
  <c r="Q172" i="16" a="1"/>
  <c r="Q172" i="16" s="1"/>
  <c r="Q116" i="16" a="1"/>
  <c r="Q116" i="16" s="1"/>
  <c r="Q183" i="16" a="1"/>
  <c r="Q183" i="16" s="1"/>
  <c r="Q128" i="16" a="1"/>
  <c r="Q128" i="16" s="1"/>
  <c r="Q213" i="16" a="1"/>
  <c r="Q213" i="16" s="1"/>
  <c r="Q191" i="16" a="1"/>
  <c r="Q191" i="16" s="1"/>
  <c r="Q198" i="16" a="1"/>
  <c r="Q198" i="16" s="1"/>
  <c r="Q127" i="16" a="1"/>
  <c r="Q127" i="16" s="1"/>
  <c r="Q199" i="16" a="1"/>
  <c r="Q199" i="16" s="1"/>
  <c r="Q136" i="16" a="1"/>
  <c r="Q136" i="16" s="1"/>
  <c r="Q200" i="16" a="1"/>
  <c r="Q200" i="16" s="1"/>
  <c r="Q167" i="16" a="1"/>
  <c r="Q167" i="16" s="1"/>
  <c r="Q98" i="16" a="1"/>
  <c r="Q98" i="16" s="1"/>
  <c r="Q173" i="16" a="1"/>
  <c r="Q173" i="16" s="1"/>
  <c r="Q224" i="16" a="1"/>
  <c r="Q224" i="16" s="1"/>
  <c r="Q190" i="16" a="1"/>
  <c r="Q190" i="16" s="1"/>
  <c r="Q211" i="16" a="1"/>
  <c r="Q211" i="16" s="1"/>
  <c r="Q91" i="16" a="1"/>
  <c r="Q91" i="16" s="1"/>
  <c r="Q142" i="16" a="1"/>
  <c r="Q142" i="16" s="1"/>
  <c r="Q206" i="16" a="1"/>
  <c r="Q206" i="16" s="1"/>
  <c r="Q115" i="16" a="1"/>
  <c r="Q115" i="16" s="1"/>
  <c r="Q143" i="16" a="1"/>
  <c r="Q143" i="16" s="1"/>
  <c r="Q144" i="16" a="1"/>
  <c r="Q144" i="16" s="1"/>
  <c r="Q209" i="16" a="1"/>
  <c r="Q209" i="16" s="1"/>
  <c r="Q233" i="16" a="1"/>
  <c r="Q233" i="16" s="1"/>
  <c r="Q240" i="16" a="1"/>
  <c r="Q240" i="16" s="1"/>
  <c r="Q89" i="16" a="1"/>
  <c r="Q89" i="16" s="1"/>
  <c r="Q157" i="16" a="1"/>
  <c r="Q157" i="16" s="1"/>
  <c r="Q162" i="16" a="1"/>
  <c r="Q162" i="16" s="1"/>
  <c r="Q216" i="16" a="1"/>
  <c r="Q216" i="16" s="1"/>
  <c r="Q235" i="16" a="1"/>
  <c r="Q235" i="16" s="1"/>
  <c r="Q105" i="16" a="1"/>
  <c r="Q105" i="16" s="1"/>
  <c r="Q129" i="16" a="1"/>
  <c r="Q129" i="16" s="1"/>
  <c r="Q148" i="16" a="1"/>
  <c r="Q148" i="16" s="1"/>
  <c r="Q217" i="16" a="1"/>
  <c r="Q217" i="16" s="1"/>
  <c r="Q112" i="16" a="1"/>
  <c r="Q112" i="16" s="1"/>
  <c r="Q133" i="16" a="1"/>
  <c r="Q133" i="16" s="1"/>
  <c r="Q221" i="16" a="1"/>
  <c r="Q221" i="16" s="1"/>
  <c r="Q152" i="16" a="1"/>
  <c r="Q152" i="16" s="1"/>
  <c r="Q225" i="16" a="1"/>
  <c r="Q225" i="16" s="1"/>
  <c r="Q126" i="16" a="1"/>
  <c r="Q126" i="16" s="1"/>
  <c r="Q85" i="16" a="1"/>
  <c r="Q85" i="16" s="1"/>
  <c r="Q139" i="16" a="1"/>
  <c r="Q139" i="16" s="1"/>
  <c r="Q170" i="16" a="1"/>
  <c r="Q170" i="16" s="1"/>
  <c r="Q84" i="16" a="1"/>
  <c r="Q84" i="16" s="1"/>
  <c r="Q97" i="16" a="1"/>
  <c r="Q97" i="16" s="1"/>
  <c r="Q215" i="16" a="1"/>
  <c r="Q215" i="16" s="1"/>
  <c r="Q223" i="16" a="1"/>
  <c r="Q223" i="16" s="1"/>
  <c r="Q150" i="16" a="1"/>
  <c r="Q150" i="16" s="1"/>
  <c r="Q119" i="16" a="1"/>
  <c r="Q119" i="16" s="1"/>
  <c r="Q137" i="16" a="1"/>
  <c r="Q137" i="16" s="1"/>
  <c r="Q125" i="16" a="1"/>
  <c r="Q125" i="16" s="1"/>
  <c r="Q205" i="16" a="1"/>
  <c r="Q205" i="16" s="1"/>
  <c r="Q227" i="16" a="1"/>
  <c r="Q227" i="16" s="1"/>
  <c r="Q117" i="16" a="1"/>
  <c r="Q117" i="16" s="1"/>
  <c r="Q83" i="16" a="1"/>
  <c r="Q83" i="16" s="1"/>
  <c r="Q96" i="16" a="1"/>
  <c r="Q96" i="16" s="1"/>
  <c r="Q212" i="16" a="1"/>
  <c r="Q212" i="16" s="1"/>
  <c r="Q107" i="16" a="1"/>
  <c r="Q107" i="16" s="1"/>
  <c r="Q179" i="16" a="1"/>
  <c r="Q179" i="16" s="1"/>
  <c r="Q153" i="16" a="1"/>
  <c r="Q153" i="16" s="1"/>
  <c r="Q160" i="16" a="1"/>
  <c r="Q160" i="16" s="1"/>
  <c r="Q122" i="16" a="1"/>
  <c r="Q122" i="16" s="1"/>
  <c r="Q178" i="16" a="1"/>
  <c r="Q178" i="16" s="1"/>
  <c r="Q226" i="16" a="1"/>
  <c r="Q226" i="16" s="1"/>
  <c r="Q88" i="16" a="1"/>
  <c r="Q88" i="16" s="1"/>
  <c r="Q161" i="16" a="1"/>
  <c r="Q161" i="16" s="1"/>
  <c r="Q164" i="16" a="1"/>
  <c r="Q164" i="16" s="1"/>
  <c r="Q218" i="16" a="1"/>
  <c r="Q218" i="16" s="1"/>
  <c r="Q104" i="16" a="1"/>
  <c r="Q104" i="16" s="1"/>
  <c r="Q166" i="16" a="1"/>
  <c r="Q166" i="16" s="1"/>
  <c r="Q220" i="16" a="1"/>
  <c r="Q220" i="16" s="1"/>
  <c r="Q118" i="16" a="1"/>
  <c r="Q118" i="16" s="1"/>
  <c r="Q100" i="16" a="1"/>
  <c r="Q100" i="16" s="1"/>
  <c r="Q171" i="16" a="1"/>
  <c r="Q171" i="16" s="1"/>
  <c r="Q186" i="16" a="1"/>
  <c r="Q186" i="16" s="1"/>
  <c r="Q99" i="16" a="1"/>
  <c r="Q99" i="16" s="1"/>
  <c r="Q219" i="16" a="1"/>
  <c r="Q219" i="16" s="1"/>
  <c r="Q175" i="16" a="1"/>
  <c r="Q175" i="16" s="1"/>
  <c r="Q124" i="16" a="1"/>
  <c r="Q124" i="16" s="1"/>
  <c r="Q149" i="16" a="1"/>
  <c r="Q149" i="16" s="1"/>
  <c r="Q158" i="16" a="1"/>
  <c r="Q158" i="16" s="1"/>
  <c r="Q231" i="16" a="1"/>
  <c r="Q231" i="16" s="1"/>
  <c r="Q238" i="16" a="1"/>
  <c r="Q238" i="16" s="1"/>
  <c r="Q214" i="16" a="1"/>
  <c r="Q214" i="16" s="1"/>
  <c r="Q102" i="16" a="1"/>
  <c r="Q102" i="16" s="1"/>
  <c r="Q189" i="16" a="1"/>
  <c r="Q189" i="16" s="1"/>
  <c r="Q165" i="16" a="1"/>
  <c r="Q165" i="16" s="1"/>
  <c r="Q111" i="16" a="1"/>
  <c r="Q111" i="16" s="1"/>
  <c r="Q159" i="16" a="1"/>
  <c r="Q159" i="16" s="1"/>
  <c r="Q169" i="16" a="1"/>
  <c r="Q169" i="16" s="1"/>
  <c r="Q168" i="16" a="1"/>
  <c r="Q168" i="16" s="1"/>
  <c r="Q222" i="16" a="1"/>
  <c r="Q222" i="16" s="1"/>
  <c r="Q131" i="16" a="1"/>
  <c r="Q131" i="16" s="1"/>
  <c r="Q181" i="16" a="1"/>
  <c r="Q181" i="16" s="1"/>
  <c r="Q90" i="16" a="1"/>
  <c r="Q90" i="16" s="1"/>
  <c r="Q185" i="16" a="1"/>
  <c r="Q185" i="16" s="1"/>
  <c r="Q176" i="16" a="1"/>
  <c r="Q176" i="16" s="1"/>
  <c r="Q114" i="16" a="1"/>
  <c r="Q114" i="16" s="1"/>
  <c r="Q130" i="16" a="1"/>
  <c r="Q130" i="16" s="1"/>
  <c r="Q194" i="16" a="1"/>
  <c r="Q194" i="16" s="1"/>
  <c r="Q121" i="16" a="1"/>
  <c r="Q121" i="16" s="1"/>
  <c r="Q94" i="16" a="1"/>
  <c r="Q94" i="16" s="1"/>
  <c r="Q193" i="16" a="1"/>
  <c r="Q193" i="16" s="1"/>
  <c r="Q180" i="16" a="1"/>
  <c r="Q180" i="16" s="1"/>
  <c r="Q87" i="16" a="1"/>
  <c r="Q87" i="16" s="1"/>
  <c r="Q101" i="16" a="1"/>
  <c r="Q101" i="16" s="1"/>
  <c r="Q197" i="16" a="1"/>
  <c r="Q197" i="16" s="1"/>
  <c r="Q182" i="16" a="1"/>
  <c r="Q182" i="16" s="1"/>
  <c r="Q239" i="16" a="1"/>
  <c r="Q239" i="16" s="1"/>
  <c r="Q184" i="16" a="1"/>
  <c r="Q184" i="16" s="1"/>
  <c r="Q110" i="16" a="1"/>
  <c r="Q110" i="16" s="1"/>
  <c r="Q163" i="16" a="1"/>
  <c r="Q163" i="16" s="1"/>
  <c r="Q203" i="16" a="1"/>
  <c r="Q203" i="16" s="1"/>
  <c r="Q138" i="16" a="1"/>
  <c r="Q138" i="16" s="1"/>
  <c r="Q202" i="16" a="1"/>
  <c r="Q202" i="16" s="1"/>
  <c r="Q234" i="16" a="1"/>
  <c r="Q234" i="16" s="1"/>
  <c r="Q108" i="16" a="1"/>
  <c r="Q108" i="16" s="1"/>
  <c r="Q95" i="16" a="1"/>
  <c r="Q95" i="16" s="1"/>
  <c r="Q174" i="16" a="1"/>
  <c r="Q174" i="16" s="1"/>
  <c r="Q151" i="16" a="1"/>
  <c r="Q151" i="16" s="1"/>
  <c r="Q155" i="16" a="1"/>
  <c r="Q155" i="16" s="1"/>
  <c r="Q237" i="16" a="1"/>
  <c r="Q237" i="16" s="1"/>
  <c r="Q103" i="16" a="1"/>
  <c r="Q103" i="16" s="1"/>
  <c r="Q135" i="16" a="1"/>
  <c r="Q135" i="16" s="1"/>
  <c r="Q201" i="16" a="1"/>
  <c r="Q201" i="16" s="1"/>
  <c r="Q232" i="16" a="1"/>
  <c r="Q232" i="16" s="1"/>
  <c r="Q109" i="16" a="1"/>
  <c r="Q109" i="16" s="1"/>
  <c r="Q147" i="16" a="1"/>
  <c r="Q147" i="16" s="1"/>
  <c r="Q123" i="16" a="1"/>
  <c r="Q123" i="16" s="1"/>
  <c r="Q132" i="16" a="1"/>
  <c r="Q132" i="16" s="1"/>
  <c r="Q120" i="16" a="1"/>
  <c r="Q120" i="16" s="1"/>
  <c r="Q208" i="16" a="1"/>
  <c r="Q208" i="16" s="1"/>
  <c r="Q195" i="16" a="1"/>
  <c r="Q195" i="16" s="1"/>
  <c r="Q196" i="16" a="1"/>
  <c r="Q196" i="16" s="1"/>
  <c r="Q230" i="16" a="1"/>
  <c r="Q230" i="16" s="1"/>
  <c r="Q187" i="16" a="1"/>
  <c r="Q187" i="16" s="1"/>
  <c r="Q113" i="16" a="1"/>
  <c r="Q113" i="16" s="1"/>
  <c r="Q86" i="16" a="1"/>
  <c r="Q86" i="16" s="1"/>
  <c r="Q106" i="16" a="1"/>
  <c r="Q106" i="16" s="1"/>
  <c r="Q228" i="16" a="1"/>
  <c r="Q228" i="16" s="1"/>
  <c r="Q93" i="16" a="1"/>
  <c r="Q93" i="16" s="1"/>
  <c r="Q154" i="16" a="1"/>
  <c r="Q154" i="16" s="1"/>
  <c r="Q192" i="16" a="1"/>
  <c r="Q192" i="16" s="1"/>
  <c r="Q134" i="16" a="1"/>
  <c r="Q134" i="16" s="1"/>
  <c r="Q92" i="16" a="1"/>
  <c r="Q92" i="16" s="1"/>
  <c r="Q141" i="16" a="1"/>
  <c r="Q141" i="16" s="1"/>
  <c r="Q146" i="16" a="1"/>
  <c r="Q146" i="16" s="1"/>
  <c r="Q489" i="16" a="1"/>
  <c r="Q489" i="16" s="1"/>
  <c r="S489" i="16"/>
  <c r="P490" i="16"/>
  <c r="F47" i="20"/>
  <c r="C46" i="20"/>
  <c r="G47" i="20"/>
  <c r="H85" i="20"/>
  <c r="G85" i="20"/>
  <c r="C86" i="20"/>
  <c r="U85" i="20"/>
  <c r="O85" i="20"/>
  <c r="F85" i="20"/>
  <c r="R85" i="20"/>
  <c r="Q59" i="16" l="1" a="1"/>
  <c r="Q59" i="16" s="1"/>
  <c r="Q74" i="16" a="1"/>
  <c r="Q74" i="16" s="1"/>
  <c r="Q64" i="16" a="1"/>
  <c r="Q64" i="16" s="1"/>
  <c r="Q71" i="16" a="1"/>
  <c r="Q71" i="16" s="1"/>
  <c r="Q78" i="16" a="1"/>
  <c r="Q78" i="16" s="1"/>
  <c r="Q58" i="16" a="1"/>
  <c r="Q58" i="16" s="1"/>
  <c r="Q77" i="16" a="1"/>
  <c r="Q77" i="16" s="1"/>
  <c r="Q66" i="16" a="1"/>
  <c r="Q66" i="16" s="1"/>
  <c r="Q81" i="16" a="1"/>
  <c r="Q81" i="16" s="1"/>
  <c r="Q63" i="16" a="1"/>
  <c r="Q63" i="16" s="1"/>
  <c r="Q70" i="16" a="1"/>
  <c r="Q70" i="16" s="1"/>
  <c r="Q76" i="16" a="1"/>
  <c r="Q76" i="16" s="1"/>
  <c r="Q82" i="16" a="1"/>
  <c r="Q82" i="16" s="1"/>
  <c r="Q75" i="16" a="1"/>
  <c r="Q75" i="16" s="1"/>
  <c r="Q57" i="16" a="1"/>
  <c r="Q57" i="16" s="1"/>
  <c r="Q73" i="16" a="1"/>
  <c r="Q73" i="16" s="1"/>
  <c r="Q80" i="16" a="1"/>
  <c r="Q80" i="16" s="1"/>
  <c r="Q62" i="16" a="1"/>
  <c r="Q62" i="16" s="1"/>
  <c r="Q69" i="16" a="1"/>
  <c r="Q69" i="16" s="1"/>
  <c r="Q68" i="16" a="1"/>
  <c r="Q68" i="16" s="1"/>
  <c r="Q67" i="16" a="1"/>
  <c r="Q67" i="16" s="1"/>
  <c r="Q65" i="16" a="1"/>
  <c r="Q65" i="16" s="1"/>
  <c r="Q61" i="16" a="1"/>
  <c r="Q61" i="16" s="1"/>
  <c r="Q60" i="16" a="1"/>
  <c r="Q60" i="16" s="1"/>
  <c r="Q72" i="16" a="1"/>
  <c r="Q72" i="16" s="1"/>
  <c r="Q79" i="16" a="1"/>
  <c r="Q79" i="16" s="1"/>
  <c r="Q490" i="16" a="1"/>
  <c r="Q490" i="16" s="1"/>
  <c r="S490" i="16"/>
  <c r="P491" i="16"/>
  <c r="C45" i="20"/>
  <c r="F46" i="20"/>
  <c r="G46" i="20"/>
  <c r="H86" i="20"/>
  <c r="C87" i="20"/>
  <c r="U86" i="20"/>
  <c r="R86" i="20"/>
  <c r="G86" i="20"/>
  <c r="O86" i="20"/>
  <c r="F86" i="20"/>
  <c r="Q51" i="16" l="1" a="1"/>
  <c r="Q51" i="16" s="1"/>
  <c r="Q41" i="16" a="1"/>
  <c r="Q41" i="16" s="1"/>
  <c r="Q56" i="16" a="1"/>
  <c r="Q56" i="16" s="1"/>
  <c r="Q45" i="16" a="1"/>
  <c r="Q45" i="16" s="1"/>
  <c r="Q52" i="16" a="1"/>
  <c r="Q52" i="16" s="1"/>
  <c r="Q43" i="16" a="1"/>
  <c r="Q43" i="16" s="1"/>
  <c r="Q50" i="16" a="1"/>
  <c r="Q50" i="16" s="1"/>
  <c r="Q48" i="16" a="1"/>
  <c r="Q48" i="16" s="1"/>
  <c r="Q55" i="16" a="1"/>
  <c r="Q55" i="16" s="1"/>
  <c r="Q44" i="16" a="1"/>
  <c r="Q44" i="16" s="1"/>
  <c r="Q49" i="16" a="1"/>
  <c r="Q49" i="16" s="1"/>
  <c r="Q42" i="16" a="1"/>
  <c r="Q42" i="16" s="1"/>
  <c r="Q47" i="16" a="1"/>
  <c r="Q47" i="16" s="1"/>
  <c r="Q54" i="16" a="1"/>
  <c r="Q54" i="16" s="1"/>
  <c r="Q46" i="16" a="1"/>
  <c r="Q46" i="16" s="1"/>
  <c r="Q53" i="16" a="1"/>
  <c r="Q53" i="16" s="1"/>
  <c r="S491" i="16"/>
  <c r="Q491" i="16" a="1"/>
  <c r="Q491" i="16" s="1"/>
  <c r="P492" i="16"/>
  <c r="C44" i="20"/>
  <c r="F45" i="20"/>
  <c r="G45" i="20"/>
  <c r="H87" i="20"/>
  <c r="R87" i="20"/>
  <c r="O87" i="20"/>
  <c r="C88" i="20"/>
  <c r="U87" i="20"/>
  <c r="G87" i="20"/>
  <c r="F87" i="20"/>
  <c r="Q38" i="16" l="1" a="1"/>
  <c r="Q38" i="16" s="1"/>
  <c r="Q37" i="16" a="1"/>
  <c r="Q37" i="16" s="1"/>
  <c r="Q40" i="16" a="1"/>
  <c r="Q40" i="16" s="1"/>
  <c r="Q39" i="16" a="1"/>
  <c r="Q39" i="16" s="1"/>
  <c r="S492" i="16"/>
  <c r="Q492" i="16" a="1"/>
  <c r="Q492" i="16" s="1"/>
  <c r="P493" i="16"/>
  <c r="F44" i="20"/>
  <c r="C43" i="20"/>
  <c r="G44" i="20"/>
  <c r="H88" i="20"/>
  <c r="G88" i="20"/>
  <c r="F88" i="20"/>
  <c r="C89" i="20"/>
  <c r="O88" i="20"/>
  <c r="R88" i="20"/>
  <c r="U88" i="20"/>
  <c r="Q33" i="16" l="1" a="1"/>
  <c r="Q33" i="16" s="1"/>
  <c r="Q35" i="16" a="1"/>
  <c r="Q35" i="16" s="1"/>
  <c r="Q36" i="16" a="1"/>
  <c r="Q36" i="16" s="1"/>
  <c r="Q34" i="16" a="1"/>
  <c r="Q34" i="16" s="1"/>
  <c r="S493" i="16"/>
  <c r="Q493" i="16" a="1"/>
  <c r="Q493" i="16" s="1"/>
  <c r="P494" i="16"/>
  <c r="C42" i="20"/>
  <c r="F43" i="20"/>
  <c r="G43" i="20"/>
  <c r="H89" i="20"/>
  <c r="C90" i="20"/>
  <c r="R89" i="20"/>
  <c r="G89" i="20"/>
  <c r="U89" i="20"/>
  <c r="F89" i="20"/>
  <c r="O89" i="20"/>
  <c r="Q31" i="16" l="1" a="1"/>
  <c r="Q31" i="16" s="1"/>
  <c r="Q32" i="16" a="1"/>
  <c r="Q32" i="16" s="1"/>
  <c r="Q494" i="16" a="1"/>
  <c r="Q494" i="16" s="1"/>
  <c r="S494" i="16"/>
  <c r="P495" i="16"/>
  <c r="C41" i="20"/>
  <c r="G42" i="20"/>
  <c r="F42" i="20"/>
  <c r="H90" i="20"/>
  <c r="O90" i="20"/>
  <c r="U90" i="20"/>
  <c r="R90" i="20"/>
  <c r="F90" i="20"/>
  <c r="C91" i="20"/>
  <c r="G90" i="20"/>
  <c r="Q26" i="16" l="1" a="1"/>
  <c r="Q26" i="16" s="1"/>
  <c r="Q24" i="16" a="1"/>
  <c r="Q24" i="16" s="1"/>
  <c r="Q23" i="16" a="1"/>
  <c r="Q23" i="16" s="1"/>
  <c r="Q30" i="16" a="1"/>
  <c r="Q30" i="16" s="1"/>
  <c r="Q25" i="16" a="1"/>
  <c r="Q25" i="16" s="1"/>
  <c r="Q29" i="16" a="1"/>
  <c r="Q29" i="16" s="1"/>
  <c r="Q22" i="16" a="1"/>
  <c r="Q22" i="16" s="1"/>
  <c r="Q28" i="16" a="1"/>
  <c r="Q28" i="16" s="1"/>
  <c r="Q27" i="16" a="1"/>
  <c r="Q27" i="16" s="1"/>
  <c r="Q495" i="16" a="1"/>
  <c r="Q495" i="16" s="1"/>
  <c r="S495" i="16"/>
  <c r="P496" i="16"/>
  <c r="C40" i="20"/>
  <c r="G41" i="20"/>
  <c r="F41" i="20"/>
  <c r="H91" i="20"/>
  <c r="F91" i="20"/>
  <c r="R91" i="20"/>
  <c r="G91" i="20"/>
  <c r="O91" i="20"/>
  <c r="U91" i="20"/>
  <c r="C92" i="20"/>
  <c r="Q507" i="14" l="1"/>
  <c r="Q1049" i="14"/>
  <c r="Q676" i="14"/>
  <c r="Q586" i="14"/>
  <c r="Q711" i="14"/>
  <c r="Q75" i="14"/>
  <c r="Q143" i="14"/>
  <c r="Q37" i="14"/>
  <c r="Q386" i="14"/>
  <c r="Q926" i="14"/>
  <c r="Q826" i="14"/>
  <c r="Q759" i="14"/>
  <c r="Q92" i="14"/>
  <c r="Q468" i="14"/>
  <c r="Q201" i="14"/>
  <c r="Q941" i="14"/>
  <c r="Q565" i="14"/>
  <c r="Q1071" i="14"/>
  <c r="Q187" i="14"/>
  <c r="Q244" i="14"/>
  <c r="Q346" i="14"/>
  <c r="Q353" i="14"/>
  <c r="Q659" i="14"/>
  <c r="Q124" i="14"/>
  <c r="Q439" i="14"/>
  <c r="Q788" i="14"/>
  <c r="Q362" i="14"/>
  <c r="Q309" i="14"/>
  <c r="Q54" i="14"/>
  <c r="Q491" i="14"/>
  <c r="Q1082" i="14"/>
  <c r="Q198" i="14"/>
  <c r="Q545" i="14"/>
  <c r="Q787" i="14"/>
  <c r="Q108" i="14"/>
  <c r="Q480" i="14"/>
  <c r="Q791" i="14"/>
  <c r="Q1087" i="14"/>
  <c r="Q664" i="14"/>
  <c r="Q139" i="14"/>
  <c r="Q86" i="14"/>
  <c r="Q508" i="14"/>
  <c r="Q1090" i="14"/>
  <c r="Q173" i="14"/>
  <c r="Q414" i="14"/>
  <c r="Q431" i="14"/>
  <c r="Q256" i="14"/>
  <c r="Q1036" i="14"/>
  <c r="Q669" i="14"/>
  <c r="Q112" i="14"/>
  <c r="Q337" i="14"/>
  <c r="Q741" i="14"/>
  <c r="Q579" i="14"/>
  <c r="Q1098" i="14"/>
  <c r="Q125" i="14"/>
  <c r="Q553" i="14"/>
  <c r="Q333" i="14"/>
  <c r="Q288" i="14"/>
  <c r="Q1020" i="14"/>
  <c r="Q581" i="14"/>
  <c r="Q1034" i="14"/>
  <c r="Q116" i="14"/>
  <c r="Q118" i="14"/>
  <c r="Q525" i="14"/>
  <c r="Q298" i="14"/>
  <c r="Q303" i="14"/>
  <c r="Q1029" i="14"/>
  <c r="Q945" i="14"/>
  <c r="Q1008" i="14"/>
  <c r="Q988" i="14"/>
  <c r="Q673" i="14"/>
  <c r="Q467" i="14"/>
  <c r="Q1124" i="14"/>
  <c r="Q455" i="14"/>
  <c r="Q234" i="14"/>
  <c r="Q79" i="14"/>
  <c r="Q502" i="14"/>
  <c r="Q246" i="14"/>
  <c r="Q25" i="14"/>
  <c r="Q971" i="14"/>
  <c r="Q695" i="14"/>
  <c r="Q549" i="14"/>
  <c r="Q340" i="14"/>
  <c r="Q280" i="14"/>
  <c r="Q1115" i="14"/>
  <c r="Q740" i="14"/>
  <c r="Q1062" i="14"/>
  <c r="Q554" i="14"/>
  <c r="Q1066" i="14"/>
  <c r="Q1023" i="14"/>
  <c r="Q600" i="14"/>
  <c r="Q267" i="14"/>
  <c r="Q102" i="14"/>
  <c r="Q487" i="14"/>
  <c r="Q991" i="14"/>
  <c r="Q801" i="14"/>
  <c r="Q420" i="14"/>
  <c r="Q155" i="14"/>
  <c r="Q463" i="14"/>
  <c r="Q1063" i="14"/>
  <c r="Q1032" i="14"/>
  <c r="Q728" i="14"/>
  <c r="Q339" i="14"/>
  <c r="Q49" i="14"/>
  <c r="Q336" i="14"/>
  <c r="Q776" i="14"/>
  <c r="Q1014" i="14"/>
  <c r="Q839" i="14"/>
  <c r="Q104" i="14"/>
  <c r="Q53" i="14"/>
  <c r="Q533" i="14"/>
  <c r="Q1076" i="14"/>
  <c r="Q189" i="14"/>
  <c r="Q389" i="14"/>
  <c r="Q406" i="14"/>
  <c r="Q245" i="14"/>
  <c r="Q1022" i="14"/>
  <c r="Q650" i="14"/>
  <c r="Q456" i="14"/>
  <c r="Q648" i="14"/>
  <c r="Q677" i="14"/>
  <c r="Q154" i="14"/>
  <c r="Q60" i="14"/>
  <c r="Q176" i="14"/>
  <c r="Q528" i="14"/>
  <c r="Q270" i="14"/>
  <c r="Q268" i="14"/>
  <c r="Q1003" i="14"/>
  <c r="Q1147" i="14"/>
  <c r="Q1033" i="14"/>
  <c r="Q31" i="14"/>
  <c r="Q133" i="14"/>
  <c r="Q551" i="14"/>
  <c r="Q222" i="14"/>
  <c r="Q286" i="14"/>
  <c r="Q1019" i="14"/>
  <c r="Q93" i="14"/>
  <c r="Q792" i="14"/>
  <c r="Q365" i="14"/>
  <c r="Q1051" i="14"/>
  <c r="Q702" i="14"/>
  <c r="Q170" i="14"/>
  <c r="Q190" i="14"/>
  <c r="Q530" i="14"/>
  <c r="Q1052" i="14"/>
  <c r="Q447" i="14"/>
  <c r="Q1097" i="14"/>
  <c r="Q503" i="14"/>
  <c r="Q485" i="14"/>
  <c r="Q515" i="14"/>
  <c r="Q152" i="14"/>
  <c r="Q986" i="14"/>
  <c r="Q292" i="14"/>
  <c r="Q1044" i="14"/>
  <c r="Q412" i="14"/>
  <c r="Q1046" i="14"/>
  <c r="Q886" i="14"/>
  <c r="Q775" i="14"/>
  <c r="Q168" i="14"/>
  <c r="Q136" i="14"/>
  <c r="Q404" i="14"/>
  <c r="Q928" i="14"/>
  <c r="Q417" i="14"/>
  <c r="Q723" i="14"/>
  <c r="Q135" i="14"/>
  <c r="Q285" i="14"/>
  <c r="Q907" i="14"/>
  <c r="Q658" i="14"/>
  <c r="Q278" i="14"/>
  <c r="Q40" i="14"/>
  <c r="Q71" i="14"/>
  <c r="Q311" i="14"/>
  <c r="Q680" i="14"/>
  <c r="Q1069" i="14"/>
  <c r="Q391" i="14"/>
  <c r="Q411" i="14"/>
  <c r="Q55" i="14"/>
  <c r="Q488" i="14"/>
  <c r="Q1037" i="14"/>
  <c r="Q534" i="14"/>
  <c r="Q368" i="14"/>
  <c r="Q384" i="14"/>
  <c r="Q236" i="14"/>
  <c r="Q990" i="14"/>
  <c r="Q1150" i="14"/>
  <c r="Q70" i="14"/>
  <c r="Q584" i="14"/>
  <c r="Q613" i="14"/>
  <c r="Q137" i="14"/>
  <c r="Q657" i="14"/>
  <c r="Q206" i="14"/>
  <c r="Q505" i="14"/>
  <c r="Q478" i="14"/>
  <c r="Q252" i="14"/>
  <c r="Q984" i="14"/>
  <c r="Q1128" i="14"/>
  <c r="Q785" i="14"/>
  <c r="Q59" i="14"/>
  <c r="Q180" i="14"/>
  <c r="Q524" i="14"/>
  <c r="Q476" i="14"/>
  <c r="Q266" i="14"/>
  <c r="Q1002" i="14"/>
  <c r="Q706" i="14"/>
  <c r="Q64" i="14"/>
  <c r="Q113" i="14"/>
  <c r="Q182" i="14"/>
  <c r="Q500" i="14"/>
  <c r="Q498" i="14"/>
  <c r="Q284" i="14"/>
  <c r="Q1001" i="14"/>
  <c r="Q608" i="14"/>
  <c r="Q63" i="14"/>
  <c r="Q130" i="14"/>
  <c r="Q205" i="14"/>
  <c r="Q422" i="14"/>
  <c r="Q342" i="14"/>
  <c r="Q1085" i="14"/>
  <c r="Q940" i="14"/>
  <c r="Q813" i="14"/>
  <c r="Q738" i="14"/>
  <c r="Q117" i="14"/>
  <c r="Q1151" i="14"/>
  <c r="Q408" i="14"/>
  <c r="Q1004" i="14"/>
  <c r="Q1050" i="14"/>
  <c r="Q220" i="14"/>
  <c r="Q106" i="14"/>
  <c r="Q126" i="14"/>
  <c r="Q416" i="14"/>
  <c r="Q1035" i="14"/>
  <c r="Q998" i="14"/>
  <c r="Q969" i="14"/>
  <c r="Q375" i="14"/>
  <c r="Q421" i="14"/>
  <c r="Q451" i="14"/>
  <c r="Q238" i="14"/>
  <c r="Q857" i="14"/>
  <c r="Q531" i="14"/>
  <c r="Q1099" i="14"/>
  <c r="Q464" i="14"/>
  <c r="Q635" i="14"/>
  <c r="Q514" i="14"/>
  <c r="Q830" i="14"/>
  <c r="Q213" i="14"/>
  <c r="Q159" i="14"/>
  <c r="Q315" i="14"/>
  <c r="Q959" i="14"/>
  <c r="Q536" i="14"/>
  <c r="Q271" i="14"/>
  <c r="Q174" i="14"/>
  <c r="Q458" i="14"/>
  <c r="Q873" i="14"/>
  <c r="Q1133" i="14"/>
  <c r="Q519" i="14"/>
  <c r="Q359" i="14"/>
  <c r="Q36" i="14"/>
  <c r="Q290" i="14"/>
  <c r="Q1112" i="14"/>
  <c r="Q996" i="14"/>
  <c r="Q638" i="14"/>
  <c r="Q47" i="14"/>
  <c r="Q77" i="14"/>
  <c r="Q395" i="14"/>
  <c r="Q1024" i="14"/>
  <c r="Q506" i="14"/>
  <c r="Q341" i="14"/>
  <c r="Q363" i="14"/>
  <c r="Q223" i="14"/>
  <c r="Q960" i="14"/>
  <c r="Q1130" i="14"/>
  <c r="Q1135" i="14"/>
  <c r="Q823" i="14"/>
  <c r="Q724" i="14"/>
  <c r="Q73" i="14"/>
  <c r="Q631" i="14"/>
  <c r="Q145" i="14"/>
  <c r="Q486" i="14"/>
  <c r="Q452" i="14"/>
  <c r="Q243" i="14"/>
  <c r="Q865" i="14"/>
  <c r="Q705" i="14"/>
  <c r="Q840" i="14"/>
  <c r="Q85" i="14"/>
  <c r="Q208" i="14"/>
  <c r="Q459" i="14"/>
  <c r="Q448" i="14"/>
  <c r="Q242" i="14"/>
  <c r="Q1078" i="14"/>
  <c r="Q583" i="14"/>
  <c r="Q493" i="14"/>
  <c r="Q985" i="14"/>
  <c r="Q437" i="14"/>
  <c r="Q42" i="14"/>
  <c r="Q62" i="14"/>
  <c r="Q387" i="14"/>
  <c r="Q1021" i="14"/>
  <c r="Q1040" i="14"/>
  <c r="Q465" i="14"/>
  <c r="Q686" i="14"/>
  <c r="Q357" i="14"/>
  <c r="Q323" i="14"/>
  <c r="Q225" i="14"/>
  <c r="Q289" i="14"/>
  <c r="Q203" i="14"/>
  <c r="Q520" i="14"/>
  <c r="Q433" i="14"/>
  <c r="Q587" i="14"/>
  <c r="Q442" i="14"/>
  <c r="Q382" i="14"/>
  <c r="Q219" i="14"/>
  <c r="Q122" i="14"/>
  <c r="Q296" i="14"/>
  <c r="Q950" i="14"/>
  <c r="Q647" i="14"/>
  <c r="Q207" i="14"/>
  <c r="Q204" i="14"/>
  <c r="Q429" i="14"/>
  <c r="Q745" i="14"/>
  <c r="Q1060" i="14"/>
  <c r="Q574" i="14"/>
  <c r="Q1072" i="14"/>
  <c r="Q56" i="14"/>
  <c r="Q993" i="14"/>
  <c r="Q330" i="14"/>
  <c r="Q923" i="14"/>
  <c r="Q693" i="14"/>
  <c r="Q119" i="14"/>
  <c r="Q107" i="14"/>
  <c r="Q372" i="14"/>
  <c r="Q1009" i="14"/>
  <c r="Q532" i="14"/>
  <c r="Q306" i="14"/>
  <c r="Q332" i="14"/>
  <c r="Q1091" i="14"/>
  <c r="Q930" i="14"/>
  <c r="Q1096" i="14"/>
  <c r="Q989" i="14"/>
  <c r="Q814" i="14"/>
  <c r="Q660" i="14"/>
  <c r="Q114" i="14"/>
  <c r="Q57" i="14"/>
  <c r="Q177" i="14"/>
  <c r="Q461" i="14"/>
  <c r="Q427" i="14"/>
  <c r="Q231" i="14"/>
  <c r="Q860" i="14"/>
  <c r="Q535" i="14"/>
  <c r="Q27" i="14"/>
  <c r="Q111" i="14"/>
  <c r="Q142" i="14"/>
  <c r="Q405" i="14"/>
  <c r="Q425" i="14"/>
  <c r="Q230" i="14"/>
  <c r="Q954" i="14"/>
  <c r="Q1084" i="14"/>
  <c r="Q1126" i="14"/>
  <c r="Q1005" i="14"/>
  <c r="Q766" i="14"/>
  <c r="Q388" i="14"/>
  <c r="Q609" i="14"/>
  <c r="Q612" i="14"/>
  <c r="Q217" i="14"/>
  <c r="Q229" i="14"/>
  <c r="Q366" i="14"/>
  <c r="Q935" i="14"/>
  <c r="Q1007" i="14"/>
  <c r="Q401" i="14"/>
  <c r="Q494" i="14"/>
  <c r="Q293" i="14"/>
  <c r="Q250" i="14"/>
  <c r="Q958" i="14"/>
  <c r="Q344" i="14"/>
  <c r="Q89" i="14"/>
  <c r="Q164" i="14"/>
  <c r="Q379" i="14"/>
  <c r="Q567" i="14"/>
  <c r="Q1114" i="14"/>
  <c r="Q629" i="14"/>
  <c r="Q904" i="14"/>
  <c r="Q166" i="14"/>
  <c r="Q835" i="14"/>
  <c r="Q877" i="14"/>
  <c r="Q255" i="14"/>
  <c r="Q963" i="14"/>
  <c r="Q129" i="14"/>
  <c r="Q269" i="14"/>
  <c r="Q538" i="14"/>
  <c r="Q987" i="14"/>
  <c r="Q757" i="14"/>
  <c r="Q45" i="14"/>
  <c r="Q110" i="14"/>
  <c r="Q962" i="14"/>
  <c r="Q773" i="14"/>
  <c r="Q858" i="14"/>
  <c r="Q804" i="14"/>
  <c r="Q84" i="14"/>
  <c r="Q38" i="14"/>
  <c r="Q345" i="14"/>
  <c r="Q901" i="14"/>
  <c r="Q511" i="14"/>
  <c r="Q283" i="14"/>
  <c r="Q313" i="14"/>
  <c r="Q1077" i="14"/>
  <c r="Q903" i="14"/>
  <c r="Q933" i="14"/>
  <c r="Q970" i="14"/>
  <c r="Q750" i="14"/>
  <c r="Q771" i="14"/>
  <c r="Q23" i="14"/>
  <c r="Q44" i="14"/>
  <c r="Q197" i="14"/>
  <c r="Q435" i="14"/>
  <c r="Q400" i="14"/>
  <c r="Q1089" i="14"/>
  <c r="Q708" i="14"/>
  <c r="Q879" i="14"/>
  <c r="Q932" i="14"/>
  <c r="Q318" i="14"/>
  <c r="Q896" i="14"/>
  <c r="Q856" i="14"/>
  <c r="Q851" i="14"/>
  <c r="Q153" i="14"/>
  <c r="Q165" i="14"/>
  <c r="Q335" i="14"/>
  <c r="Q832" i="14"/>
  <c r="Q1053" i="14"/>
  <c r="Q392" i="14"/>
  <c r="Q430" i="14"/>
  <c r="Q852" i="14"/>
  <c r="Q251" i="14"/>
  <c r="Q1064" i="14"/>
  <c r="Q327" i="14"/>
  <c r="Q529" i="14"/>
  <c r="Q194" i="14"/>
  <c r="Q274" i="14"/>
  <c r="Q805" i="14"/>
  <c r="Q1113" i="14"/>
  <c r="Q148" i="14"/>
  <c r="Q943" i="14"/>
  <c r="Q200" i="14"/>
  <c r="Q811" i="14"/>
  <c r="Q868" i="14"/>
  <c r="Q510" i="14"/>
  <c r="Q410" i="14"/>
  <c r="Q175" i="14"/>
  <c r="Q253" i="14"/>
  <c r="Q237" i="14"/>
  <c r="Q922" i="14"/>
  <c r="Q373" i="14"/>
  <c r="Q103" i="14"/>
  <c r="Q138" i="14"/>
  <c r="Q934" i="14"/>
  <c r="Q151" i="14"/>
  <c r="Q354" i="14"/>
  <c r="Q356" i="14"/>
  <c r="Q51" i="14"/>
  <c r="Q58" i="14"/>
  <c r="Q308" i="14"/>
  <c r="Q697" i="14"/>
  <c r="Q489" i="14"/>
  <c r="Q482" i="14"/>
  <c r="Q294" i="14"/>
  <c r="Q1065" i="14"/>
  <c r="Q871" i="14"/>
  <c r="Q931" i="14"/>
  <c r="Q905" i="14"/>
  <c r="Q622" i="14"/>
  <c r="Q707" i="14"/>
  <c r="Q1144" i="14"/>
  <c r="Q90" i="14"/>
  <c r="Q552" i="14"/>
  <c r="Q385" i="14"/>
  <c r="Q377" i="14"/>
  <c r="Q1073" i="14"/>
  <c r="Q665" i="14"/>
  <c r="Q1117" i="14"/>
  <c r="Q24" i="14"/>
  <c r="Q46" i="14"/>
  <c r="Q179" i="14"/>
  <c r="Q358" i="14"/>
  <c r="Q355" i="14"/>
  <c r="Q1057" i="14"/>
  <c r="Q891" i="14"/>
  <c r="Q806" i="14"/>
  <c r="Q746" i="14"/>
  <c r="Q94" i="14"/>
  <c r="Q181" i="14"/>
  <c r="Q380" i="14"/>
  <c r="Q394" i="14"/>
  <c r="Q1086" i="14"/>
  <c r="Q853" i="14"/>
  <c r="Q936" i="14"/>
  <c r="Q50" i="14"/>
  <c r="Q214" i="14"/>
  <c r="Q541" i="14"/>
  <c r="Q316" i="14"/>
  <c r="Q249" i="14"/>
  <c r="Q1027" i="14"/>
  <c r="Q749" i="14"/>
  <c r="Q870" i="14"/>
  <c r="Q41" i="14"/>
  <c r="Q859" i="14"/>
  <c r="Q571" i="14"/>
  <c r="Q235" i="14"/>
  <c r="Q1119" i="14"/>
  <c r="Q548" i="14"/>
  <c r="Q88" i="14"/>
  <c r="Q645" i="14"/>
  <c r="Q307" i="14"/>
  <c r="Q161" i="14"/>
  <c r="Q976" i="14"/>
  <c r="Q692" i="14"/>
  <c r="Q127" i="14"/>
  <c r="Q523" i="14"/>
  <c r="Q444" i="14"/>
  <c r="Q1056" i="14"/>
  <c r="Q623" i="14"/>
  <c r="Q115" i="14"/>
  <c r="Q158" i="14"/>
  <c r="Q475" i="14"/>
  <c r="Q299" i="14"/>
  <c r="Q1015" i="14"/>
  <c r="Q434" i="14"/>
  <c r="Q712" i="14"/>
  <c r="Q100" i="14"/>
  <c r="Q209" i="14"/>
  <c r="Q418" i="14"/>
  <c r="Q419" i="14"/>
  <c r="Q226" i="14"/>
  <c r="Q875" i="14"/>
  <c r="Q557" i="14"/>
  <c r="Q964" i="14"/>
  <c r="Q854" i="14"/>
  <c r="Q719" i="14"/>
  <c r="Q569" i="14"/>
  <c r="Q946" i="14"/>
  <c r="Q1016" i="14"/>
  <c r="Q666" i="14"/>
  <c r="Q195" i="14"/>
  <c r="Q758" i="14"/>
  <c r="Q619" i="14"/>
  <c r="Q1125" i="14"/>
  <c r="Q66" i="14"/>
  <c r="Q644" i="14"/>
  <c r="Q834" i="14"/>
  <c r="Q777" i="14"/>
  <c r="Q258" i="14"/>
  <c r="Q783" i="14"/>
  <c r="Q661" i="14"/>
  <c r="Q1138" i="14"/>
  <c r="Q867" i="14"/>
  <c r="Q407" i="14"/>
  <c r="Q1081" i="14"/>
  <c r="Q568" i="14"/>
  <c r="Q899" i="14"/>
  <c r="Q768" i="14"/>
  <c r="Q604" i="14"/>
  <c r="Q625" i="14"/>
  <c r="Q361" i="14"/>
  <c r="Q952" i="14"/>
  <c r="Q1139" i="14"/>
  <c r="Q882" i="14"/>
  <c r="Q351" i="14"/>
  <c r="Q794" i="14"/>
  <c r="Q672" i="14"/>
  <c r="Q1153" i="14"/>
  <c r="Q547" i="14"/>
  <c r="Q769" i="14"/>
  <c r="Q211" i="14"/>
  <c r="Q893" i="14"/>
  <c r="Q718" i="14"/>
  <c r="Q910" i="14"/>
  <c r="Q722" i="14"/>
  <c r="Q601" i="14"/>
  <c r="Q802" i="14"/>
  <c r="Q1043" i="14"/>
  <c r="Q215" i="14"/>
  <c r="Q1141" i="14"/>
  <c r="Q509" i="14"/>
  <c r="Q620" i="14"/>
  <c r="Q501" i="14"/>
  <c r="Q861" i="14"/>
  <c r="Q171" i="14"/>
  <c r="Q370" i="14"/>
  <c r="Q34" i="14"/>
  <c r="Q277" i="14"/>
  <c r="Q721" i="14"/>
  <c r="Q1031" i="14"/>
  <c r="Q199" i="14"/>
  <c r="Q918" i="14"/>
  <c r="Q314" i="14"/>
  <c r="Q128" i="14"/>
  <c r="Q483" i="14"/>
  <c r="Q423" i="14"/>
  <c r="Q1028" i="14"/>
  <c r="Q994" i="14"/>
  <c r="Q30" i="14"/>
  <c r="Q167" i="14"/>
  <c r="Q399" i="14"/>
  <c r="Q263" i="14"/>
  <c r="Q999" i="14"/>
  <c r="Q913" i="14"/>
  <c r="Q81" i="14"/>
  <c r="Q123" i="14"/>
  <c r="Q156" i="14"/>
  <c r="Q397" i="14"/>
  <c r="Q390" i="14"/>
  <c r="Q1093" i="14"/>
  <c r="Q843" i="14"/>
  <c r="Q1102" i="14"/>
  <c r="Q938" i="14"/>
  <c r="Q828" i="14"/>
  <c r="Q696" i="14"/>
  <c r="Q22" i="14"/>
  <c r="Q982" i="14"/>
  <c r="Q694" i="14"/>
  <c r="Q1143" i="14"/>
  <c r="Q131" i="14"/>
  <c r="Q743" i="14"/>
  <c r="Q606" i="14"/>
  <c r="Q790" i="14"/>
  <c r="Q539" i="14"/>
  <c r="Q132" i="14"/>
  <c r="Q322" i="14"/>
  <c r="Q713" i="14"/>
  <c r="Q977" i="14"/>
  <c r="Q755" i="14"/>
  <c r="Q646" i="14"/>
  <c r="Q1107" i="14"/>
  <c r="Q544" i="14"/>
  <c r="Q454" i="14"/>
  <c r="Q1017" i="14"/>
  <c r="Q504" i="14"/>
  <c r="Q869" i="14"/>
  <c r="Q753" i="14"/>
  <c r="Q591" i="14"/>
  <c r="Q1110" i="14"/>
  <c r="Q880" i="14"/>
  <c r="Q1111" i="14"/>
  <c r="Q1075" i="14"/>
  <c r="Q799" i="14"/>
  <c r="Q287" i="14"/>
  <c r="Q779" i="14"/>
  <c r="Q640" i="14"/>
  <c r="Q1132" i="14"/>
  <c r="Q1154" i="14"/>
  <c r="Q233" i="14"/>
  <c r="Q1094" i="14"/>
  <c r="Q1140" i="14"/>
  <c r="Q654" i="14"/>
  <c r="Q864" i="14"/>
  <c r="Q709" i="14"/>
  <c r="Q588" i="14"/>
  <c r="Q224" i="14"/>
  <c r="Q739" i="14"/>
  <c r="Q254" i="14"/>
  <c r="Q885" i="14"/>
  <c r="Q445" i="14"/>
  <c r="Q556" i="14"/>
  <c r="Q1142" i="14"/>
  <c r="Q328" i="14"/>
  <c r="Q257" i="14"/>
  <c r="Q821" i="14"/>
  <c r="Q513" i="14"/>
  <c r="Q121" i="14"/>
  <c r="Q558" i="14"/>
  <c r="Q598" i="14"/>
  <c r="Q383" i="14"/>
  <c r="Q822" i="14"/>
  <c r="Q849" i="14"/>
  <c r="Q141" i="14"/>
  <c r="Q453" i="14"/>
  <c r="Q371" i="14"/>
  <c r="Q1018" i="14"/>
  <c r="Q1123" i="14"/>
  <c r="Q80" i="14"/>
  <c r="Q183" i="14"/>
  <c r="Q378" i="14"/>
  <c r="Q239" i="14"/>
  <c r="Q968" i="14"/>
  <c r="Q863" i="14"/>
  <c r="Q43" i="14"/>
  <c r="Q146" i="14"/>
  <c r="Q540" i="14"/>
  <c r="Q374" i="14"/>
  <c r="Q367" i="14"/>
  <c r="Q1083" i="14"/>
  <c r="Q815" i="14"/>
  <c r="Q97" i="14"/>
  <c r="Q909" i="14"/>
  <c r="Q807" i="14"/>
  <c r="Q679" i="14"/>
  <c r="Q1148" i="14"/>
  <c r="Q978" i="14"/>
  <c r="Q927" i="14"/>
  <c r="Q1079" i="14"/>
  <c r="Q67" i="14"/>
  <c r="Q729" i="14"/>
  <c r="Q566" i="14"/>
  <c r="Q874" i="14"/>
  <c r="Q1000" i="14"/>
  <c r="Q944" i="14"/>
  <c r="Q1100" i="14"/>
  <c r="Q649" i="14"/>
  <c r="Q955" i="14"/>
  <c r="Q742" i="14"/>
  <c r="Q633" i="14"/>
  <c r="Q1118" i="14"/>
  <c r="Q1041" i="14"/>
  <c r="Q413" i="14"/>
  <c r="Q953" i="14"/>
  <c r="Q440" i="14"/>
  <c r="Q827" i="14"/>
  <c r="Q726" i="14"/>
  <c r="Q576" i="14"/>
  <c r="Q878" i="14"/>
  <c r="Q272" i="14"/>
  <c r="Q1047" i="14"/>
  <c r="Q1011" i="14"/>
  <c r="Q735" i="14"/>
  <c r="Q825" i="14"/>
  <c r="Q767" i="14"/>
  <c r="Q630" i="14"/>
  <c r="Q1121" i="14"/>
  <c r="Q1137" i="14"/>
  <c r="Q808" i="14"/>
  <c r="Q1030" i="14"/>
  <c r="Q1012" i="14"/>
  <c r="Q590" i="14"/>
  <c r="Q836" i="14"/>
  <c r="Q698" i="14"/>
  <c r="Q572" i="14"/>
  <c r="Q561" i="14"/>
  <c r="Q409" i="14"/>
  <c r="Q157" i="14"/>
  <c r="Q578" i="14"/>
  <c r="Q381" i="14"/>
  <c r="Q492" i="14"/>
  <c r="Q472" i="14"/>
  <c r="Q302" i="14"/>
  <c r="Q655" i="14"/>
  <c r="Q69" i="14"/>
  <c r="Q809" i="14"/>
  <c r="Q443" i="14"/>
  <c r="Q643" i="14"/>
  <c r="Q980" i="14"/>
  <c r="Q331" i="14"/>
  <c r="Q720" i="14"/>
  <c r="Q61" i="14"/>
  <c r="Q210" i="14"/>
  <c r="Q424" i="14"/>
  <c r="Q347" i="14"/>
  <c r="Q974" i="14"/>
  <c r="Q744" i="14"/>
  <c r="Q96" i="14"/>
  <c r="Q140" i="14"/>
  <c r="Q350" i="14"/>
  <c r="Q227" i="14"/>
  <c r="Q911" i="14"/>
  <c r="Q196" i="14"/>
  <c r="Q65" i="14"/>
  <c r="Q162" i="14"/>
  <c r="Q512" i="14"/>
  <c r="Q348" i="14"/>
  <c r="Q319" i="14"/>
  <c r="Q1067" i="14"/>
  <c r="Q965" i="14"/>
  <c r="Q845" i="14"/>
  <c r="Q847" i="14"/>
  <c r="Q789" i="14"/>
  <c r="Q668" i="14"/>
  <c r="Q1129" i="14"/>
  <c r="Q474" i="14"/>
  <c r="Q599" i="14"/>
  <c r="Q594" i="14"/>
  <c r="Q894" i="14"/>
  <c r="Q716" i="14"/>
  <c r="Q1146" i="14"/>
  <c r="Q786" i="14"/>
  <c r="Q627" i="14"/>
  <c r="Q872" i="14"/>
  <c r="Q972" i="14"/>
  <c r="Q585" i="14"/>
  <c r="Q929" i="14"/>
  <c r="Q727" i="14"/>
  <c r="Q616" i="14"/>
  <c r="Q202" i="14"/>
  <c r="Q833" i="14"/>
  <c r="Q628" i="14"/>
  <c r="Q889" i="14"/>
  <c r="Q376" i="14"/>
  <c r="Q975" i="14"/>
  <c r="Q700" i="14"/>
  <c r="Q560" i="14"/>
  <c r="Q618" i="14"/>
  <c r="Q343" i="14"/>
  <c r="Q983" i="14"/>
  <c r="Q947" i="14"/>
  <c r="Q671" i="14"/>
  <c r="Q973" i="14"/>
  <c r="Q751" i="14"/>
  <c r="Q614" i="14"/>
  <c r="Q1104" i="14"/>
  <c r="Q689" i="14"/>
  <c r="Q98" i="14"/>
  <c r="Q966" i="14"/>
  <c r="Q948" i="14"/>
  <c r="Q526" i="14"/>
  <c r="Q810" i="14"/>
  <c r="Q681" i="14"/>
  <c r="Q1152" i="14"/>
  <c r="Q426" i="14"/>
  <c r="Q961" i="14"/>
  <c r="Q516" i="14"/>
  <c r="Q829" i="14"/>
  <c r="Q317" i="14"/>
  <c r="Q428" i="14"/>
  <c r="Q403" i="14"/>
  <c r="Q596" i="14"/>
  <c r="Q737" i="14"/>
  <c r="Q191" i="14"/>
  <c r="Q83" i="14"/>
  <c r="Q460" i="14"/>
  <c r="Q925" i="14"/>
  <c r="Q109" i="14"/>
  <c r="Q396" i="14"/>
  <c r="Q678" i="14"/>
  <c r="Q91" i="14"/>
  <c r="Q150" i="14"/>
  <c r="Q352" i="14"/>
  <c r="Q301" i="14"/>
  <c r="Q942" i="14"/>
  <c r="Q35" i="14"/>
  <c r="Q120" i="14"/>
  <c r="Q542" i="14"/>
  <c r="Q496" i="14"/>
  <c r="Q1095" i="14"/>
  <c r="Q881" i="14"/>
  <c r="Q1108" i="14"/>
  <c r="Q99" i="14"/>
  <c r="Q186" i="14"/>
  <c r="Q537" i="14"/>
  <c r="Q310" i="14"/>
  <c r="Q297" i="14"/>
  <c r="Q1038" i="14"/>
  <c r="Q937" i="14"/>
  <c r="Q995" i="14"/>
  <c r="Q816" i="14"/>
  <c r="Q774" i="14"/>
  <c r="Q651" i="14"/>
  <c r="Q1116" i="14"/>
  <c r="Q979" i="14"/>
  <c r="Q87" i="14"/>
  <c r="Q1134" i="14"/>
  <c r="Q848" i="14"/>
  <c r="Q704" i="14"/>
  <c r="Q1127" i="14"/>
  <c r="Q876" i="14"/>
  <c r="Q626" i="14"/>
  <c r="Q1109" i="14"/>
  <c r="Q908" i="14"/>
  <c r="Q521" i="14"/>
  <c r="Q892" i="14"/>
  <c r="Q715" i="14"/>
  <c r="Q605" i="14"/>
  <c r="Q770" i="14"/>
  <c r="Q402" i="14"/>
  <c r="Q68" i="14"/>
  <c r="Q610" i="14"/>
  <c r="Q312" i="14"/>
  <c r="Q951" i="14"/>
  <c r="Q685" i="14"/>
  <c r="Q1136" i="14"/>
  <c r="Q178" i="14"/>
  <c r="Q326" i="14"/>
  <c r="Q919" i="14"/>
  <c r="Q883" i="14"/>
  <c r="Q607" i="14"/>
  <c r="Q949" i="14"/>
  <c r="Q736" i="14"/>
  <c r="Q603" i="14"/>
  <c r="Q1080" i="14"/>
  <c r="Q1059" i="14"/>
  <c r="Q279" i="14"/>
  <c r="Q902" i="14"/>
  <c r="Q884" i="14"/>
  <c r="Q462" i="14"/>
  <c r="Q793" i="14"/>
  <c r="Q670" i="14"/>
  <c r="Q1131" i="14"/>
  <c r="Q248" i="14"/>
  <c r="Q192" i="14"/>
  <c r="Q147" i="14"/>
  <c r="Q765" i="14"/>
  <c r="Q212" i="14"/>
  <c r="Q364" i="14"/>
  <c r="Q232" i="14"/>
  <c r="Q218" i="14"/>
  <c r="Q484" i="14"/>
  <c r="Q1092" i="14"/>
  <c r="Q481" i="14"/>
  <c r="Q273" i="14"/>
  <c r="Q160" i="14"/>
  <c r="Q72" i="14"/>
  <c r="Q325" i="14"/>
  <c r="Q193" i="14"/>
  <c r="Q28" i="14"/>
  <c r="Q163" i="14"/>
  <c r="Q320" i="14"/>
  <c r="Q264" i="14"/>
  <c r="Q887" i="14"/>
  <c r="Q33" i="14"/>
  <c r="Q144" i="14"/>
  <c r="Q518" i="14"/>
  <c r="Q438" i="14"/>
  <c r="Q1068" i="14"/>
  <c r="Q898" i="14"/>
  <c r="Q754" i="14"/>
  <c r="Q32" i="14"/>
  <c r="Q216" i="14"/>
  <c r="Q495" i="14"/>
  <c r="Q291" i="14"/>
  <c r="Q276" i="14"/>
  <c r="Q1026" i="14"/>
  <c r="Q763" i="14"/>
  <c r="Q731" i="14"/>
  <c r="Q967" i="14"/>
  <c r="Q761" i="14"/>
  <c r="Q636" i="14"/>
  <c r="Q1101" i="14"/>
  <c r="Q656" i="14"/>
  <c r="Q134" i="14"/>
  <c r="Q1006" i="14"/>
  <c r="Q800" i="14"/>
  <c r="Q688" i="14"/>
  <c r="Q691" i="14"/>
  <c r="Q305" i="14"/>
  <c r="Q471" i="14"/>
  <c r="Q1045" i="14"/>
  <c r="Q762" i="14"/>
  <c r="Q457" i="14"/>
  <c r="Q844" i="14"/>
  <c r="Q703" i="14"/>
  <c r="Q592" i="14"/>
  <c r="Q725" i="14"/>
  <c r="Q888" i="14"/>
  <c r="Q912" i="14"/>
  <c r="Q824" i="14"/>
  <c r="Q172" i="14"/>
  <c r="Q817" i="14"/>
  <c r="Q674" i="14"/>
  <c r="Q1122" i="14"/>
  <c r="Q756" i="14"/>
  <c r="Q349" i="14"/>
  <c r="Q850" i="14"/>
  <c r="Q562" i="14"/>
  <c r="Q543" i="14"/>
  <c r="Q914" i="14"/>
  <c r="Q710" i="14"/>
  <c r="Q589" i="14"/>
  <c r="Q490" i="14"/>
  <c r="Q795" i="14"/>
  <c r="Q262" i="14"/>
  <c r="Q714" i="14"/>
  <c r="Q570" i="14"/>
  <c r="Q398" i="14"/>
  <c r="Q778" i="14"/>
  <c r="Q653" i="14"/>
  <c r="Q1120" i="14"/>
  <c r="Q1106" i="14"/>
  <c r="Q752" i="14"/>
  <c r="Q992" i="14"/>
  <c r="Q701" i="14"/>
  <c r="Q812" i="14"/>
  <c r="Q300" i="14"/>
  <c r="Q101" i="14"/>
  <c r="Q895" i="14"/>
  <c r="Q916" i="14"/>
  <c r="Q924" i="14"/>
  <c r="Q595" i="14"/>
  <c r="Q1048" i="14"/>
  <c r="Q527" i="14"/>
  <c r="Q26" i="14"/>
  <c r="Q1088" i="14"/>
  <c r="Q617" i="14"/>
  <c r="Q48" i="14"/>
  <c r="Q546" i="14"/>
  <c r="Q295" i="14"/>
  <c r="Q241" i="14"/>
  <c r="Q818" i="14"/>
  <c r="Q39" i="14"/>
  <c r="Q149" i="14"/>
  <c r="Q517" i="14"/>
  <c r="Q369" i="14"/>
  <c r="Q1054" i="14"/>
  <c r="Q717" i="14"/>
  <c r="Q906" i="14"/>
  <c r="Q52" i="14"/>
  <c r="Q169" i="14"/>
  <c r="Q473" i="14"/>
  <c r="Q466" i="14"/>
  <c r="Q261" i="14"/>
  <c r="Q1013" i="14"/>
  <c r="Q730" i="14"/>
  <c r="Q281" i="14"/>
  <c r="Q939" i="14"/>
  <c r="Q747" i="14"/>
  <c r="Q611" i="14"/>
  <c r="Q842" i="14"/>
  <c r="Q240" i="14"/>
  <c r="Q29" i="14"/>
  <c r="Q522" i="14"/>
  <c r="Q784" i="14"/>
  <c r="Q662" i="14"/>
  <c r="Q781" i="14"/>
  <c r="Q915" i="14"/>
  <c r="Q582" i="14"/>
  <c r="Q981" i="14"/>
  <c r="Q188" i="14"/>
  <c r="Q393" i="14"/>
  <c r="Q819" i="14"/>
  <c r="Q687" i="14"/>
  <c r="Q577" i="14"/>
  <c r="Q820" i="14"/>
  <c r="Q499" i="14"/>
  <c r="Q890" i="14"/>
  <c r="Q760" i="14"/>
  <c r="Q956" i="14"/>
  <c r="Q796" i="14"/>
  <c r="Q641" i="14"/>
  <c r="Q1105" i="14"/>
  <c r="Q803" i="14"/>
  <c r="Q580" i="14"/>
  <c r="Q338" i="14"/>
  <c r="Q1074" i="14"/>
  <c r="Q479" i="14"/>
  <c r="Q866" i="14"/>
  <c r="Q699" i="14"/>
  <c r="Q575" i="14"/>
  <c r="Q1058" i="14"/>
  <c r="Q432" i="14"/>
  <c r="Q221" i="14"/>
  <c r="Q1149" i="14"/>
  <c r="Q846" i="14"/>
  <c r="Q334" i="14"/>
  <c r="Q764" i="14"/>
  <c r="Q639" i="14"/>
  <c r="Q1103" i="14"/>
  <c r="Q304" i="14"/>
  <c r="Q1042" i="14"/>
  <c r="Q184" i="14"/>
  <c r="Q449" i="14"/>
  <c r="Q597" i="14"/>
  <c r="Q555" i="14"/>
  <c r="Q282" i="14"/>
  <c r="Q450" i="14"/>
  <c r="Q837" i="14"/>
  <c r="Q862" i="14"/>
  <c r="Q573" i="14"/>
  <c r="Q446" i="14"/>
  <c r="Q683" i="14"/>
  <c r="Q497" i="14"/>
  <c r="Q436" i="14"/>
  <c r="Q1070" i="14"/>
  <c r="Q477" i="14"/>
  <c r="Q441" i="14"/>
  <c r="Q275" i="14"/>
  <c r="Q1025" i="14"/>
  <c r="Q1061" i="14"/>
  <c r="Q748" i="14"/>
  <c r="Q563" i="14"/>
  <c r="Q469" i="14"/>
  <c r="Q78" i="14"/>
  <c r="Q321" i="14"/>
  <c r="Q247" i="14"/>
  <c r="Q642" i="14"/>
  <c r="Q917" i="14"/>
  <c r="Q1145" i="14"/>
  <c r="Q260" i="14"/>
  <c r="Q564" i="14"/>
  <c r="Q667" i="14"/>
  <c r="Q684" i="14"/>
  <c r="Q690" i="14"/>
  <c r="Q921" i="14"/>
  <c r="Q550" i="14"/>
  <c r="Q1039" i="14"/>
  <c r="Q997" i="14"/>
  <c r="Q324" i="14"/>
  <c r="Q841" i="14"/>
  <c r="Q632" i="14"/>
  <c r="Q1010" i="14"/>
  <c r="Q957" i="14"/>
  <c r="Q1055" i="14"/>
  <c r="Q76" i="14"/>
  <c r="Q95" i="14"/>
  <c r="Q105" i="14"/>
  <c r="Q470" i="14"/>
  <c r="Q621" i="14"/>
  <c r="Q652" i="14"/>
  <c r="Q259" i="14"/>
  <c r="Q329" i="14"/>
  <c r="Q920" i="14"/>
  <c r="Q415" i="14"/>
  <c r="Q782" i="14"/>
  <c r="Q663" i="14"/>
  <c r="Q732" i="14"/>
  <c r="Q831" i="14"/>
  <c r="Q228" i="14"/>
  <c r="Q593" i="14"/>
  <c r="Q897" i="14"/>
  <c r="Q772" i="14"/>
  <c r="Q798" i="14"/>
  <c r="Q780" i="14"/>
  <c r="Q838" i="14"/>
  <c r="Q265" i="14"/>
  <c r="Q855" i="14"/>
  <c r="Q74" i="14"/>
  <c r="Q797" i="14"/>
  <c r="Q559" i="14"/>
  <c r="Q624" i="14"/>
  <c r="Q637" i="14"/>
  <c r="Q360" i="14"/>
  <c r="Q733" i="14"/>
  <c r="Q82" i="14"/>
  <c r="Q900" i="14"/>
  <c r="Q634" i="14"/>
  <c r="Q675" i="14"/>
  <c r="Q615" i="14"/>
  <c r="Q682" i="14"/>
  <c r="Q734" i="14"/>
  <c r="Q602" i="14"/>
  <c r="Q185" i="14"/>
  <c r="S496" i="16"/>
  <c r="Q496" i="16" a="1"/>
  <c r="Q496" i="16" s="1"/>
  <c r="P497" i="16"/>
  <c r="F40" i="20"/>
  <c r="G40" i="20"/>
  <c r="H92" i="20"/>
  <c r="R92" i="20"/>
  <c r="U92" i="20"/>
  <c r="F92" i="20"/>
  <c r="C93" i="20"/>
  <c r="G92" i="20"/>
  <c r="O92" i="20"/>
  <c r="Q497" i="16" l="1" a="1"/>
  <c r="Q497" i="16" s="1"/>
  <c r="S497" i="16"/>
  <c r="P498" i="16"/>
  <c r="R93" i="20"/>
  <c r="U93" i="20"/>
  <c r="F93" i="20"/>
  <c r="G93" i="20"/>
  <c r="H93" i="20"/>
  <c r="C94" i="20"/>
  <c r="O93" i="20"/>
  <c r="Q498" i="16" l="1" a="1"/>
  <c r="Q498" i="16" s="1"/>
  <c r="S498" i="16"/>
  <c r="P500" i="16"/>
  <c r="P499" i="16"/>
  <c r="H94" i="20"/>
  <c r="G94" i="20"/>
  <c r="R94" i="20"/>
  <c r="F94" i="20"/>
  <c r="U94" i="20"/>
  <c r="C95" i="20"/>
  <c r="O94" i="20"/>
  <c r="S500" i="16" l="1"/>
  <c r="Q500" i="16" a="1"/>
  <c r="Q500" i="16" s="1"/>
  <c r="S499" i="16"/>
  <c r="Q499" i="16" a="1"/>
  <c r="Q499" i="16" s="1"/>
  <c r="H95" i="20"/>
  <c r="U95" i="20"/>
  <c r="R95" i="20"/>
  <c r="F95" i="20"/>
  <c r="G95" i="20"/>
  <c r="O95" i="20"/>
  <c r="C96" i="20"/>
  <c r="H96" i="20" l="1"/>
  <c r="U96" i="20"/>
  <c r="U30" i="20" s="1"/>
  <c r="G26" i="25" s="1"/>
  <c r="R96" i="20"/>
  <c r="G96" i="20"/>
  <c r="G30" i="20" s="1"/>
  <c r="F96" i="20"/>
  <c r="F30" i="20" s="1"/>
  <c r="H21" i="20" s="1"/>
  <c r="O96" i="20"/>
  <c r="C97" i="20"/>
  <c r="H30" i="20" l="1"/>
  <c r="L21" i="20" s="1"/>
  <c r="G24" i="25" s="1"/>
  <c r="R30" i="20"/>
  <c r="L20" i="20" s="1"/>
  <c r="J21" i="20"/>
  <c r="K21" i="20"/>
  <c r="G22" i="25"/>
  <c r="C98" i="20"/>
  <c r="O97" i="20"/>
  <c r="L22" i="20" l="1"/>
  <c r="G25" i="25"/>
  <c r="G23" i="25"/>
  <c r="C99" i="20"/>
  <c r="O98" i="20"/>
  <c r="O99" i="20" l="1"/>
  <c r="C100" i="20"/>
  <c r="C101" i="20" l="1"/>
  <c r="O100" i="20"/>
  <c r="C102" i="20" l="1"/>
  <c r="O101" i="20"/>
  <c r="O102" i="20" l="1"/>
  <c r="C103" i="20"/>
  <c r="C104" i="20" l="1"/>
  <c r="O103" i="20"/>
  <c r="C105" i="20" l="1"/>
  <c r="O104" i="20"/>
  <c r="C106" i="20" l="1"/>
  <c r="O105" i="20"/>
  <c r="O106" i="20" l="1"/>
  <c r="C107" i="20"/>
  <c r="C108" i="20" l="1"/>
  <c r="G27" i="25" s="1"/>
  <c r="O107" i="20"/>
  <c r="C109" i="20" l="1"/>
  <c r="O108" i="20"/>
  <c r="C110" i="20" l="1"/>
  <c r="O109" i="20"/>
  <c r="C111" i="20" l="1"/>
  <c r="O110" i="20"/>
  <c r="C112" i="20" l="1"/>
  <c r="O111" i="20"/>
  <c r="C113" i="20" l="1"/>
  <c r="O112" i="20"/>
  <c r="O113" i="20" l="1"/>
  <c r="C114" i="20"/>
  <c r="C115" i="20" l="1"/>
  <c r="O114" i="20"/>
  <c r="O115" i="20" l="1"/>
  <c r="C116" i="20"/>
  <c r="C117" i="20" l="1"/>
  <c r="O116" i="20"/>
  <c r="C118" i="20" l="1"/>
  <c r="O117" i="20"/>
  <c r="C119" i="20" l="1"/>
  <c r="O118" i="20"/>
  <c r="C120" i="20" l="1"/>
  <c r="O119" i="20"/>
  <c r="C121" i="20" l="1"/>
  <c r="O120" i="20"/>
  <c r="C122" i="20" l="1"/>
  <c r="O121" i="20"/>
  <c r="C123" i="20" l="1"/>
  <c r="O122" i="20"/>
  <c r="O123" i="20" l="1"/>
  <c r="C124" i="20"/>
  <c r="O124" i="20" l="1"/>
  <c r="C125" i="20"/>
  <c r="C126" i="20" l="1"/>
  <c r="O125" i="20"/>
  <c r="C127" i="20" l="1"/>
  <c r="O126" i="20"/>
  <c r="C128" i="20" l="1"/>
  <c r="O127" i="20"/>
  <c r="C129" i="20" l="1"/>
  <c r="O128" i="20"/>
  <c r="O129" i="20" l="1"/>
  <c r="C130" i="20"/>
  <c r="O130" i="20" s="1"/>
  <c r="O30" i="20" s="1"/>
  <c r="K20" i="20" l="1"/>
  <c r="O31" i="20"/>
  <c r="K22" i="20"/>
  <c r="P1155" i="14" l="1"/>
  <c r="J40" i="20" s="1"/>
  <c r="K40" i="20" s="1"/>
  <c r="K30" i="20" s="1"/>
  <c r="H20" i="20" l="1"/>
  <c r="H22" i="20" s="1"/>
  <c r="Q1155" i="14"/>
  <c r="Q1157" i="14" s="1"/>
  <c r="G20" i="25"/>
  <c r="K31" i="20" l="1"/>
  <c r="L57" i="20"/>
  <c r="M57" i="20" s="1"/>
  <c r="P568" i="16" l="1"/>
  <c r="Q568" i="16" l="1"/>
  <c r="S568" i="16"/>
  <c r="S570" i="16" s="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M31" i="20" s="1"/>
  <c r="J20" i="20" l="1"/>
  <c r="J22" i="20" s="1"/>
  <c r="C22" i="20" s="1"/>
  <c r="G19" i="25" s="1"/>
  <c r="J8" i="25" s="1"/>
  <c r="J10" i="25" s="1"/>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tc={8666887E-3EE3-40FB-8131-A8A8017BF316}</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8666887E-3EE3-40FB-8131-A8A8017BF316}">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<sst xmlns="http://schemas.openxmlformats.org/spreadsheetml/2006/main" count="5371" uniqueCount="381">
  <si>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</si>
  <si>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</si>
  <si>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</si>
  <si>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</si>
  <si>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</si>
  <si>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</si>
  <si>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</si>
  <si>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</si>
  <si>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</si>
  <si>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</si>
  <si>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</si>
  <si>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</si>
  <si>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</si>
  <si>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</si>
  <si>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</si>
  <si>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</si>
  <si>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</si>
  <si>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</si>
  <si>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</si>
  <si>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</si>
  <si>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</si>
  <si>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</si>
  <si>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</si>
  <si>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</si>
  <si>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</si>
  <si>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</si>
  <si>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</si>
  <si>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</si>
  <si>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</si>
  <si>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</si>
  <si>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</si>
  <si>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</si>
  <si>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</si>
  <si>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</si>
  <si>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</si>
  <si>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</si>
  <si>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</si>
  <si>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</si>
  <si>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</si>
  <si>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</si>
  <si>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</si>
  <si>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</si>
  <si>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</si>
  <si>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</si>
  <si>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</si>
  <si>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</si>
  <si>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</si>
  <si>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</si>
  <si>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</si>
  <si>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</si>
  <si>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</si>
  <si>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</si>
  <si>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</si>
  <si>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</si>
  <si>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</si>
  <si>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</si>
  <si>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</si>
  <si>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</si>
  <si>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</si>
  <si>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</si>
  <si>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</si>
  <si>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</si>
  <si>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</si>
  <si>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</si>
  <si>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</si>
  <si>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</si>
  <si>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</si>
  <si>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</si>
  <si>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</si>
  <si>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</si>
  <si>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</si>
  <si>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</si>
  <si>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</si>
  <si>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</si>
  <si>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</si>
  <si>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</si>
  <si>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</si>
  <si>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</si>
  <si>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</si>
  <si>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</si>
  <si>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</si>
  <si>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</si>
  <si>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</si>
  <si>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</si>
  <si>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</si>
  <si>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</si>
  <si>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</si>
  <si>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</si>
  <si>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</si>
  <si>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</si>
  <si>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</si>
  <si>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</si>
  <si>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</si>
  <si>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</si>
  <si>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</si>
  <si>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</si>
  <si>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</si>
  <si>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</si>
  <si>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</si>
  <si>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</si>
  <si>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</si>
  <si>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</si>
  <si>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</si>
  <si>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</si>
  <si>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</si>
  <si>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</si>
  <si>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</si>
  <si>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</si>
  <si>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</si>
  <si>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</si>
  <si>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</si>
  <si>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</si>
  <si>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</si>
  <si>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</si>
  <si>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</si>
  <si>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</si>
  <si>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</si>
  <si>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</si>
  <si>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</si>
  <si>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</si>
  <si>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</si>
  <si>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</si>
  <si>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</si>
  <si>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</si>
  <si>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</si>
  <si>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</si>
  <si>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</si>
  <si>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</si>
  <si>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</si>
  <si>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</si>
  <si>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</si>
  <si>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</si>
  <si>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</si>
  <si>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</si>
  <si>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</si>
  <si>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</si>
  <si>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</si>
  <si>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</si>
  <si>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</si>
  <si>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</si>
  <si>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</si>
  <si>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</si>
  <si>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</si>
  <si>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</si>
  <si>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</si>
  <si>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</si>
  <si>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</si>
  <si>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</si>
  <si>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</si>
  <si>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</si>
  <si>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</si>
  <si>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</si>
  <si>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</si>
  <si>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</si>
  <si>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</si>
  <si>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</si>
  <si>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</si>
  <si>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</si>
  <si>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</si>
  <si>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</si>
  <si>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</si>
  <si>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</si>
  <si>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</si>
  <si>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</si>
  <si>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</si>
  <si>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</si>
  <si>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</si>
  <si>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</si>
  <si>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</si>
  <si>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</si>
  <si>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</si>
  <si>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</si>
  <si>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</si>
  <si>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</si>
  <si>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</si>
  <si>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</si>
  <si>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</si>
  <si>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</si>
  <si>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</si>
  <si>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</si>
  <si>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</si>
  <si>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</si>
  <si>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</si>
  <si>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</si>
  <si>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</si>
  <si>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</si>
  <si>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</si>
  <si>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</si>
  <si>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</si>
  <si>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</si>
  <si>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</si>
  <si>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</si>
  <si>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</si>
  <si>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</si>
  <si>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</si>
  <si>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</si>
  <si>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</si>
  <si>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</si>
  <si>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</si>
  <si>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</si>
  <si>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</si>
  <si>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</si>
  <si>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</si>
  <si>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</si>
  <si>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</si>
  <si>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</si>
  <si>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</si>
  <si>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</si>
  <si>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</si>
  <si>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</si>
  <si>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</si>
  <si>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</si>
  <si>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</si>
  <si>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</si>
  <si>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</si>
  <si>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</si>
  <si>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</si>
  <si>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</si>
  <si>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</si>
  <si>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</si>
  <si>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</si>
  <si>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</si>
  <si>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</si>
  <si>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</si>
  <si>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</si>
  <si>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</si>
  <si>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</si>
  <si>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</si>
  <si>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</si>
  <si>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</si>
  <si>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</si>
  <si>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</si>
  <si>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</si>
  <si>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</si>
  <si>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</si>
  <si>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</si>
  <si>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</si>
  <si>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</si>
  <si>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</si>
  <si>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</si>
  <si>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</si>
  <si>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</si>
  <si>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</si>
  <si>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</si>
  <si>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</si>
  <si>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</si>
  <si>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</si>
  <si>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</si>
  <si>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</si>
  <si>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</si>
  <si>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</si>
  <si>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</si>
  <si>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</si>
  <si>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</si>
  <si>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</si>
  <si>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</si>
  <si>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</si>
  <si>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</si>
  <si>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</si>
  <si>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</si>
  <si>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</si>
  <si>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</si>
  <si>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</si>
  <si>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</si>
  <si>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</si>
  <si>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</si>
  <si>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</si>
  <si>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</si>
  <si>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</si>
  <si>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</si>
  <si>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</si>
  <si>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</si>
  <si>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</si>
  <si>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</si>
  <si>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</si>
  <si>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</si>
  <si>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Calendar year</t>
  </si>
  <si>
    <t>Added by HW</t>
  </si>
  <si>
    <t>Formula for 2021-22 updated by HW</t>
  </si>
  <si>
    <t>Prior to growth factor</t>
  </si>
  <si>
    <t>Nelson Bay</t>
  </si>
  <si>
    <t>W.2</t>
  </si>
  <si>
    <t>Linear Asset in Nelson Bay DSP Area - 200mm</t>
  </si>
  <si>
    <t>Linear Asset in Nelson Bay DSP Area - 150mm</t>
  </si>
  <si>
    <t>Linear Asset in Nelson Bay DSP Area - 300mm</t>
  </si>
  <si>
    <t>DUTCHMANS BAY WPS-CIVIL</t>
  </si>
  <si>
    <t>DUTCHMANS BAY WPS-MECH PUMP 1</t>
  </si>
  <si>
    <t>GLOVERS HILL RESERVOIR 2 ROOF-STEEL</t>
  </si>
  <si>
    <t>GLOVERS HILL RESERVOIR 2STEEL-CIVIL</t>
  </si>
  <si>
    <t>Linear Asset in Nelson Bay DSP Area - 375mm</t>
  </si>
  <si>
    <t>Linear Asset in Nelson Bay DSP Area - 600mm</t>
  </si>
  <si>
    <t>Linear Asset in Nelson Bay DSP Area - 500mm</t>
  </si>
  <si>
    <t>Linear Asset in Nelson Bay DSP Area - 250mm</t>
  </si>
  <si>
    <t>Metres</t>
  </si>
  <si>
    <t>Asset</t>
  </si>
  <si>
    <t>NELSON BAY 4 BOREHOLE-CIVIL 1998 REPLACE</t>
  </si>
  <si>
    <t>NELSON BAY 4 BOREHOLE-MECH/ELEC 1998 REP</t>
  </si>
  <si>
    <t>SOLDIERS PT RES.STEEL-ELECTRICAL</t>
  </si>
  <si>
    <t>SOLDIERS PT RES.STEEL-MECHANICAL</t>
  </si>
  <si>
    <t>SOLDIERS PT RES.STEEL-TELEMETRY</t>
  </si>
  <si>
    <t>ANNA BAY 1 WPS - CIVIL</t>
  </si>
  <si>
    <t>ANNA BAY 1 WPS - ELECTRICAL</t>
  </si>
  <si>
    <t>ANNA BAY 1 WPS - MECHANICAL</t>
  </si>
  <si>
    <t>ANNA BAY 1 WPS - TELEMETRY</t>
  </si>
  <si>
    <t>DUTCHMANS BAY WPS - MECH - PRV</t>
  </si>
  <si>
    <t>NELSON BAY WPS TALLEAN ROAD - ELECTRICS</t>
  </si>
  <si>
    <t>NELSON BAY WPS TALLEAN ROAD - GENERATOR</t>
  </si>
  <si>
    <t>NELSON BAY WPS TALLEAN ROAD - IN VALVE</t>
  </si>
  <si>
    <t>NELSON BAY WPS TALLEAN ROAD - OTH MECH</t>
  </si>
  <si>
    <t>NELSON BAY WPS TALLEAN ROAD - PUMP 1</t>
  </si>
  <si>
    <t>NELSON BAY WPS TALLEAN ROAD - PUMP 2</t>
  </si>
  <si>
    <t>NELSON BAY WPS TALLEAN ROAD - PUMP 3</t>
  </si>
  <si>
    <t>NELSON BAY WPS TALLEAN ROAD - PUMPHOUSE</t>
  </si>
  <si>
    <t>NELSON BAY WPS TALLEAN ROAD - REF VALVE</t>
  </si>
  <si>
    <t>NELSON BAY WPS TALLEAN ROAD - TELEMETRY</t>
  </si>
  <si>
    <t>SOLDIERS POINT RESERVOIR - REFURBISHMENT</t>
  </si>
  <si>
    <t>ANNA BAY 1 WPS - VARIABLE SPEED DRIVE</t>
  </si>
  <si>
    <t>GLOVERS HILL RESERVOIR 2 - EMM REPL 06/0</t>
  </si>
  <si>
    <t>GLOVERS HILL  RESERVOIR 2 - REFIRBISH</t>
  </si>
  <si>
    <t>Linear Asset in Nelson Bay DSP Area - 450mm</t>
  </si>
  <si>
    <t>NELSON BAY 1A WPS - CIRCUIT BREAKERS</t>
  </si>
  <si>
    <t>NELSON BAY 1A WPS - PUMP 3</t>
  </si>
  <si>
    <t>NELSON BAY 1A WPS - SWITCHBOARD</t>
  </si>
  <si>
    <t>NELSON BAY 1A WPS - EMERGENCY GENERATOR</t>
  </si>
  <si>
    <t>Linear Asset in Nelson Bay DSP Area - 225mm</t>
  </si>
  <si>
    <t>FISHERMANS BAY RESERVOIR - OTHER CIVIL</t>
  </si>
  <si>
    <t>FISHERMANS BAY RESERVOIR - PIPEWORK</t>
  </si>
  <si>
    <t>FISHERMANS BAY RESERVOIR - ROADWORKS</t>
  </si>
  <si>
    <t>FISHERMANS BAY RESERVOIR - ROOF</t>
  </si>
  <si>
    <t>FISHERMANS BAY RESERVOIR - STRUCTURE</t>
  </si>
  <si>
    <t>CORLETTE 1 WPS - CIVIL STRUCTURE</t>
  </si>
  <si>
    <t>CORLETTE 1 WPS - OTHER ELECTRICAL</t>
  </si>
  <si>
    <t>CORLETTE 1 WPS - OTHER PIPEWORK</t>
  </si>
  <si>
    <t>CORLETTE 1 WPS - PUMP 1</t>
  </si>
  <si>
    <t>CORLETTE 1 WPS - PUMP 2</t>
  </si>
  <si>
    <t>CORLETTE 1 WPS - SWITCHBOARD</t>
  </si>
  <si>
    <t>CORLETTE 1 WPS - TELEMETRY</t>
  </si>
  <si>
    <t>NELSON BAY 1A WPS - EMM MECH 13/14</t>
  </si>
  <si>
    <t>NELSON BAY 1A WPS - EMM LIFT DVCS 2014</t>
  </si>
  <si>
    <t>SOLDIERS PT RES.STEEL - EMM MECH 2014</t>
  </si>
  <si>
    <t>NELSON BAY 1A WPS - EMM MECH 2015</t>
  </si>
  <si>
    <t>ANNA BAY 1 WPS - EMM MECH 2016</t>
  </si>
  <si>
    <t>ANNA BAY 1 WPS - EMM MECH 2017</t>
  </si>
  <si>
    <t>ANNA BAY 1 WPS - EMM ELEC 2017</t>
  </si>
  <si>
    <t>NELSON BAY 1A WPS - SECURITY REWIRE</t>
  </si>
  <si>
    <t>NELSON BAY 2, BOOSTER WPS - PLC/RCU'S</t>
  </si>
  <si>
    <t>NELSON BAY 1A WPS - PLC/RCU'S</t>
  </si>
  <si>
    <t>NELSON BAY 2 WPS - PRESSURE TRANSMITTER</t>
  </si>
  <si>
    <t>ANNA BAY 1 WPS - PUMP OVERHAUL</t>
  </si>
  <si>
    <t>Linear Asset in Nelson Bay DSP Area - 400mm</t>
  </si>
  <si>
    <t>Checks</t>
  </si>
  <si>
    <t>Formula amended by Hunter Water such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</si>
  <si>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</si>
  <si>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</si>
  <si>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Revenue per ET ($20-21)</t>
  </si>
  <si>
    <t>Operating costs per ET 
($20-21)</t>
  </si>
  <si>
    <t>All areas</t>
  </si>
  <si>
    <t>All areas except W.9</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</si>
  <si>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</si>
  <si>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</si>
  <si>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</si>
  <si>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</si>
  <si>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</si>
  <si>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</si>
  <si>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</si>
  <si>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</si>
  <si>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</si>
  <si>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</si>
  <si>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</si>
  <si>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</si>
  <si>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</si>
  <si>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</si>
  <si>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</si>
  <si>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</si>
  <si>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</si>
  <si>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</si>
  <si>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</si>
  <si>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</si>
  <si>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</si>
  <si>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LHWSP All areas except W.9</t>
  </si>
  <si>
    <t>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</si>
</sst>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 numFmtId="178" formatCode="_(* #,##0.0000_);_(* \(#,##0.0000\);_(* &quot;-&quot;??_);_(@_)"/>
  </numFmts>
  <fonts count="28">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
      <sz val="10"/>
      <color rgb="FFA6A6A6"/>
      <name val="Helvetica-Narrow"/>
      <family val="2"/>
    </font>
    <font>
      <sz val="10"/>
      <name val="Arial"/>
      <family val="2"/>
    </font>
    <font>
      <sz val="10"/>
      <name val="Helvetica-Narrow"/>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3">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style="thin">
        <color rgb="FF969696"/>
      </top>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applyNumberFormat="0" applyProtection="0"/>
    <xf numFmtId="0" fontId="27" fillId="0" borderId="22" applyNumberFormat="0" applyFill="0" applyAlignment="0" applyProtection="0"/>
  </cellStyleXfs>
  <cellXfs count="263">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 fontId="0" fillId="0" borderId="7" xfId="0" applyNumberFormat="1" applyBorder="1" applyAlignment="1">
      <alignment horizontal="right" vertical="top"/>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169" fontId="1" fillId="4" borderId="8" xfId="6" applyNumberFormat="1" applyBorder="1" applyAlignment="1">
      <alignment horizontal="center" vertical="top"/>
      <protection locked="0"/>
    </xf>
    <xf numFmtId="1" fontId="0" fillId="0" borderId="8" xfId="0" applyNumberFormat="1" applyBorder="1" applyAlignment="1">
      <alignment horizontal="right" vertical="top"/>
    </xf>
    <xf numFmtId="3" fontId="1" fillId="4" borderId="5" xfId="6" applyNumberFormat="1" applyBorder="1" applyAlignment="1">
      <protection locked="0"/>
    </xf>
    <xf numFmtId="43" fontId="0" fillId="0" borderId="2" xfId="1" applyFont="1" applyBorder="1"/>
    <xf numFmtId="174" fontId="0" fillId="0" borderId="2" xfId="1" applyNumberFormat="1" applyFont="1" applyBorder="1"/>
    <xf numFmtId="0" fontId="0" fillId="0" borderId="2" xfId="0" applyBorder="1" applyAlignment="1">
      <alignment horizontal="right"/>
    </xf>
    <xf numFmtId="0" fontId="0" fillId="0" borderId="0" xfId="0" quotePrefix="1" applyAlignment="1">
      <alignment horizontal="left" indent="2"/>
    </xf>
    <xf numFmtId="0" fontId="25" fillId="0" borderId="0" xfId="21" quotePrefix="1"/>
    <xf numFmtId="0" fontId="10" fillId="0" borderId="0" xfId="0" applyFont="1" applyAlignment="1">
      <alignment horizontal="center" vertical="center" wrapText="1"/>
    </xf>
    <xf numFmtId="0" fontId="0" fillId="14" borderId="5" xfId="14" applyFont="1" applyFill="1" applyBorder="1" applyAlignment="1">
      <alignment horizontal="center" vertical="center" wrapText="1"/>
    </xf>
    <xf numFmtId="0" fontId="0" fillId="0" borderId="0" xfId="0" applyAlignment="1">
      <alignment vertical="center"/>
    </xf>
    <xf numFmtId="0" fontId="26" fillId="0" borderId="0" xfId="0" applyFont="1"/>
    <xf numFmtId="43" fontId="26" fillId="0" borderId="0" xfId="1" applyFont="1" applyFill="1" applyBorder="1"/>
    <xf numFmtId="43" fontId="1" fillId="0" borderId="0" xfId="22" applyNumberFormat="1" applyFont="1" applyFill="1" applyBorder="1"/>
    <xf numFmtId="178" fontId="1" fillId="0" borderId="0" xfId="1" applyNumberFormat="1" applyFont="1" applyFill="1" applyBorder="1"/>
    <xf numFmtId="43" fontId="1" fillId="0" borderId="0" xfId="1" applyFont="1" applyFill="1" applyBorder="1"/>
    <xf numFmtId="0" fontId="1" fillId="0" borderId="0" xfId="0" applyFont="1"/>
    <xf numFmtId="174" fontId="1" fillId="0" borderId="0" xfId="1" applyNumberFormat="1" applyFont="1" applyFill="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0" fontId="0" fillId="13" borderId="2" xfId="0" applyFill="1" applyBorder="1" applyAlignment="1">
      <alignment horizontal="center"/>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e_SubTotal" xfId="22" xr:uid="{61F68EB0-D65F-45EC-BB80-51FA5547BB81}"/>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 name="unit" xfId="21" xr:uid="{4C7441AA-B221-4470-ACEE-F013B6D8CCA4}"/>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03:52:12.41" personId="{3961AA53-D10E-4257-AAB6-1710C5A5EC00}" id="{8666887E-3EE3-40FB-8131-A8A8017BF316}">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cols>
    <col min="1" max="3" width="2.69921875" customWidth="1"/>
    <col min="4" max="4" width="10.09765625" customWidth="1"/>
    <col min="5" max="5" width="139.69921875" customWidth="1"/>
  </cols>
  <sheetData>
    <row r="1" spans="3:9" ht="12" customHeight="1"/>
    <row r="2" spans="3:9" ht="12" customHeight="1">
      <c r="D2" s="2"/>
      <c r="E2" s="2"/>
    </row>
    <row r="3" spans="3:9" ht="20.25" customHeight="1">
      <c r="C3" s="2" t="s">
        <v>195</v>
      </c>
      <c r="D3" s="7"/>
      <c r="E3" s="7"/>
      <c r="F3" s="8"/>
      <c r="G3" s="8"/>
      <c r="H3" s="8"/>
      <c r="I3" s="8"/>
    </row>
    <row r="4" spans="3:9" ht="12" customHeight="1">
      <c r="C4" s="7"/>
      <c r="D4" s="7"/>
      <c r="E4" s="7"/>
      <c r="F4" s="8"/>
      <c r="G4" s="8"/>
      <c r="H4" s="8"/>
      <c r="I4" s="8"/>
    </row>
    <row r="5" spans="3:9">
      <c r="C5" s="6" t="s">
        <v>1</v>
      </c>
      <c r="D5" s="6"/>
      <c r="E5" s="9" t="s">
        <v>77</v>
      </c>
      <c r="F5" s="8"/>
      <c r="G5" s="8"/>
      <c r="I5" s="8"/>
    </row>
    <row r="6" spans="3:9">
      <c r="C6" t="s">
        <v>2</v>
      </c>
      <c r="E6" s="67" t="s">
        <v>78</v>
      </c>
      <c r="F6" s="8"/>
      <c r="G6" s="8"/>
      <c r="I6" s="8"/>
    </row>
    <row r="8" spans="3:9" ht="15.75" customHeight="1">
      <c r="C8" s="7"/>
      <c r="D8" s="7"/>
      <c r="E8" s="7"/>
      <c r="F8" s="8"/>
      <c r="G8" s="8"/>
    </row>
    <row r="10" spans="3:9" ht="14">
      <c r="C10" s="10" t="s">
        <v>3</v>
      </c>
      <c r="D10" s="10"/>
      <c r="E10" s="11"/>
    </row>
    <row r="12" spans="3:9" ht="27" customHeight="1">
      <c r="C12" s="254" t="s">
        <v>205</v>
      </c>
      <c r="D12" s="254"/>
      <c r="E12" s="254"/>
      <c r="F12" s="8"/>
      <c r="G12" s="8"/>
      <c r="I12" s="8"/>
    </row>
    <row r="13" spans="3:9">
      <c r="C13" s="33"/>
      <c r="D13" s="33"/>
      <c r="E13" s="33"/>
      <c r="F13" s="8"/>
      <c r="G13" s="8"/>
      <c r="I13" s="8"/>
    </row>
    <row r="14" spans="3:9" ht="35.5" customHeight="1">
      <c r="C14" s="254" t="s">
        <v>238</v>
      </c>
      <c r="D14" s="254"/>
      <c r="E14" s="254"/>
      <c r="F14" s="8"/>
      <c r="G14" s="8"/>
      <c r="I14" s="8"/>
    </row>
    <row r="15" spans="3:9" ht="15" customHeight="1">
      <c r="C15" s="12"/>
      <c r="D15" s="12"/>
      <c r="E15" s="8"/>
      <c r="F15" s="8"/>
      <c r="G15" s="8"/>
      <c r="I15" s="8"/>
    </row>
    <row r="16" spans="3:9" ht="15" customHeight="1">
      <c r="C16" s="10" t="s">
        <v>210</v>
      </c>
      <c r="D16" s="10"/>
      <c r="E16" s="13"/>
      <c r="F16" s="8"/>
      <c r="G16" s="8"/>
      <c r="I16" s="8"/>
    </row>
    <row r="17" spans="2:9" ht="15" customHeight="1">
      <c r="C17" s="12"/>
      <c r="D17" s="12"/>
      <c r="E17" s="8"/>
      <c r="F17" s="8"/>
      <c r="G17" s="8"/>
      <c r="I17" s="8"/>
    </row>
    <row r="18" spans="2:9" ht="37.5" customHeight="1">
      <c r="C18" s="254"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54"/>
      <c r="E18" s="254"/>
      <c r="F18" s="8"/>
      <c r="G18" s="8"/>
      <c r="I18" s="8"/>
    </row>
    <row r="19" spans="2:9" ht="6" customHeight="1">
      <c r="D19" s="12"/>
      <c r="E19" s="8"/>
      <c r="F19" s="8"/>
      <c r="G19" s="8"/>
      <c r="I19" s="8"/>
    </row>
    <row r="20" spans="2:9" ht="37.5" customHeight="1">
      <c r="B20" s="95"/>
      <c r="C20" s="254"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54"/>
      <c r="E20" s="254"/>
      <c r="F20" s="8"/>
      <c r="G20" s="8"/>
      <c r="I20" s="8"/>
    </row>
    <row r="21" spans="2:9">
      <c r="B21" s="95"/>
      <c r="C21" s="33"/>
      <c r="D21" s="33"/>
      <c r="E21" s="33"/>
      <c r="F21" s="8"/>
      <c r="G21" s="8"/>
      <c r="I21" s="8"/>
    </row>
    <row r="22" spans="2:9" ht="14">
      <c r="B22" s="95"/>
      <c r="C22" s="10" t="s">
        <v>211</v>
      </c>
      <c r="D22" s="10"/>
      <c r="E22" s="13"/>
      <c r="F22" s="8"/>
      <c r="G22" s="8"/>
      <c r="I22" s="8"/>
    </row>
    <row r="23" spans="2:9">
      <c r="D23" s="12"/>
      <c r="E23" s="8"/>
      <c r="F23" s="8"/>
      <c r="G23" s="8"/>
      <c r="I23" s="8"/>
    </row>
    <row r="24" spans="2:9">
      <c r="C24" s="6" t="s">
        <v>215</v>
      </c>
      <c r="D24" s="12"/>
      <c r="E24" s="8"/>
      <c r="F24" s="8"/>
      <c r="G24" s="8"/>
      <c r="I24" s="8"/>
    </row>
    <row r="25" spans="2:9" ht="6" customHeight="1">
      <c r="D25" s="12"/>
      <c r="E25" s="8"/>
      <c r="F25" s="8"/>
      <c r="G25" s="8"/>
      <c r="I25" s="8"/>
    </row>
    <row r="26" spans="2:9" ht="15" customHeight="1">
      <c r="C26" s="255" t="s">
        <v>79</v>
      </c>
      <c r="D26" s="255"/>
      <c r="E26" s="255"/>
      <c r="F26" s="8"/>
      <c r="G26" s="8"/>
      <c r="H26" s="8"/>
      <c r="I26" s="8"/>
    </row>
    <row r="27" spans="2:9" ht="6" customHeight="1">
      <c r="D27" s="12"/>
      <c r="E27" s="8"/>
      <c r="F27" s="8"/>
      <c r="G27" s="8"/>
      <c r="H27" s="8"/>
      <c r="I27" s="8"/>
    </row>
    <row r="28" spans="2:9" ht="15" customHeight="1">
      <c r="C28" s="96" t="s">
        <v>102</v>
      </c>
      <c r="D28" s="68" t="str">
        <f ca="1">MID(CELL("filename",'General inputs'!$A$1),FIND("]",CELL("filename",'General inputs'!$A$1))+1,255)</f>
        <v>General inputs</v>
      </c>
      <c r="E28" s="8"/>
      <c r="F28" s="8"/>
      <c r="G28" s="8"/>
      <c r="H28" s="8"/>
      <c r="I28" s="8"/>
    </row>
    <row r="29" spans="2:9" ht="15" customHeight="1">
      <c r="C29" s="96" t="s">
        <v>102</v>
      </c>
      <c r="D29" s="8" t="str">
        <f ca="1">MID(CELL("filename",'Pre-1996 assets'!$A$1),FIND("]",CELL("filename",'Pre-1996 assets'!$A$1))+1,255)</f>
        <v>Pre-1996 assets</v>
      </c>
      <c r="E29" s="8"/>
      <c r="F29" s="8"/>
      <c r="G29" s="8"/>
      <c r="H29" s="8"/>
      <c r="I29" s="8"/>
    </row>
    <row r="30" spans="2:9" ht="15" customHeight="1">
      <c r="C30" s="96" t="s">
        <v>102</v>
      </c>
      <c r="D30" s="8" t="str">
        <f ca="1">MID(CELL("filename",'Post-1996 commissioned assets'!$A$1),FIND("]",CELL("filename",'Post-1996 commissioned assets'!$A$1))+1,255)</f>
        <v>Post-1996 commissioned assets</v>
      </c>
      <c r="E30" s="8"/>
      <c r="F30" s="8"/>
      <c r="G30" s="8"/>
      <c r="H30" s="8"/>
      <c r="I30" s="8"/>
    </row>
    <row r="31" spans="2:9" ht="15" customHeight="1">
      <c r="C31" s="96" t="s">
        <v>102</v>
      </c>
      <c r="D31" s="8" t="str">
        <f ca="1">MID(CELL("filename",'Uncommissioned assets'!$A$1),FIND("]",CELL("filename",'Uncommissioned assets'!$A$1))+1,255)</f>
        <v>Uncommissioned assets</v>
      </c>
      <c r="E31" s="8"/>
      <c r="F31" s="8"/>
      <c r="G31" s="8"/>
      <c r="H31" s="8"/>
      <c r="I31" s="8"/>
    </row>
    <row r="32" spans="2:9" ht="15" customHeight="1">
      <c r="C32" s="96" t="s">
        <v>102</v>
      </c>
      <c r="D32" s="8" t="str">
        <f ca="1">MID(CELL("filename",'ET inputs'!$A$1),FIND("]",CELL("filename",'ET inputs'!$A$1))+1,255)</f>
        <v>ET inputs</v>
      </c>
      <c r="E32" s="8"/>
      <c r="F32" s="8"/>
      <c r="G32" s="8"/>
      <c r="H32" s="8"/>
      <c r="I32" s="8"/>
    </row>
    <row r="33" spans="3:9" ht="15" customHeight="1">
      <c r="D33" s="8"/>
      <c r="E33" s="8"/>
      <c r="F33" s="8"/>
      <c r="G33" s="8"/>
      <c r="H33" s="8"/>
      <c r="I33" s="8"/>
    </row>
    <row r="34" spans="3:9">
      <c r="C34" s="6" t="s">
        <v>68</v>
      </c>
      <c r="F34" s="8"/>
      <c r="G34" s="8"/>
      <c r="H34" s="8"/>
      <c r="I34" s="8"/>
    </row>
    <row r="35" spans="3:9" ht="6" customHeight="1">
      <c r="C35" s="33"/>
      <c r="D35" s="33"/>
      <c r="E35" s="33"/>
      <c r="F35" s="8"/>
      <c r="G35" s="8"/>
      <c r="H35" s="8"/>
      <c r="I35" s="8"/>
    </row>
    <row r="36" spans="3:9" ht="15" customHeight="1">
      <c r="C36" s="254" t="s">
        <v>103</v>
      </c>
      <c r="D36" s="254"/>
      <c r="E36" s="254"/>
      <c r="F36" s="8"/>
      <c r="G36" s="8"/>
      <c r="H36" s="8"/>
      <c r="I36" s="8"/>
    </row>
    <row r="37" spans="3:9" ht="6" customHeight="1">
      <c r="D37" s="12"/>
      <c r="E37" s="8"/>
      <c r="F37" s="8"/>
      <c r="G37" s="8"/>
      <c r="H37" s="8"/>
      <c r="I37" s="8"/>
    </row>
    <row r="38" spans="3:9" ht="15" customHeight="1">
      <c r="C38" s="97" t="s">
        <v>102</v>
      </c>
      <c r="D38" s="8" t="str">
        <f ca="1">MID(CELL("filename",'Reduction amount'!$A$1),FIND("]",CELL("filename",'Reduction amount'!$A$1))+1,255)</f>
        <v>Reduction amount</v>
      </c>
      <c r="E38" s="8"/>
      <c r="F38" s="8"/>
      <c r="G38" s="8"/>
      <c r="H38" s="8"/>
      <c r="I38" s="8"/>
    </row>
    <row r="39" spans="3:9" ht="6" customHeight="1">
      <c r="D39" s="12"/>
      <c r="E39" s="8"/>
      <c r="F39" s="8"/>
      <c r="G39" s="8"/>
      <c r="H39" s="8"/>
      <c r="I39" s="8"/>
    </row>
    <row r="40" spans="3:9" ht="39" customHeight="1">
      <c r="C40" s="254"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54"/>
      <c r="E40" s="254"/>
      <c r="F40" s="8"/>
      <c r="G40" s="8"/>
      <c r="H40" s="8"/>
      <c r="I40" s="8"/>
    </row>
    <row r="41" spans="3:9" ht="6" customHeight="1">
      <c r="D41" s="8"/>
      <c r="E41" s="8"/>
      <c r="F41" s="8"/>
      <c r="G41" s="8"/>
      <c r="H41" s="8"/>
      <c r="I41" s="8"/>
    </row>
    <row r="42" spans="3:9" ht="15" customHeight="1">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c r="D43" s="12"/>
      <c r="E43" s="8"/>
      <c r="F43" s="8"/>
      <c r="G43" s="8"/>
      <c r="H43" s="8"/>
      <c r="I43" s="8"/>
    </row>
    <row r="44" spans="3:9" ht="15" customHeight="1">
      <c r="C44" s="6" t="s">
        <v>104</v>
      </c>
      <c r="D44" s="8"/>
      <c r="E44" s="8"/>
      <c r="F44" s="8"/>
      <c r="G44" s="8"/>
      <c r="H44" s="8"/>
      <c r="I44" s="8"/>
    </row>
    <row r="45" spans="3:9" ht="6" customHeight="1">
      <c r="C45" s="6"/>
      <c r="D45" s="8"/>
      <c r="E45" s="8"/>
      <c r="F45" s="8"/>
      <c r="G45" s="8"/>
      <c r="H45" s="8"/>
      <c r="I45" s="8"/>
    </row>
    <row r="46" spans="3:9" ht="15" customHeight="1">
      <c r="C46" s="254" t="s">
        <v>105</v>
      </c>
      <c r="D46" s="254"/>
      <c r="E46" s="254"/>
      <c r="F46" s="8"/>
      <c r="G46" s="8"/>
      <c r="H46" s="8"/>
      <c r="I46" s="8"/>
    </row>
    <row r="47" spans="3:9" ht="6" customHeight="1">
      <c r="C47" s="33"/>
      <c r="D47" s="33"/>
      <c r="E47" s="33"/>
      <c r="F47" s="8"/>
      <c r="G47" s="8"/>
      <c r="H47" s="8"/>
      <c r="I47" s="8"/>
    </row>
    <row r="48" spans="3:9" ht="15" customHeight="1">
      <c r="C48" s="97" t="s">
        <v>102</v>
      </c>
      <c r="D48" s="8" t="str">
        <f ca="1">MID(CELL("filename",'Headwork assets'!$A$1),FIND("]",CELL("filename",'Headwork assets'!$A$1))+1,255)</f>
        <v>Headwork assets</v>
      </c>
      <c r="E48" s="8"/>
      <c r="F48" s="8"/>
      <c r="G48" s="8"/>
      <c r="H48" s="8"/>
      <c r="I48" s="8"/>
    </row>
    <row r="49" spans="3:9" ht="6" customHeight="1">
      <c r="C49" s="97"/>
      <c r="D49" s="8"/>
      <c r="E49" s="8"/>
      <c r="F49" s="8"/>
      <c r="G49" s="8"/>
      <c r="H49" s="8"/>
      <c r="I49" s="8"/>
    </row>
    <row r="50" spans="3:9" ht="15" customHeight="1">
      <c r="C50" s="255" t="s">
        <v>106</v>
      </c>
      <c r="D50" s="255"/>
      <c r="E50" s="255"/>
      <c r="F50" s="8"/>
      <c r="G50" s="8"/>
      <c r="H50" s="8"/>
      <c r="I50" s="8"/>
    </row>
    <row r="51" spans="3:9" ht="6" customHeight="1">
      <c r="F51" s="8"/>
      <c r="G51" s="8"/>
      <c r="H51" s="8"/>
      <c r="I51" s="8"/>
    </row>
    <row r="52" spans="3:9" ht="24" customHeight="1">
      <c r="C52" s="254" t="s">
        <v>84</v>
      </c>
      <c r="D52" s="254"/>
      <c r="E52" s="254"/>
      <c r="F52" s="8"/>
      <c r="G52" s="8"/>
      <c r="H52" s="8"/>
      <c r="I52" s="8"/>
    </row>
    <row r="53" spans="3:9" ht="15" customHeight="1">
      <c r="C53" s="33"/>
      <c r="D53" s="33"/>
      <c r="E53" s="33"/>
      <c r="F53" s="8"/>
      <c r="G53" s="8"/>
      <c r="H53" s="8"/>
      <c r="I53" s="8"/>
    </row>
    <row r="54" spans="3:9" ht="15" customHeight="1">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c r="C55" s="33"/>
      <c r="D55" s="33"/>
      <c r="E55" s="33"/>
      <c r="F55" s="8"/>
      <c r="G55" s="8"/>
      <c r="H55" s="8"/>
      <c r="I55" s="8"/>
    </row>
    <row r="56" spans="3:9" ht="15" customHeight="1">
      <c r="C56" s="6" t="s">
        <v>212</v>
      </c>
      <c r="D56" s="8"/>
      <c r="E56" s="8"/>
      <c r="F56" s="8"/>
      <c r="G56" s="8"/>
      <c r="H56" s="8"/>
      <c r="I56" s="8"/>
    </row>
    <row r="57" spans="3:9" ht="6" customHeight="1">
      <c r="C57" s="6"/>
      <c r="D57" s="8"/>
      <c r="E57" s="8"/>
      <c r="F57" s="8"/>
      <c r="G57" s="8"/>
      <c r="H57" s="8"/>
      <c r="I57" s="8"/>
    </row>
    <row r="58" spans="3:9" ht="15" customHeight="1">
      <c r="C58" s="254" t="s">
        <v>213</v>
      </c>
      <c r="D58" s="254"/>
      <c r="E58" s="254"/>
      <c r="F58" s="8"/>
      <c r="G58" s="8"/>
      <c r="H58" s="8"/>
      <c r="I58" s="8"/>
    </row>
    <row r="59" spans="3:9" ht="6" customHeight="1">
      <c r="C59" s="33"/>
      <c r="D59" s="33"/>
      <c r="E59" s="33"/>
      <c r="F59" s="8"/>
      <c r="G59" s="8"/>
      <c r="H59" s="8"/>
      <c r="I59" s="8"/>
    </row>
    <row r="60" spans="3:9" ht="15" customHeight="1">
      <c r="C60" s="97" t="s">
        <v>102</v>
      </c>
      <c r="D60" s="8" t="str">
        <f ca="1">MID(CELL("filename",'Scheme cost allocation'!$A$1),FIND("]",CELL("filename",'Scheme cost allocation'!$A$1))+1,255)</f>
        <v>Scheme cost allocation</v>
      </c>
      <c r="E60" s="8"/>
      <c r="F60" s="8"/>
      <c r="G60" s="8"/>
      <c r="H60" s="8"/>
      <c r="I60" s="8"/>
    </row>
    <row r="61" spans="3:9" ht="6" customHeight="1">
      <c r="C61" s="97"/>
      <c r="D61" s="8"/>
      <c r="E61" s="8"/>
      <c r="F61" s="8"/>
      <c r="G61" s="8"/>
      <c r="H61" s="8"/>
      <c r="I61" s="8"/>
    </row>
    <row r="62" spans="3:9" ht="15" customHeight="1">
      <c r="C62" s="255" t="s">
        <v>214</v>
      </c>
      <c r="D62" s="255"/>
      <c r="E62" s="255"/>
      <c r="F62" s="8"/>
      <c r="G62" s="8"/>
      <c r="H62" s="8"/>
      <c r="I62" s="8"/>
    </row>
    <row r="63" spans="3:9" ht="6" customHeight="1">
      <c r="F63" s="8"/>
      <c r="G63" s="8"/>
      <c r="H63" s="8"/>
      <c r="I63" s="8"/>
    </row>
    <row r="64" spans="3:9" ht="24" customHeight="1">
      <c r="C64" s="254" t="s">
        <v>84</v>
      </c>
      <c r="D64" s="254"/>
      <c r="E64" s="254"/>
      <c r="F64" s="8"/>
      <c r="G64" s="8"/>
      <c r="H64" s="8"/>
      <c r="I64" s="8"/>
    </row>
    <row r="65" spans="3:9" ht="6" customHeight="1">
      <c r="C65" s="33"/>
      <c r="D65" s="33"/>
      <c r="E65" s="33"/>
      <c r="F65" s="8"/>
      <c r="G65" s="8"/>
      <c r="H65" s="8"/>
      <c r="I65" s="8"/>
    </row>
    <row r="66" spans="3:9" ht="15" customHeight="1">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c r="C67" s="33"/>
      <c r="D67" s="33"/>
      <c r="E67" s="33"/>
      <c r="F67" s="8"/>
      <c r="G67" s="8"/>
      <c r="H67" s="8"/>
      <c r="I67" s="8"/>
    </row>
    <row r="68" spans="3:9" ht="15" customHeight="1">
      <c r="C68" s="6" t="s">
        <v>191</v>
      </c>
      <c r="D68" s="6"/>
      <c r="E68" s="98"/>
      <c r="F68" s="8"/>
      <c r="G68" s="8"/>
      <c r="H68" s="8"/>
      <c r="I68" s="8"/>
    </row>
    <row r="69" spans="3:9" ht="6" customHeight="1">
      <c r="C69" s="6"/>
      <c r="D69" s="6"/>
      <c r="E69" s="98"/>
      <c r="F69" s="8"/>
      <c r="G69" s="8"/>
      <c r="H69" s="8"/>
      <c r="I69" s="8"/>
    </row>
    <row r="70" spans="3:9" ht="15" customHeight="1">
      <c r="C70" s="4" t="s">
        <v>192</v>
      </c>
      <c r="D70" s="6"/>
      <c r="E70" s="98"/>
      <c r="F70" s="8"/>
      <c r="G70" s="8"/>
      <c r="H70" s="8"/>
      <c r="I70" s="8"/>
    </row>
    <row r="71" spans="3:9" ht="6" customHeight="1">
      <c r="C71" s="4"/>
      <c r="D71" s="6"/>
      <c r="E71" s="98"/>
      <c r="F71" s="8"/>
      <c r="G71" s="8"/>
      <c r="H71" s="8"/>
      <c r="I71" s="8"/>
    </row>
    <row r="72" spans="3:9">
      <c r="C72" s="97" t="s">
        <v>102</v>
      </c>
      <c r="D72" s="68" t="str">
        <f ca="1">MID(CELL("filename",'MP Calculations'!A8),FIND("]",CELL("filename",'MP Calculations'!A8))+1,255)</f>
        <v>MP Calculations</v>
      </c>
      <c r="E72" s="98"/>
      <c r="F72" s="8"/>
      <c r="G72" s="8"/>
      <c r="H72" s="8"/>
      <c r="I72" s="8"/>
    </row>
    <row r="73" spans="3:9">
      <c r="C73" s="97" t="s">
        <v>102</v>
      </c>
      <c r="D73" s="68" t="str">
        <f ca="1">MID(CELL("filename",'Summary of result'!A11),FIND("]",CELL("filename",'Summary of result'!A11))+1,255)</f>
        <v>Summary of result</v>
      </c>
      <c r="E73" s="98"/>
      <c r="F73" s="8"/>
      <c r="G73" s="8"/>
      <c r="H73" s="8"/>
      <c r="I73" s="8"/>
    </row>
    <row r="74" spans="3:9" ht="6" customHeight="1">
      <c r="C74" s="97"/>
      <c r="D74" s="68"/>
      <c r="E74" s="98"/>
      <c r="F74" s="8"/>
      <c r="G74" s="8"/>
      <c r="H74" s="8"/>
      <c r="I74" s="8"/>
    </row>
    <row r="75" spans="3:9">
      <c r="C75" s="254" t="s">
        <v>196</v>
      </c>
      <c r="D75" s="254"/>
      <c r="E75" s="254"/>
      <c r="F75" s="8"/>
      <c r="G75" s="8"/>
      <c r="H75" s="8"/>
      <c r="I75" s="8"/>
    </row>
    <row r="76" spans="3:9" ht="15" customHeight="1">
      <c r="D76" s="12"/>
      <c r="E76" s="8"/>
      <c r="F76" s="8"/>
      <c r="G76" s="8"/>
      <c r="H76" s="8"/>
      <c r="I76" s="8"/>
    </row>
    <row r="77" spans="3:9" ht="15" customHeight="1">
      <c r="C77" s="6" t="s">
        <v>107</v>
      </c>
      <c r="D77" s="12"/>
      <c r="E77" s="8"/>
      <c r="F77" s="8"/>
      <c r="G77" s="8"/>
      <c r="H77" s="8"/>
      <c r="I77" s="8"/>
    </row>
    <row r="78" spans="3:9" ht="6" customHeight="1">
      <c r="D78" s="12"/>
      <c r="E78" s="8"/>
      <c r="F78" s="8"/>
      <c r="G78" s="8"/>
      <c r="H78" s="8"/>
      <c r="I78" s="8"/>
    </row>
    <row r="79" spans="3:9" ht="15" customHeight="1">
      <c r="C79" s="8" t="s">
        <v>108</v>
      </c>
      <c r="D79" s="12"/>
      <c r="E79" s="8"/>
      <c r="F79" s="8"/>
      <c r="G79" s="8"/>
      <c r="H79" s="8"/>
      <c r="I79" s="8"/>
    </row>
    <row r="80" spans="3:9" ht="6" customHeight="1">
      <c r="C80" s="8"/>
      <c r="D80" s="12"/>
      <c r="E80" s="8"/>
      <c r="F80" s="8"/>
      <c r="G80" s="8"/>
      <c r="H80" s="8"/>
      <c r="I80" s="8"/>
    </row>
    <row r="81" spans="3:9" ht="15" customHeight="1">
      <c r="C81" s="97" t="s">
        <v>102</v>
      </c>
      <c r="D81" s="68" t="str">
        <f ca="1">MID(CELL("filename",'Asset exclusions'!A14),FIND("]",CELL("filename",'Asset exclusions'!A14))+1,255)</f>
        <v>Asset exclusions</v>
      </c>
      <c r="E81" s="8"/>
      <c r="F81" s="8"/>
      <c r="G81" s="8"/>
      <c r="H81" s="8"/>
      <c r="I81" s="8"/>
    </row>
    <row r="82" spans="3:9" ht="15" customHeight="1">
      <c r="C82" s="12"/>
      <c r="D82" s="12"/>
      <c r="E82" s="8"/>
      <c r="F82" s="8"/>
      <c r="G82" s="8"/>
      <c r="H82" s="8"/>
      <c r="I82" s="8"/>
    </row>
    <row r="83" spans="3:9" ht="15" customHeight="1">
      <c r="C83" s="98" t="s">
        <v>193</v>
      </c>
      <c r="D83" s="12"/>
      <c r="E83" s="8"/>
      <c r="F83" s="8"/>
      <c r="G83" s="8"/>
      <c r="H83" s="8"/>
      <c r="I83" s="8"/>
    </row>
    <row r="84" spans="3:9" ht="15" customHeight="1">
      <c r="C84" s="97" t="s">
        <v>102</v>
      </c>
      <c r="D84" s="101" t="s">
        <v>114</v>
      </c>
      <c r="F84" s="8"/>
      <c r="G84" s="8"/>
      <c r="H84" s="8"/>
      <c r="I84" s="8"/>
    </row>
    <row r="85" spans="3:9" ht="15" customHeight="1">
      <c r="C85" s="97" t="s">
        <v>102</v>
      </c>
      <c r="D85" s="156" t="s">
        <v>233</v>
      </c>
      <c r="F85" s="8"/>
      <c r="G85" s="8"/>
      <c r="H85" s="8"/>
      <c r="I85" s="8"/>
    </row>
    <row r="86" spans="3:9" ht="15" customHeight="1">
      <c r="C86" s="97"/>
      <c r="D86" s="156"/>
      <c r="F86" s="8"/>
      <c r="G86" s="8"/>
      <c r="H86" s="8"/>
      <c r="I86" s="8"/>
    </row>
    <row r="87" spans="3:9" ht="15" customHeight="1">
      <c r="C87" s="8" t="s">
        <v>239</v>
      </c>
      <c r="D87" s="156"/>
      <c r="F87" s="8"/>
      <c r="G87" s="8"/>
      <c r="H87" s="8"/>
      <c r="I87" s="8"/>
    </row>
    <row r="88" spans="3:9" ht="15" customHeight="1">
      <c r="C88" s="8"/>
      <c r="D88" s="156"/>
      <c r="F88" s="8"/>
      <c r="G88" s="8"/>
      <c r="H88" s="8"/>
      <c r="I88" s="8"/>
    </row>
    <row r="89" spans="3:9" ht="15" customHeight="1">
      <c r="C89" s="12"/>
      <c r="D89" s="12"/>
      <c r="E89" s="8"/>
      <c r="F89" s="8"/>
      <c r="G89" s="8"/>
      <c r="H89" s="8"/>
      <c r="I89" s="8"/>
    </row>
    <row r="90" spans="3:9" ht="15" customHeight="1">
      <c r="C90" s="10" t="s">
        <v>4</v>
      </c>
      <c r="D90" s="10"/>
      <c r="E90" s="13"/>
      <c r="F90" s="8"/>
      <c r="G90" s="8"/>
      <c r="H90" s="8"/>
      <c r="I90" s="8"/>
    </row>
    <row r="91" spans="3:9" ht="15" customHeight="1">
      <c r="C91" s="4" t="s">
        <v>5</v>
      </c>
      <c r="D91" s="4"/>
      <c r="E91" s="8"/>
      <c r="F91" s="8"/>
      <c r="G91" s="8"/>
      <c r="H91" s="8"/>
      <c r="I91" s="8"/>
    </row>
    <row r="92" spans="3:9" ht="15" customHeight="1">
      <c r="C92" s="14" t="s">
        <v>6</v>
      </c>
      <c r="D92" s="14"/>
      <c r="E92" s="14"/>
      <c r="F92" s="8"/>
      <c r="G92" s="8"/>
      <c r="H92" s="8"/>
      <c r="I92" s="8"/>
    </row>
    <row r="93" spans="3:9" ht="15" customHeight="1">
      <c r="C93" s="3" t="s">
        <v>7</v>
      </c>
      <c r="D93" s="15"/>
      <c r="E93" s="15"/>
      <c r="F93" s="8"/>
      <c r="G93" s="8"/>
      <c r="H93" s="8"/>
      <c r="I93" s="8"/>
    </row>
    <row r="94" spans="3:9" ht="15" customHeight="1">
      <c r="C94" s="4"/>
      <c r="D94" s="4"/>
      <c r="E94" s="4" t="s">
        <v>8</v>
      </c>
      <c r="F94" s="8"/>
      <c r="G94" s="8"/>
      <c r="H94" s="8"/>
      <c r="I94" s="8"/>
    </row>
    <row r="95" spans="3:9" ht="15" customHeight="1">
      <c r="C95" s="91" t="s">
        <v>100</v>
      </c>
      <c r="D95" s="92"/>
      <c r="E95" s="92"/>
      <c r="F95" s="8"/>
      <c r="G95" s="8"/>
      <c r="H95" s="8"/>
      <c r="I95" s="8"/>
    </row>
    <row r="96" spans="3:9" ht="15" customHeight="1">
      <c r="C96" s="16" t="s">
        <v>9</v>
      </c>
      <c r="D96" s="16"/>
      <c r="E96" s="16"/>
      <c r="F96" s="8"/>
      <c r="G96" s="8"/>
      <c r="H96" s="8"/>
      <c r="I96" s="8"/>
    </row>
    <row r="97" spans="3:9" ht="15" customHeight="1">
      <c r="C97" s="17" t="s">
        <v>0</v>
      </c>
      <c r="D97" s="17"/>
      <c r="E97" s="17"/>
      <c r="F97" s="8"/>
      <c r="G97" s="8"/>
      <c r="H97" s="8"/>
      <c r="I97" s="8"/>
    </row>
    <row r="98" spans="3:9" ht="15" customHeight="1">
      <c r="C98" s="18" t="s">
        <v>10</v>
      </c>
      <c r="D98" s="18"/>
      <c r="E98" s="19"/>
      <c r="F98" s="8"/>
      <c r="G98" s="8"/>
      <c r="H98" s="8"/>
      <c r="I98" s="8"/>
    </row>
    <row r="99" spans="3:9" ht="15" customHeight="1">
      <c r="C99" s="20" t="s">
        <v>11</v>
      </c>
      <c r="D99" s="20"/>
      <c r="E99" s="21"/>
      <c r="F99" s="8"/>
      <c r="G99" s="8"/>
      <c r="H99" s="8"/>
      <c r="I99" s="8"/>
    </row>
    <row r="100" spans="3:9" ht="15" customHeight="1">
      <c r="C100" s="22" t="s">
        <v>80</v>
      </c>
      <c r="D100" s="23"/>
      <c r="E100" s="23"/>
      <c r="F100" s="8"/>
      <c r="G100" s="8"/>
      <c r="H100" s="8"/>
      <c r="I100" s="8"/>
    </row>
    <row r="101" spans="3:9" ht="15" customHeight="1">
      <c r="C101" s="12"/>
      <c r="D101" s="12"/>
      <c r="E101" s="8"/>
      <c r="F101" s="8"/>
      <c r="G101" s="8"/>
      <c r="H101" s="8"/>
      <c r="I101" s="8"/>
    </row>
    <row r="102" spans="3:9">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cols>
    <col min="1" max="2" width="2.69921875" customWidth="1"/>
    <col min="3" max="5" width="40.59765625" customWidth="1"/>
    <col min="6" max="6" width="20.59765625" customWidth="1"/>
    <col min="7" max="7" width="17.59765625" customWidth="1"/>
  </cols>
  <sheetData>
    <row r="3" spans="3:7" ht="20.25" customHeight="1">
      <c r="C3" s="2" t="s">
        <v>232</v>
      </c>
    </row>
    <row r="5" spans="3:7">
      <c r="C5" s="6" t="s">
        <v>220</v>
      </c>
      <c r="D5" s="6" t="s">
        <v>221</v>
      </c>
      <c r="E5" s="6" t="s">
        <v>222</v>
      </c>
      <c r="F5" s="6" t="s">
        <v>223</v>
      </c>
      <c r="G5" s="6" t="s">
        <v>228</v>
      </c>
    </row>
    <row r="6" spans="3:7" ht="34.5">
      <c r="C6" s="152" t="s">
        <v>224</v>
      </c>
      <c r="D6" s="152" t="s">
        <v>229</v>
      </c>
      <c r="E6" s="152" t="s">
        <v>225</v>
      </c>
      <c r="F6" s="153" t="s">
        <v>226</v>
      </c>
      <c r="G6" s="154">
        <v>43678</v>
      </c>
    </row>
    <row r="7" spans="3:7" ht="23">
      <c r="C7" s="152" t="s">
        <v>224</v>
      </c>
      <c r="D7" s="152" t="s">
        <v>230</v>
      </c>
      <c r="E7" s="152" t="s">
        <v>227</v>
      </c>
      <c r="F7" s="153" t="s">
        <v>226</v>
      </c>
      <c r="G7" s="154">
        <v>43678</v>
      </c>
    </row>
    <row r="8" spans="3:7" ht="46">
      <c r="C8" s="152" t="s">
        <v>235</v>
      </c>
      <c r="D8" s="152" t="s">
        <v>231</v>
      </c>
      <c r="E8" s="152" t="s">
        <v>267</v>
      </c>
      <c r="F8" s="153" t="s">
        <v>226</v>
      </c>
      <c r="G8" s="154">
        <v>43678</v>
      </c>
    </row>
    <row r="9" spans="3:7" ht="34.5">
      <c r="C9" s="152" t="s">
        <v>269</v>
      </c>
      <c r="D9" s="152" t="s">
        <v>270</v>
      </c>
      <c r="E9" s="152" t="s">
        <v>271</v>
      </c>
      <c r="F9" s="153" t="s">
        <v>272</v>
      </c>
      <c r="G9" s="154">
        <v>44805</v>
      </c>
    </row>
    <row r="10" spans="3:7">
      <c r="C10" s="152"/>
      <c r="D10" s="152"/>
      <c r="E10" s="152"/>
      <c r="F10" s="153"/>
      <c r="G10" s="154"/>
    </row>
    <row r="11" spans="3:7">
      <c r="C11" s="152"/>
      <c r="D11" s="152"/>
      <c r="E11" s="152"/>
      <c r="F11" s="153"/>
      <c r="G11" s="154"/>
    </row>
    <row r="12" spans="3:7">
      <c r="C12" s="152"/>
      <c r="D12" s="152"/>
      <c r="E12" s="152"/>
      <c r="F12" s="153"/>
      <c r="G12" s="154"/>
    </row>
    <row r="13" spans="3:7">
      <c r="C13" s="152"/>
      <c r="D13" s="152"/>
      <c r="E13" s="152"/>
      <c r="F13" s="153"/>
      <c r="G13" s="154"/>
    </row>
    <row r="14" spans="3:7">
      <c r="C14" s="152"/>
      <c r="D14" s="152"/>
      <c r="E14" s="152"/>
      <c r="F14" s="153"/>
      <c r="G14" s="154"/>
    </row>
    <row r="15" spans="3:7">
      <c r="C15" s="152"/>
      <c r="D15" s="152"/>
      <c r="E15" s="152"/>
      <c r="F15" s="153"/>
      <c r="G15" s="154"/>
    </row>
    <row r="16" spans="3:7">
      <c r="C16" s="152"/>
      <c r="D16" s="152"/>
      <c r="E16" s="152"/>
      <c r="F16" s="153"/>
      <c r="G16" s="154"/>
    </row>
    <row r="17" spans="3:7">
      <c r="C17" s="152"/>
      <c r="D17" s="152"/>
      <c r="E17" s="152"/>
      <c r="F17" s="153"/>
      <c r="G17" s="154"/>
    </row>
    <row r="18" spans="3:7">
      <c r="C18" s="152"/>
      <c r="D18" s="152"/>
      <c r="E18" s="152"/>
      <c r="F18" s="153"/>
      <c r="G18" s="154"/>
    </row>
    <row r="19" spans="3:7">
      <c r="C19" s="152"/>
      <c r="D19" s="152"/>
      <c r="E19" s="152"/>
      <c r="F19" s="153"/>
      <c r="G19" s="154"/>
    </row>
    <row r="20" spans="3:7">
      <c r="C20" s="152"/>
      <c r="D20" s="152"/>
      <c r="E20" s="152"/>
      <c r="F20" s="153"/>
      <c r="G20" s="154"/>
    </row>
    <row r="21" spans="3:7">
      <c r="C21" s="152"/>
      <c r="D21" s="152"/>
      <c r="E21" s="152"/>
      <c r="F21" s="153"/>
      <c r="G21" s="154"/>
    </row>
    <row r="22" spans="3:7">
      <c r="C22" s="152"/>
      <c r="D22" s="152"/>
      <c r="E22" s="152"/>
      <c r="F22" s="153"/>
      <c r="G22" s="154"/>
    </row>
    <row r="23" spans="3:7">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G35" sqref="G35"/>
    </sheetView>
  </sheetViews>
  <sheetFormatPr defaultRowHeight="11.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c r="C3" s="145" t="s">
        <v>189</v>
      </c>
    </row>
    <row r="5" spans="1:17">
      <c r="D5" t="s">
        <v>240</v>
      </c>
      <c r="Q5" s="155" t="s">
        <v>268</v>
      </c>
    </row>
    <row r="6" spans="1:17">
      <c r="Q6" s="156"/>
    </row>
    <row r="8" spans="1:17">
      <c r="D8" s="1" t="str">
        <f>"The maximum price for the new development area '"&amp;'General inputs'!H7&amp;"' is:"</f>
        <v>The maximum price for the new development area 'W.2' is:</v>
      </c>
      <c r="J8" s="64">
        <f>G19</f>
        <v>3119.861091089535</v>
      </c>
      <c r="K8" t="str">
        <f>"per ET ($"&amp;'General inputs'!$I$40&amp;")."</f>
        <v>per ET ($2020-21).</v>
      </c>
    </row>
    <row r="10" spans="1:17">
      <c r="A10" s="89"/>
      <c r="B10" s="89"/>
      <c r="C10" s="1"/>
      <c r="D10" s="90" t="s">
        <v>101</v>
      </c>
      <c r="E10" s="1"/>
      <c r="F10" s="1"/>
      <c r="G10" s="1"/>
      <c r="H10" s="1"/>
      <c r="J10" s="135">
        <f>IF($J$8&lt;=0,0,IF('General inputs'!$H$42='General inputs'!$L$37,'MP Calculations'!F22,IF('General inputs'!$H$42='General inputs'!$L$38,'MP Calculations'!F22*1000,'MP Calculations'!F22*1000000)))</f>
        <v>3128.9201623244808</v>
      </c>
      <c r="K10" s="1" t="s">
        <v>87</v>
      </c>
      <c r="L10" s="1"/>
      <c r="M10" s="1"/>
    </row>
    <row r="12" spans="1:17">
      <c r="G12" s="1"/>
    </row>
    <row r="13" spans="1:17">
      <c r="D13" s="90" t="s">
        <v>190</v>
      </c>
      <c r="G13" s="1"/>
    </row>
    <row r="14" spans="1:17">
      <c r="G14" s="1"/>
    </row>
    <row r="15" spans="1:17">
      <c r="G15" s="1"/>
    </row>
    <row r="17" spans="4:21">
      <c r="D17" t="str">
        <f>"in $, $"&amp;'General inputs'!$I$40&amp;", where:"</f>
        <v>in $, $2020-21, where:</v>
      </c>
    </row>
    <row r="19" spans="4:21">
      <c r="E19" t="s">
        <v>206</v>
      </c>
      <c r="F19" s="30" t="s">
        <v>66</v>
      </c>
      <c r="G19" s="100">
        <f>IF('General inputs'!$H$42='General inputs'!$L$37,'MP Calculations'!C22,IF('General inputs'!$H$42='General inputs'!$L$38,'MP Calculations'!C22*1000,'MP Calculations'!C22*1000000))</f>
        <v>3119.861091089535</v>
      </c>
      <c r="H19" s="30" t="s">
        <v>66</v>
      </c>
      <c r="I19" s="148" t="s">
        <v>241</v>
      </c>
      <c r="J19" s="1"/>
      <c r="K19" s="1"/>
      <c r="L19" s="1"/>
      <c r="M19" s="1"/>
      <c r="N19" s="1"/>
      <c r="O19" s="1"/>
      <c r="P19" s="1"/>
      <c r="Q19" s="1"/>
      <c r="R19" s="1"/>
      <c r="S19" s="1"/>
      <c r="T19" s="1"/>
      <c r="U19" s="1"/>
    </row>
    <row r="20" spans="4:21" ht="13.5">
      <c r="E20" t="s">
        <v>70</v>
      </c>
      <c r="F20" s="30" t="s">
        <v>66</v>
      </c>
      <c r="G20" s="100">
        <f>IF('General inputs'!$H$42='General inputs'!$L$37,'MP Calculations'!H20,IF('General inputs'!$H$42='General inputs'!$L$38,'MP Calculations'!H20*1000,'MP Calculations'!H20*1000000))</f>
        <v>7487940.7422772842</v>
      </c>
      <c r="H20" s="30" t="s">
        <v>66</v>
      </c>
      <c r="I20" s="1" t="s">
        <v>169</v>
      </c>
      <c r="J20" s="1"/>
      <c r="K20" s="1"/>
      <c r="L20" s="1"/>
      <c r="M20" s="1"/>
      <c r="N20" s="1"/>
      <c r="O20" s="1"/>
      <c r="P20" s="1"/>
      <c r="Q20" s="1"/>
      <c r="R20" s="1"/>
      <c r="S20" s="1"/>
      <c r="T20" s="1"/>
      <c r="U20" s="1"/>
    </row>
    <row r="21" spans="4:21" ht="13.5">
      <c r="E21" t="s">
        <v>71</v>
      </c>
      <c r="F21" s="30" t="s">
        <v>66</v>
      </c>
      <c r="G21" s="100">
        <f>IF('General inputs'!$H$42='General inputs'!$L$37,SUM('MP Calculations'!I20:K20),IF('General inputs'!$H$42='General inputs'!$L$38,SUM('MP Calculations'!I20:K20)*1000,SUM('MP Calculations'!I20:K20)*1000000))</f>
        <v>17664204.753761761</v>
      </c>
      <c r="H21" s="30" t="s">
        <v>66</v>
      </c>
      <c r="I21" s="1" t="s">
        <v>170</v>
      </c>
      <c r="J21" s="1"/>
      <c r="K21" s="1"/>
      <c r="L21" s="1"/>
      <c r="M21" s="1"/>
      <c r="N21" s="1"/>
      <c r="O21" s="1"/>
      <c r="P21" s="1"/>
      <c r="Q21" s="1"/>
      <c r="R21" s="1"/>
      <c r="S21" s="1"/>
      <c r="T21" s="1"/>
      <c r="U21" s="1"/>
    </row>
    <row r="22" spans="4:21" ht="13.5">
      <c r="E22" t="s">
        <v>264</v>
      </c>
      <c r="F22" s="30" t="s">
        <v>66</v>
      </c>
      <c r="G22" s="63">
        <f>'MP Calculations'!H21</f>
        <v>7326.6974147964083</v>
      </c>
      <c r="H22" s="30" t="s">
        <v>66</v>
      </c>
      <c r="I22" s="146" t="s">
        <v>171</v>
      </c>
      <c r="J22" s="147"/>
      <c r="K22" s="147"/>
      <c r="L22" s="147"/>
      <c r="M22" s="147"/>
      <c r="N22" s="147"/>
      <c r="O22" s="147"/>
      <c r="P22" s="147"/>
      <c r="Q22" s="147"/>
      <c r="R22" s="147"/>
      <c r="S22" s="147"/>
      <c r="T22" s="147"/>
      <c r="U22" s="147"/>
    </row>
    <row r="23" spans="4:21" ht="13.5">
      <c r="E23" t="s">
        <v>265</v>
      </c>
      <c r="F23" s="30" t="s">
        <v>66</v>
      </c>
      <c r="G23" s="63">
        <f>'MP Calculations'!J21</f>
        <v>7837.3707185912526</v>
      </c>
      <c r="H23" s="30" t="s">
        <v>66</v>
      </c>
      <c r="I23" s="146" t="s">
        <v>172</v>
      </c>
      <c r="J23" s="147"/>
      <c r="K23" s="147"/>
      <c r="L23" s="147"/>
      <c r="M23" s="147"/>
      <c r="N23" s="147"/>
      <c r="O23" s="147"/>
      <c r="P23" s="147"/>
      <c r="Q23" s="147"/>
      <c r="R23" s="147"/>
      <c r="S23" s="147"/>
      <c r="T23" s="147"/>
      <c r="U23" s="147"/>
    </row>
    <row r="24" spans="4:21" ht="13.5">
      <c r="E24" t="s">
        <v>266</v>
      </c>
      <c r="F24" s="30" t="s">
        <v>66</v>
      </c>
      <c r="G24" s="63">
        <f>'MP Calculations'!L21</f>
        <v>2409.9011559924606</v>
      </c>
      <c r="H24" s="30" t="s">
        <v>66</v>
      </c>
      <c r="I24" s="146" t="s">
        <v>173</v>
      </c>
      <c r="J24" s="147"/>
      <c r="K24" s="147"/>
      <c r="L24" s="147"/>
      <c r="M24" s="147"/>
      <c r="N24" s="147"/>
      <c r="O24" s="147"/>
      <c r="P24" s="147"/>
      <c r="Q24" s="147"/>
      <c r="R24" s="147"/>
      <c r="S24" s="147"/>
      <c r="T24" s="147"/>
      <c r="U24" s="147"/>
    </row>
    <row r="25" spans="4:21" ht="13.5">
      <c r="E25" t="s">
        <v>72</v>
      </c>
      <c r="F25" s="30" t="s">
        <v>66</v>
      </c>
      <c r="G25" s="100">
        <f>'MP Calculations'!R30</f>
        <v>14233068.90414267</v>
      </c>
      <c r="H25" s="30" t="s">
        <v>66</v>
      </c>
      <c r="I25" s="1" t="s">
        <v>174</v>
      </c>
      <c r="J25" s="1"/>
      <c r="K25" s="1"/>
      <c r="L25" s="1"/>
      <c r="M25" s="1"/>
      <c r="N25" s="1"/>
      <c r="O25" s="1"/>
      <c r="P25" s="1"/>
      <c r="Q25" s="1"/>
      <c r="R25" s="1"/>
      <c r="S25" s="1"/>
      <c r="T25" s="1"/>
      <c r="U25" s="1"/>
    </row>
    <row r="26" spans="4:21" ht="13.5">
      <c r="E26" t="s">
        <v>73</v>
      </c>
      <c r="F26" s="30" t="s">
        <v>66</v>
      </c>
      <c r="G26" s="100">
        <f>'MP Calculations'!U30</f>
        <v>6316760.6924292948</v>
      </c>
      <c r="H26" s="30" t="s">
        <v>66</v>
      </c>
      <c r="I26" s="1" t="s">
        <v>175</v>
      </c>
      <c r="J26" s="1"/>
      <c r="K26" s="1"/>
      <c r="L26" s="1"/>
      <c r="M26" s="1"/>
      <c r="N26" s="1"/>
      <c r="O26" s="1"/>
      <c r="P26" s="1"/>
      <c r="Q26" s="1"/>
      <c r="R26" s="1"/>
      <c r="S26" s="1"/>
      <c r="T26" s="1"/>
      <c r="U26" s="1"/>
    </row>
    <row r="27" spans="4:21">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topLeftCell="A6" zoomScaleNormal="100" workbookViewId="0">
      <selection activeCell="F22" sqref="F22"/>
    </sheetView>
  </sheetViews>
  <sheetFormatPr defaultRowHeight="11.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c r="A1" t="s">
        <v>61</v>
      </c>
    </row>
    <row r="3" spans="1:11" ht="20">
      <c r="C3" s="50" t="s">
        <v>199</v>
      </c>
    </row>
    <row r="6" spans="1:11" ht="15.5">
      <c r="C6" s="2" t="s">
        <v>34</v>
      </c>
      <c r="E6" s="35"/>
    </row>
    <row r="7" spans="1:11">
      <c r="B7" s="44"/>
      <c r="C7" s="34"/>
      <c r="D7" s="34"/>
      <c r="E7" s="34"/>
      <c r="F7" s="34"/>
      <c r="G7" s="34"/>
      <c r="H7" s="34"/>
      <c r="I7" s="34"/>
      <c r="J7" s="34"/>
      <c r="K7" s="45"/>
    </row>
    <row r="8" spans="1:11">
      <c r="B8" s="46"/>
      <c r="J8" s="26" t="s">
        <v>35</v>
      </c>
      <c r="K8" s="47"/>
    </row>
    <row r="9" spans="1:11">
      <c r="A9" s="52">
        <v>1</v>
      </c>
      <c r="B9" s="46"/>
      <c r="C9" t="str">
        <f>"Table "&amp;A9&amp;":  Calculation of maximum price ("&amp;'General inputs'!H42&amp;", $"&amp;'General inputs'!I40&amp;")"</f>
        <v>Table 1:  Calculation of maximum price ($, $2020-21)</v>
      </c>
      <c r="J9">
        <f>ROW(C17)</f>
        <v>17</v>
      </c>
      <c r="K9" s="47"/>
    </row>
    <row r="10" spans="1:11">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c r="A11" s="70">
        <f>A10+1</f>
        <v>3</v>
      </c>
      <c r="B11" s="46"/>
      <c r="C11" t="str">
        <f>"Table "&amp;A11&amp;":  Annual calculation over analysis horizon ("&amp;'General inputs'!H42&amp;", $"&amp;'General inputs'!I40&amp;")"</f>
        <v>Table 3:  Annual calculation over analysis horizon ($, $2020-21)</v>
      </c>
      <c r="J11">
        <f>ROW(C36)</f>
        <v>36</v>
      </c>
      <c r="K11" s="47"/>
    </row>
    <row r="12" spans="1:11">
      <c r="B12" s="48"/>
      <c r="C12" s="35"/>
      <c r="D12" s="35"/>
      <c r="E12" s="35"/>
      <c r="F12" s="35"/>
      <c r="G12" s="35"/>
      <c r="H12" s="35"/>
      <c r="I12" s="35"/>
      <c r="J12" s="35"/>
      <c r="K12" s="49"/>
    </row>
    <row r="13" spans="1:11">
      <c r="E13" s="34"/>
    </row>
    <row r="14" spans="1:11">
      <c r="B14" s="104" t="str">
        <f>"Note:  an input is required in "&amp;ADDRESS(ROW($G$22),COLUMN($G$22))&amp;" to incorporate the Headwork costs per ET into the maximum price."</f>
        <v>Note:  an input is required in $G$22 to incorporate the Headwork costs per ET into the maximum price.</v>
      </c>
    </row>
    <row r="15" spans="1:11">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c r="C17" s="69" t="str">
        <f>C9</f>
        <v>Table 1:  Calculation of maximum price ($, $2020-21)</v>
      </c>
      <c r="E17" s="35"/>
    </row>
    <row r="18" spans="2:22">
      <c r="B18" s="44"/>
      <c r="C18" s="113"/>
      <c r="D18" s="102"/>
      <c r="E18" s="102"/>
      <c r="F18" s="113"/>
      <c r="G18" s="113"/>
      <c r="H18" s="113"/>
      <c r="I18" s="102"/>
      <c r="J18" s="113"/>
      <c r="K18" s="113"/>
      <c r="L18" s="34"/>
      <c r="M18" s="45"/>
    </row>
    <row r="19" spans="2:22" ht="46">
      <c r="B19" s="46"/>
      <c r="C19" s="40" t="s">
        <v>200</v>
      </c>
      <c r="F19" s="120" t="s">
        <v>148</v>
      </c>
      <c r="G19" s="120" t="s">
        <v>218</v>
      </c>
      <c r="H19" s="119" t="s">
        <v>132</v>
      </c>
      <c r="I19" s="121"/>
      <c r="J19" s="119" t="s">
        <v>133</v>
      </c>
      <c r="K19" s="119" t="s">
        <v>134</v>
      </c>
      <c r="L19" s="119" t="s">
        <v>150</v>
      </c>
      <c r="M19" s="47"/>
    </row>
    <row r="20" spans="2:22">
      <c r="B20" s="46"/>
      <c r="E20" s="6" t="s">
        <v>147</v>
      </c>
      <c r="H20" s="122">
        <f>K30</f>
        <v>7487940.7422772842</v>
      </c>
      <c r="I20" s="124"/>
      <c r="J20" s="125">
        <f>M30</f>
        <v>17664204.753761761</v>
      </c>
      <c r="K20" s="125">
        <f>O30</f>
        <v>0</v>
      </c>
      <c r="L20" s="122">
        <f>R30-U30</f>
        <v>7916308.2117133755</v>
      </c>
      <c r="M20" s="47"/>
    </row>
    <row r="21" spans="2:22">
      <c r="B21" s="46"/>
      <c r="E21" s="6" t="s">
        <v>21</v>
      </c>
      <c r="F21" s="35"/>
      <c r="H21" s="122">
        <f>F30</f>
        <v>7326.6974147964083</v>
      </c>
      <c r="I21" s="124"/>
      <c r="J21" s="125">
        <f>G30</f>
        <v>7837.3707185912526</v>
      </c>
      <c r="K21" s="125">
        <f>G30</f>
        <v>7837.3707185912526</v>
      </c>
      <c r="L21" s="122">
        <f>H30</f>
        <v>2409.9011559924606</v>
      </c>
      <c r="M21" s="47"/>
    </row>
    <row r="22" spans="2:22" ht="12" customHeight="1">
      <c r="B22" s="46"/>
      <c r="C22" s="253">
        <f>IF(SUM(F22:K22,-L22)&lt;0,0,SUM(F22:K22,-L22))</f>
        <v>3119.861091089535</v>
      </c>
      <c r="E22" s="6" t="s">
        <v>149</v>
      </c>
      <c r="F22" s="237">
        <v>3128.9201623244808</v>
      </c>
      <c r="G22" s="123"/>
      <c r="H22" s="75">
        <f>H20/H21</f>
        <v>1022.0076411447321</v>
      </c>
      <c r="I22" s="127"/>
      <c r="J22" s="126">
        <f>J20/J21</f>
        <v>2253.8432068627289</v>
      </c>
      <c r="K22" s="126">
        <f>K20/K21</f>
        <v>0</v>
      </c>
      <c r="L22" s="75">
        <f>L20/L21</f>
        <v>3284.9099192424064</v>
      </c>
      <c r="M22" s="47"/>
    </row>
    <row r="23" spans="2:22">
      <c r="B23" s="48"/>
      <c r="C23" s="51"/>
      <c r="D23" s="35"/>
      <c r="E23" s="35"/>
      <c r="F23" s="35"/>
      <c r="G23" s="35"/>
      <c r="H23" s="35"/>
      <c r="I23" s="35"/>
      <c r="J23" s="35"/>
      <c r="K23" s="35"/>
      <c r="L23" s="35"/>
      <c r="M23" s="49"/>
    </row>
    <row r="24" spans="2:22">
      <c r="C24" s="188"/>
      <c r="D24" s="188"/>
      <c r="E24" s="188"/>
    </row>
    <row r="25" spans="2:22">
      <c r="C25" s="252"/>
      <c r="D25" s="188"/>
      <c r="E25" s="188"/>
    </row>
    <row r="27" spans="2:22" ht="18">
      <c r="C27" s="69" t="str">
        <f>C10</f>
        <v>Table 2:  Key variables used in maximum price calculation ($, $2020-21)</v>
      </c>
      <c r="D27" s="72"/>
      <c r="H27" s="63"/>
      <c r="I27" s="63"/>
      <c r="J27" s="63"/>
    </row>
    <row r="28" spans="2:22" ht="18">
      <c r="B28" s="44"/>
      <c r="C28" s="73"/>
      <c r="D28" s="74"/>
      <c r="E28" s="34"/>
      <c r="F28" s="34"/>
      <c r="G28" s="34"/>
      <c r="H28" s="197"/>
      <c r="I28" s="197"/>
      <c r="J28" s="197"/>
      <c r="K28" s="34"/>
      <c r="L28" s="34"/>
      <c r="M28" s="34"/>
      <c r="N28" s="34"/>
      <c r="O28" s="34"/>
      <c r="P28" s="34"/>
      <c r="Q28" s="34"/>
      <c r="R28" s="34"/>
      <c r="S28" s="34"/>
      <c r="T28" s="34"/>
      <c r="U28" s="34"/>
      <c r="V28" s="45"/>
    </row>
    <row r="29" spans="2:22" ht="9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c r="B30" s="46"/>
      <c r="E30" s="178">
        <f>SUM(E40:E130)</f>
        <v>7195.7389746189729</v>
      </c>
      <c r="F30" s="75">
        <f t="shared" ref="F30:H30" si="0">SUM(F40:F130)</f>
        <v>7326.6974147964083</v>
      </c>
      <c r="G30" s="75">
        <f t="shared" si="0"/>
        <v>7837.3707185912526</v>
      </c>
      <c r="H30" s="71">
        <f t="shared" si="0"/>
        <v>2409.9011559924606</v>
      </c>
      <c r="K30" s="75">
        <f>K40</f>
        <v>7487940.7422772842</v>
      </c>
      <c r="M30" s="75">
        <f>SUM(M40:M130)</f>
        <v>17664204.753761761</v>
      </c>
      <c r="O30" s="75">
        <f>SUM(O40:O130)</f>
        <v>0</v>
      </c>
      <c r="R30" s="75">
        <f>SUM(R40:R130)</f>
        <v>14233068.90414267</v>
      </c>
      <c r="U30" s="75">
        <f>SUM(U40:U130)</f>
        <v>6316760.6924292948</v>
      </c>
      <c r="V30" s="47"/>
    </row>
    <row r="31" spans="2:22">
      <c r="B31" s="48"/>
      <c r="C31" s="35"/>
      <c r="D31" s="35"/>
      <c r="E31" s="35"/>
      <c r="F31" s="35"/>
      <c r="G31" s="35"/>
      <c r="H31" s="35"/>
      <c r="I31" s="35"/>
      <c r="J31" s="35" t="s">
        <v>350</v>
      </c>
      <c r="K31" s="239">
        <f>K30-'Pre-1996 assets'!Q1155</f>
        <v>0</v>
      </c>
      <c r="L31" s="240"/>
      <c r="M31" s="239">
        <f>M30-'Post-1996 commissioned assets'!Q568</f>
        <v>0</v>
      </c>
      <c r="N31" s="35"/>
      <c r="O31" s="238">
        <f>O30-'Uncommissioned assets'!$P$29</f>
        <v>0</v>
      </c>
      <c r="P31" s="35"/>
      <c r="Q31" s="35"/>
      <c r="R31" s="35"/>
      <c r="S31" s="35"/>
      <c r="T31" s="35"/>
      <c r="U31" s="35"/>
      <c r="V31" s="49"/>
    </row>
    <row r="34" spans="2:27">
      <c r="B34" s="104" t="str">
        <f>"Note:  inputs are required in "&amp;'Reduction amount'!D17&amp;" and "&amp;'Reduction amount'!D18&amp;" to calculate the 'Reduction amount'."</f>
        <v>Note:  inputs are required in $Q$67:$Q$96 and $T$67:$T$96 to calculate the 'Reduction amount'.</v>
      </c>
    </row>
    <row r="36" spans="2:27" ht="18">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c r="B38" s="46"/>
      <c r="C38" s="69"/>
      <c r="D38" s="114"/>
      <c r="E38" s="117" t="s">
        <v>143</v>
      </c>
      <c r="F38" s="114"/>
      <c r="G38" s="114"/>
      <c r="H38" s="114"/>
      <c r="I38" s="114"/>
      <c r="J38" s="117" t="s">
        <v>144</v>
      </c>
      <c r="N38" s="62" t="s">
        <v>278</v>
      </c>
      <c r="O38" s="62"/>
      <c r="Q38" s="117" t="s">
        <v>145</v>
      </c>
      <c r="R38" s="103"/>
      <c r="T38" s="117" t="s">
        <v>146</v>
      </c>
      <c r="V38" s="47"/>
    </row>
    <row r="39" spans="2:27" ht="82">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c r="B40" s="46"/>
      <c r="C40" s="26">
        <f>IF(D40='General inputs'!$I$16,0,IF(D40&lt;'General inputs'!$I$16,C41-1,C39+1))</f>
        <v>-27</v>
      </c>
      <c r="D40" s="137" t="str">
        <f>RIGHT(YEAR('General inputs'!$H$24),4)&amp;"-"&amp;RIGHT(YEAR('General inputs'!H24),2)+1</f>
        <v>1995-96</v>
      </c>
      <c r="E40" s="77">
        <f>IF(LEFT(D40,4)*1&gt;LEFT('General inputs'!$I$16,4)+'General inputs'!$H$38-1,"",'ET inputs'!D12)</f>
        <v>50.831971638306641</v>
      </c>
      <c r="F40" s="77">
        <f>IF(LEFT(D40,4)*1&gt;LEFT('General inputs'!$I$16,4)+'General inputs'!$H$38-1,"",E40/(1+'General inputs'!$H$30)^C40)</f>
        <v>112.91249973162451</v>
      </c>
      <c r="G40" s="77">
        <f>IF(LEFT(D40,4)*1&gt;LEFT('General inputs'!$I$16,4)+'General inputs'!$H$38-1,"",E40/(1+'General inputs'!$H$32)^C40)</f>
        <v>154.37087548498465</v>
      </c>
      <c r="H40" s="76" t="str">
        <f>IF(LEFT(D40,4)*1&lt;LEFT('General inputs'!$I$16,4)*1,"",IF(LEFT(D40,4)*1&gt;LEFT('General inputs'!$I$16,4)+'General inputs'!$H$38-1,"",E40/(1+'General inputs'!$H$34)^C40))</f>
        <v/>
      </c>
      <c r="J40" s="77">
        <f>'Pre-1996 assets'!P1155</f>
        <v>3370988.9723941148</v>
      </c>
      <c r="K40" s="77">
        <f>J40/(1+'General inputs'!$H$30)^C40</f>
        <v>7487940.7422772842</v>
      </c>
      <c r="L40" s="138">
        <f>IF(LEFT(D40,4)*1&gt;LEFT('General inputs'!$I$18,4)*1,"",SUMIF('Post-1996 commissioned assets'!$F$22:$F$567,$D40,'Post-1996 commissioned assets'!$P$22:$P$567))</f>
        <v>0</v>
      </c>
      <c r="M40" s="138">
        <f>IF(L40="","",L40/(1+'General inputs'!$H$32)^C40)</f>
        <v>0</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c r="B41" s="46"/>
      <c r="C41" s="26">
        <f>IF(D41='General inputs'!$I$16,0,IF(D41&lt;'General inputs'!$I$16,C42-1,C40+1))</f>
        <v>-26</v>
      </c>
      <c r="D41" s="26" t="str">
        <f>LEFT(D40,4)+1&amp;"-"&amp;RIGHT(D40,2)+1</f>
        <v>1996-97</v>
      </c>
      <c r="E41" s="76">
        <f>IF(LEFT(D41,4)*1&gt;LEFT('General inputs'!$I$16,4)+'General inputs'!$H$38-1,"",'ET inputs'!D13)</f>
        <v>102.44960223025191</v>
      </c>
      <c r="F41" s="76">
        <f>IF(LEFT(D41,4)*1&gt;LEFT('General inputs'!$I$16,4)+'General inputs'!$H$38-1,"",E41/(1+'General inputs'!$H$30)^C41)</f>
        <v>220.94191753310125</v>
      </c>
      <c r="G41" s="76">
        <f>IF(LEFT(D41,4)*1&gt;LEFT('General inputs'!$I$16,4)+'General inputs'!$H$38-1,"",E41/(1+'General inputs'!$H$32)^C41)</f>
        <v>298.58705107625332</v>
      </c>
      <c r="H41" s="76" t="str">
        <f>IF(LEFT(D41,4)*1&lt;LEFT('General inputs'!$I$16,4)*1,"",IF(LEFT(D41,4)*1&gt;LEFT('General inputs'!$I$16,4)+'General inputs'!$H$38-1,"",E41/(1+'General inputs'!$H$34)^C41))</f>
        <v/>
      </c>
      <c r="J41" s="93"/>
      <c r="K41" s="93"/>
      <c r="L41" s="76">
        <f>IF(LEFT(D41,4)*1&gt;LEFT('General inputs'!$I$18,4)*1,"",SUMIF('Post-1996 commissioned assets'!$F$22:$F$567,$D41,'Post-1996 commissioned assets'!$P$22:$P$567))</f>
        <v>137161.93038436025</v>
      </c>
      <c r="M41" s="76">
        <f>IF(L41="","",L41/(1+'General inputs'!$H$32)^C41)</f>
        <v>399755.34723256459</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c r="B42" s="46"/>
      <c r="C42" s="26">
        <f>IF(D42='General inputs'!$I$16,0,IF(D42&lt;'General inputs'!$I$16,C43-1,C41+1))</f>
        <v>-25</v>
      </c>
      <c r="D42" s="26" t="str">
        <f t="shared" ref="D42:D100" si="1">LEFT(D41,4)+1&amp;"-"&amp;RIGHT(D41,2)+1</f>
        <v>1997-98</v>
      </c>
      <c r="E42" s="76">
        <f>IF(LEFT(D42,4)*1&gt;LEFT('General inputs'!$I$16,4)+'General inputs'!$H$38-1,"",'ET inputs'!D14)</f>
        <v>103.24133275629173</v>
      </c>
      <c r="F42" s="76">
        <f>IF(LEFT(D42,4)*1&gt;LEFT('General inputs'!$I$16,4)+'General inputs'!$H$38-1,"",E42/(1+'General inputs'!$H$30)^C42)</f>
        <v>216.16442395321027</v>
      </c>
      <c r="G42" s="76">
        <f>IF(LEFT(D42,4)*1&gt;LEFT('General inputs'!$I$16,4)+'General inputs'!$H$38-1,"",E42/(1+'General inputs'!$H$32)^C42)</f>
        <v>288.76634530420677</v>
      </c>
      <c r="H42" s="76" t="str">
        <f>IF(LEFT(D42,4)*1&lt;LEFT('General inputs'!$I$16,4)*1,"",IF(LEFT(D42,4)*1&gt;LEFT('General inputs'!$I$16,4)+'General inputs'!$H$38-1,"",E42/(1+'General inputs'!$H$34)^C42))</f>
        <v/>
      </c>
      <c r="J42" s="93"/>
      <c r="K42" s="93"/>
      <c r="L42" s="76">
        <f>IF(LEFT(D42,4)*1&gt;LEFT('General inputs'!$I$18,4)*1,"",SUMIF('Post-1996 commissioned assets'!$F$22:$F$567,$D42,'Post-1996 commissioned assets'!$P$22:$P$567))</f>
        <v>6138.3702196772729</v>
      </c>
      <c r="M42" s="76">
        <f>IF(L42="","",L42/(1+'General inputs'!$H$32)^C42)</f>
        <v>17169.041576057763</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c r="B43" s="46"/>
      <c r="C43" s="26">
        <f>IF(D43='General inputs'!$I$16,0,IF(D43&lt;'General inputs'!$I$16,C44-1,C42+1))</f>
        <v>-24</v>
      </c>
      <c r="D43" s="78" t="str">
        <f t="shared" si="1"/>
        <v>1998-99</v>
      </c>
      <c r="E43" s="76">
        <f>IF(LEFT(D43,4)*1&gt;LEFT('General inputs'!$I$16,4)+'General inputs'!$H$38-1,"",'ET inputs'!D15)</f>
        <v>104.03918177582818</v>
      </c>
      <c r="F43" s="76">
        <f>IF(LEFT(D43,4)*1&gt;LEFT('General inputs'!$I$16,4)+'General inputs'!$H$38-1,"",E43/(1+'General inputs'!$H$30)^C43)</f>
        <v>211.49023555486599</v>
      </c>
      <c r="G43" s="76">
        <f>IF(LEFT(D43,4)*1&gt;LEFT('General inputs'!$I$16,4)+'General inputs'!$H$38-1,"",E43/(1+'General inputs'!$H$32)^C43)</f>
        <v>279.2686483883935</v>
      </c>
      <c r="H43" s="76" t="str">
        <f>IF(LEFT(D43,4)*1&lt;LEFT('General inputs'!$I$16,4)*1,"",IF(LEFT(D43,4)*1&gt;LEFT('General inputs'!$I$16,4)+'General inputs'!$H$38-1,"",E43/(1+'General inputs'!$H$34)^C43))</f>
        <v/>
      </c>
      <c r="J43" s="93"/>
      <c r="K43" s="93"/>
      <c r="L43" s="76">
        <f>IF(LEFT(D43,4)*1&gt;LEFT('General inputs'!$I$18,4)*1,"",SUMIF('Post-1996 commissioned assets'!$F$22:$F$567,$D43,'Post-1996 commissioned assets'!$P$22:$P$567))</f>
        <v>10310.267071607463</v>
      </c>
      <c r="M43" s="76">
        <f>IF(L43="","",L43/(1+'General inputs'!$H$32)^C43)</f>
        <v>27675.480530164481</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c r="B44" s="46"/>
      <c r="C44" s="26">
        <f>IF(D44='General inputs'!$I$16,0,IF(D44&lt;'General inputs'!$I$16,C45-1,C43+1))</f>
        <v>-23</v>
      </c>
      <c r="D44" s="79" t="str">
        <f>LEFT(D43,4)+1&amp;"-00"</f>
        <v>1999-00</v>
      </c>
      <c r="E44" s="76">
        <f>IF(LEFT(D44,4)*1&gt;LEFT('General inputs'!$I$16,4)+'General inputs'!$H$38-1,"",'ET inputs'!D16)</f>
        <v>104.84319657259219</v>
      </c>
      <c r="F44" s="76">
        <f>IF(LEFT(D44,4)*1&gt;LEFT('General inputs'!$I$16,4)+'General inputs'!$H$38-1,"",E44/(1+'General inputs'!$H$30)^C44)</f>
        <v>206.91711853906295</v>
      </c>
      <c r="G44" s="76">
        <f>IF(LEFT(D44,4)*1&gt;LEFT('General inputs'!$I$16,4)+'General inputs'!$H$38-1,"",E44/(1+'General inputs'!$H$32)^C44)</f>
        <v>270.08333637537436</v>
      </c>
      <c r="H44" s="76" t="str">
        <f>IF(LEFT(D44,4)*1&lt;LEFT('General inputs'!$I$16,4)*1,"",IF(LEFT(D44,4)*1&gt;LEFT('General inputs'!$I$16,4)+'General inputs'!$H$38-1,"",E44/(1+'General inputs'!$H$34)^C44))</f>
        <v/>
      </c>
      <c r="J44" s="93"/>
      <c r="K44" s="93"/>
      <c r="L44" s="76">
        <f>IF(LEFT(D44,4)*1&gt;LEFT('General inputs'!$I$18,4)*1,"",SUMIF('Post-1996 commissioned assets'!$F$22:$F$567,$D44,'Post-1996 commissioned assets'!$P$22:$P$567))</f>
        <v>140.84012248995072</v>
      </c>
      <c r="M44" s="76">
        <f>IF(L44="","",L44/(1+'General inputs'!$H$32)^C44)</f>
        <v>362.81391087942296</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c r="B45" s="46"/>
      <c r="C45" s="26">
        <f>IF(D45='General inputs'!$I$16,0,IF(D45&lt;'General inputs'!$I$16,C46-1,C44+1))</f>
        <v>-22</v>
      </c>
      <c r="D45" s="80" t="str">
        <f>LEFT(D44,4)+1&amp;"-0"&amp;RIGHT(D44,2)+1</f>
        <v>2000-01</v>
      </c>
      <c r="E45" s="76">
        <f>IF(LEFT(D45,4)*1&gt;LEFT('General inputs'!$I$16,4)+'General inputs'!$H$38-1,"",'ET inputs'!D17)</f>
        <v>105.65342479570609</v>
      </c>
      <c r="F45" s="76">
        <f>IF(LEFT(D45,4)*1&gt;LEFT('General inputs'!$I$16,4)+'General inputs'!$H$38-1,"",E45/(1+'General inputs'!$H$30)^C45)</f>
        <v>202.44288740886853</v>
      </c>
      <c r="G45" s="76">
        <f>IF(LEFT(D45,4)*1&gt;LEFT('General inputs'!$I$16,4)+'General inputs'!$H$38-1,"",E45/(1+'General inputs'!$H$32)^C45)</f>
        <v>261.20013473981345</v>
      </c>
      <c r="H45" s="76" t="str">
        <f>IF(LEFT(D45,4)*1&lt;LEFT('General inputs'!$I$16,4)*1,"",IF(LEFT(D45,4)*1&gt;LEFT('General inputs'!$I$16,4)+'General inputs'!$H$38-1,"",E45/(1+'General inputs'!$H$34)^C45))</f>
        <v/>
      </c>
      <c r="J45" s="93"/>
      <c r="K45" s="93"/>
      <c r="L45" s="76">
        <f>IF(LEFT(D45,4)*1&gt;LEFT('General inputs'!$I$18,4)*1,"",SUMIF('Post-1996 commissioned assets'!$F$22:$F$567,$D45,'Post-1996 commissioned assets'!$P$22:$P$567))</f>
        <v>138463.31681561706</v>
      </c>
      <c r="M45" s="76">
        <f>IF(L45="","",L45/(1+'General inputs'!$H$32)^C45)</f>
        <v>342313.91058731225</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c r="B46" s="46"/>
      <c r="C46" s="26">
        <f>IF(D46='General inputs'!$I$16,0,IF(D46&lt;'General inputs'!$I$16,C47-1,C45+1))</f>
        <v>-21</v>
      </c>
      <c r="D46" s="26" t="str">
        <f t="shared" ref="D46:D53" si="2">LEFT(D45,4)+1&amp;"-0"&amp;RIGHT(D45,2)+1</f>
        <v>2001-02</v>
      </c>
      <c r="E46" s="76">
        <f>IF(LEFT(D46,4)*1&gt;LEFT('General inputs'!$I$16,4)+'General inputs'!$H$38-1,"",'ET inputs'!D18)</f>
        <v>106.46991446252831</v>
      </c>
      <c r="F46" s="76">
        <f>IF(LEFT(D46,4)*1&gt;LEFT('General inputs'!$I$16,4)+'General inputs'!$H$38-1,"",E46/(1+'General inputs'!$H$30)^C46)</f>
        <v>198.06540392501572</v>
      </c>
      <c r="G46" s="76">
        <f>IF(LEFT(D46,4)*1&gt;LEFT('General inputs'!$I$16,4)+'General inputs'!$H$38-1,"",E46/(1+'General inputs'!$H$32)^C46)</f>
        <v>252.60910689163646</v>
      </c>
      <c r="H46" s="76" t="str">
        <f>IF(LEFT(D46,4)*1&lt;LEFT('General inputs'!$I$16,4)*1,"",IF(LEFT(D46,4)*1&gt;LEFT('General inputs'!$I$16,4)+'General inputs'!$H$38-1,"",E46/(1+'General inputs'!$H$34)^C46))</f>
        <v/>
      </c>
      <c r="J46" s="93"/>
      <c r="K46" s="93"/>
      <c r="L46" s="76">
        <f>IF(LEFT(D46,4)*1&gt;LEFT('General inputs'!$I$18,4)*1,"",SUMIF('Post-1996 commissioned assets'!$F$22:$F$567,$D46,'Post-1996 commissioned assets'!$P$22:$P$567))</f>
        <v>51907.94056336036</v>
      </c>
      <c r="M46" s="76">
        <f>IF(L46="","",L46/(1+'General inputs'!$H$32)^C46)</f>
        <v>123156.09130041591</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c r="B47" s="46"/>
      <c r="C47" s="26">
        <f>IF(D47='General inputs'!$I$16,0,IF(D47&lt;'General inputs'!$I$16,C48-1,C46+1))</f>
        <v>-20</v>
      </c>
      <c r="D47" s="26" t="str">
        <f t="shared" si="2"/>
        <v>2002-03</v>
      </c>
      <c r="E47" s="76">
        <f>IF(LEFT(D47,4)*1&gt;LEFT('General inputs'!$I$16,4)+'General inputs'!$H$38-1,"",'ET inputs'!D19)</f>
        <v>107.29271396149305</v>
      </c>
      <c r="F47" s="76">
        <f>IF(LEFT(D47,4)*1&gt;LEFT('General inputs'!$I$16,4)+'General inputs'!$H$38-1,"",E47/(1+'General inputs'!$H$30)^C47)</f>
        <v>193.78257608402441</v>
      </c>
      <c r="G47" s="76">
        <f>IF(LEFT(D47,4)*1&gt;LEFT('General inputs'!$I$16,4)+'General inputs'!$H$38-1,"",E47/(1+'General inputs'!$H$32)^C47)</f>
        <v>244.30064306112385</v>
      </c>
      <c r="H47" s="76" t="str">
        <f>IF(LEFT(D47,4)*1&lt;LEFT('General inputs'!$I$16,4)*1,"",IF(LEFT(D47,4)*1&gt;LEFT('General inputs'!$I$16,4)+'General inputs'!$H$38-1,"",E47/(1+'General inputs'!$H$34)^C47))</f>
        <v/>
      </c>
      <c r="J47" s="93"/>
      <c r="K47" s="93"/>
      <c r="L47" s="76">
        <f>IF(LEFT(D47,4)*1&gt;LEFT('General inputs'!$I$18,4)*1,"",SUMIF('Post-1996 commissioned assets'!$F$22:$F$567,$D47,'Post-1996 commissioned assets'!$P$22:$P$567))</f>
        <v>4761115.0124473562</v>
      </c>
      <c r="M47" s="76">
        <f>IF(L47="","",L47/(1+'General inputs'!$H$32)^C47)</f>
        <v>10840842.926634399</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c r="B48" s="46"/>
      <c r="C48" s="26">
        <f>IF(D48='General inputs'!$I$16,0,IF(D48&lt;'General inputs'!$I$16,C49-1,C47+1))</f>
        <v>-19</v>
      </c>
      <c r="D48" s="26" t="str">
        <f t="shared" si="2"/>
        <v>2003-04</v>
      </c>
      <c r="E48" s="76">
        <f>IF(LEFT(D48,4)*1&gt;LEFT('General inputs'!$I$16,4)+'General inputs'!$H$38-1,"",'ET inputs'!D20)</f>
        <v>108.12187205498776</v>
      </c>
      <c r="F48" s="76">
        <f>IF(LEFT(D48,4)*1&gt;LEFT('General inputs'!$I$16,4)+'General inputs'!$H$38-1,"",E48/(1+'General inputs'!$H$30)^C48)</f>
        <v>189.59235711844883</v>
      </c>
      <c r="G48" s="76">
        <f>IF(LEFT(D48,4)*1&gt;LEFT('General inputs'!$I$16,4)+'General inputs'!$H$38-1,"",E48/(1+'General inputs'!$H$32)^C48)</f>
        <v>236.26544954961693</v>
      </c>
      <c r="H48" s="76" t="str">
        <f>IF(LEFT(D48,4)*1&lt;LEFT('General inputs'!$I$16,4)*1,"",IF(LEFT(D48,4)*1&gt;LEFT('General inputs'!$I$16,4)+'General inputs'!$H$38-1,"",E48/(1+'General inputs'!$H$34)^C48))</f>
        <v/>
      </c>
      <c r="J48" s="93"/>
      <c r="K48" s="93"/>
      <c r="L48" s="76">
        <f>IF(LEFT(D48,4)*1&gt;LEFT('General inputs'!$I$18,4)*1,"",SUMIF('Post-1996 commissioned assets'!$F$22:$F$567,$D48,'Post-1996 commissioned assets'!$P$22:$P$567))</f>
        <v>14801.727827100862</v>
      </c>
      <c r="M48" s="76">
        <f>IF(L48="","",L48/(1+'General inputs'!$H$32)^C48)</f>
        <v>32344.398156577547</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c r="B49" s="46"/>
      <c r="C49" s="26">
        <f>IF(D49='General inputs'!$I$16,0,IF(D49&lt;'General inputs'!$I$16,C50-1,C48+1))</f>
        <v>-18</v>
      </c>
      <c r="D49" s="26" t="str">
        <f t="shared" si="2"/>
        <v>2004-05</v>
      </c>
      <c r="E49" s="76">
        <f>IF(LEFT(D49,4)*1&gt;LEFT('General inputs'!$I$16,4)+'General inputs'!$H$38-1,"",'ET inputs'!D21)</f>
        <v>108.95743788222899</v>
      </c>
      <c r="F49" s="76">
        <f>IF(LEFT(D49,4)*1&gt;LEFT('General inputs'!$I$16,4)+'General inputs'!$H$38-1,"",E49/(1+'General inputs'!$H$30)^C49)</f>
        <v>185.49274451869971</v>
      </c>
      <c r="G49" s="76">
        <f>IF(LEFT(D49,4)*1&gt;LEFT('General inputs'!$I$16,4)+'General inputs'!$H$38-1,"",E49/(1+'General inputs'!$H$32)^C49)</f>
        <v>228.4945383337207</v>
      </c>
      <c r="H49" s="76" t="str">
        <f>IF(LEFT(D49,4)*1&lt;LEFT('General inputs'!$I$16,4)*1,"",IF(LEFT(D49,4)*1&gt;LEFT('General inputs'!$I$16,4)+'General inputs'!$H$38-1,"",E49/(1+'General inputs'!$H$34)^C49))</f>
        <v/>
      </c>
      <c r="J49" s="93"/>
      <c r="K49" s="93"/>
      <c r="L49" s="76">
        <f>IF(LEFT(D49,4)*1&gt;LEFT('General inputs'!$I$18,4)*1,"",SUMIF('Post-1996 commissioned assets'!$F$22:$F$567,$D49,'Post-1996 commissioned assets'!$P$22:$P$567))</f>
        <v>79657.951125767635</v>
      </c>
      <c r="M49" s="76">
        <f>IF(L49="","",L49/(1+'General inputs'!$H$32)^C49)</f>
        <v>167050.61279768788</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c r="B50" s="46"/>
      <c r="C50" s="26">
        <f>IF(D50='General inputs'!$I$16,0,IF(D50&lt;'General inputs'!$I$16,C51-1,C49+1))</f>
        <v>-17</v>
      </c>
      <c r="D50" s="26" t="str">
        <f t="shared" si="2"/>
        <v>2005-06</v>
      </c>
      <c r="E50" s="76">
        <f>IF(LEFT(D50,4)*1&gt;LEFT('General inputs'!$I$16,4)+'General inputs'!$H$38-1,"",'ET inputs'!D22)</f>
        <v>109.79946096218372</v>
      </c>
      <c r="F50" s="76">
        <f>IF(LEFT(D50,4)*1&gt;LEFT('General inputs'!$I$16,4)+'General inputs'!$H$38-1,"",E50/(1+'General inputs'!$H$30)^C50)</f>
        <v>181.48177907605989</v>
      </c>
      <c r="G50" s="76">
        <f>IF(LEFT(D50,4)*1&gt;LEFT('General inputs'!$I$16,4)+'General inputs'!$H$38-1,"",E50/(1+'General inputs'!$H$32)^C50)</f>
        <v>220.97921701148314</v>
      </c>
      <c r="H50" s="76" t="str">
        <f>IF(LEFT(D50,4)*1&lt;LEFT('General inputs'!$I$16,4)*1,"",IF(LEFT(D50,4)*1&gt;LEFT('General inputs'!$I$16,4)+'General inputs'!$H$38-1,"",E50/(1+'General inputs'!$H$34)^C50))</f>
        <v/>
      </c>
      <c r="J50" s="93"/>
      <c r="K50" s="93"/>
      <c r="L50" s="76">
        <f>IF(LEFT(D50,4)*1&gt;LEFT('General inputs'!$I$18,4)*1,"",SUMIF('Post-1996 commissioned assets'!$F$22:$F$567,$D50,'Post-1996 commissioned assets'!$P$22:$P$567))</f>
        <v>157000.45721115137</v>
      </c>
      <c r="M50" s="76">
        <f>IF(L50="","",L50/(1+'General inputs'!$H$32)^C50)</f>
        <v>315974.57583980379</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c r="B51" s="46"/>
      <c r="C51" s="26">
        <f>IF(D51='General inputs'!$I$16,0,IF(D51&lt;'General inputs'!$I$16,C52-1,C50+1))</f>
        <v>-16</v>
      </c>
      <c r="D51" s="26" t="str">
        <f t="shared" si="2"/>
        <v>2006-07</v>
      </c>
      <c r="E51" s="76">
        <f>IF(LEFT(D51,4)*1&gt;LEFT('General inputs'!$I$16,4)+'General inputs'!$H$38-1,"",'ET inputs'!D23)</f>
        <v>110.64799119649798</v>
      </c>
      <c r="F51" s="76">
        <f>IF(LEFT(D51,4)*1&gt;LEFT('General inputs'!$I$16,4)+'General inputs'!$H$38-1,"",E51/(1+'General inputs'!$H$30)^C51)</f>
        <v>177.55754394636622</v>
      </c>
      <c r="G51" s="76">
        <f>IF(LEFT(D51,4)*1&gt;LEFT('General inputs'!$I$16,4)+'General inputs'!$H$38-1,"",E51/(1+'General inputs'!$H$32)^C51)</f>
        <v>213.71107907921774</v>
      </c>
      <c r="H51" s="76" t="str">
        <f>IF(LEFT(D51,4)*1&lt;LEFT('General inputs'!$I$16,4)*1,"",IF(LEFT(D51,4)*1&gt;LEFT('General inputs'!$I$16,4)+'General inputs'!$H$38-1,"",E51/(1+'General inputs'!$H$34)^C51))</f>
        <v/>
      </c>
      <c r="J51" s="93"/>
      <c r="K51" s="93"/>
      <c r="L51" s="76">
        <f>IF(LEFT(D51,4)*1&gt;LEFT('General inputs'!$I$18,4)*1,"",SUMIF('Post-1996 commissioned assets'!$F$22:$F$567,$D51,'Post-1996 commissioned assets'!$P$22:$P$567))</f>
        <v>29597.324499155267</v>
      </c>
      <c r="M51" s="76">
        <f>IF(L51="","",L51/(1+'General inputs'!$H$32)^C51)</f>
        <v>57165.756812875923</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c r="B52" s="46"/>
      <c r="C52" s="26">
        <f>IF(D52='General inputs'!$I$16,0,IF(D52&lt;'General inputs'!$I$16,C53-1,C51+1))</f>
        <v>-15</v>
      </c>
      <c r="D52" s="26" t="str">
        <f t="shared" si="2"/>
        <v>2007-08</v>
      </c>
      <c r="E52" s="76">
        <f>IF(LEFT(D52,4)*1&gt;LEFT('General inputs'!$I$16,4)+'General inputs'!$H$38-1,"",'ET inputs'!D24)</f>
        <v>111.50307887246527</v>
      </c>
      <c r="F52" s="76">
        <f>IF(LEFT(D52,4)*1&gt;LEFT('General inputs'!$I$16,4)+'General inputs'!$H$38-1,"",E52/(1+'General inputs'!$H$30)^C52)</f>
        <v>173.71816373396601</v>
      </c>
      <c r="G52" s="76">
        <f>IF(LEFT(D52,4)*1&gt;LEFT('General inputs'!$I$16,4)+'General inputs'!$H$38-1,"",E52/(1+'General inputs'!$H$32)^C52)</f>
        <v>206.68199452816063</v>
      </c>
      <c r="H52" s="76" t="str">
        <f>IF(LEFT(D52,4)*1&lt;LEFT('General inputs'!$I$16,4)*1,"",IF(LEFT(D52,4)*1&gt;LEFT('General inputs'!$I$16,4)+'General inputs'!$H$38-1,"",E52/(1+'General inputs'!$H$34)^C52))</f>
        <v/>
      </c>
      <c r="J52" s="93"/>
      <c r="K52" s="93"/>
      <c r="L52" s="76">
        <f>IF(LEFT(D52,4)*1&gt;LEFT('General inputs'!$I$18,4)*1,"",SUMIF('Post-1996 commissioned assets'!$F$22:$F$567,$D52,'Post-1996 commissioned assets'!$P$22:$P$567))</f>
        <v>10971.751347319414</v>
      </c>
      <c r="M52" s="76">
        <f>IF(L52="","",L52/(1+'General inputs'!$H$32)^C52)</f>
        <v>20337.227230511842</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c r="B53" s="46"/>
      <c r="C53" s="26">
        <f>IF(D53='General inputs'!$I$16,0,IF(D53&lt;'General inputs'!$I$16,C54-1,C52+1))</f>
        <v>-14</v>
      </c>
      <c r="D53" s="78" t="str">
        <f t="shared" si="2"/>
        <v>2008-09</v>
      </c>
      <c r="E53" s="76">
        <f>IF(LEFT(D53,4)*1&gt;LEFT('General inputs'!$I$16,4)+'General inputs'!$H$38-1,"",'ET inputs'!D25)</f>
        <v>112.36477466599172</v>
      </c>
      <c r="F53" s="76">
        <f>IF(LEFT(D53,4)*1&gt;LEFT('General inputs'!$I$16,4)+'General inputs'!$H$38-1,"",E53/(1+'General inputs'!$H$30)^C53)</f>
        <v>169.96180359543897</v>
      </c>
      <c r="G53" s="76">
        <f>IF(LEFT(D53,4)*1&gt;LEFT('General inputs'!$I$16,4)+'General inputs'!$H$38-1,"",E53/(1+'General inputs'!$H$32)^C53)</f>
        <v>199.88410075035921</v>
      </c>
      <c r="H53" s="76" t="str">
        <f>IF(LEFT(D53,4)*1&lt;LEFT('General inputs'!$I$16,4)*1,"",IF(LEFT(D53,4)*1&gt;LEFT('General inputs'!$I$16,4)+'General inputs'!$H$38-1,"",E53/(1+'General inputs'!$H$34)^C53))</f>
        <v/>
      </c>
      <c r="J53" s="93"/>
      <c r="K53" s="93"/>
      <c r="L53" s="76">
        <f>IF(LEFT(D53,4)*1&gt;LEFT('General inputs'!$I$18,4)*1,"",SUMIF('Post-1996 commissioned assets'!$F$22:$F$567,$D53,'Post-1996 commissioned assets'!$P$22:$P$567))</f>
        <v>2135306.8680489073</v>
      </c>
      <c r="M53" s="76">
        <f>IF(L53="","",L53/(1+'General inputs'!$H$32)^C53)</f>
        <v>3798467.0410699546</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c r="B54" s="46"/>
      <c r="C54" s="26">
        <f>IF(D54='General inputs'!$I$16,0,IF(D54&lt;'General inputs'!$I$16,C55-1,C53+1))</f>
        <v>-13</v>
      </c>
      <c r="D54" s="80" t="str">
        <f t="shared" si="1"/>
        <v>2009-10</v>
      </c>
      <c r="E54" s="76">
        <f>IF(LEFT(D54,4)*1&gt;LEFT('General inputs'!$I$16,4)+'General inputs'!$H$38-1,"",'ET inputs'!D26)</f>
        <v>113.23312964461185</v>
      </c>
      <c r="F54" s="76">
        <f>IF(LEFT(D54,4)*1&gt;LEFT('General inputs'!$I$16,4)+'General inputs'!$H$38-1,"",E54/(1+'General inputs'!$H$30)^C54)</f>
        <v>166.28666836274419</v>
      </c>
      <c r="G54" s="76">
        <f>IF(LEFT(D54,4)*1&gt;LEFT('General inputs'!$I$16,4)+'General inputs'!$H$38-1,"",E54/(1+'General inputs'!$H$32)^C54)</f>
        <v>193.30979374372399</v>
      </c>
      <c r="H54" s="76" t="str">
        <f>IF(LEFT(D54,4)*1&lt;LEFT('General inputs'!$I$16,4)*1,"",IF(LEFT(D54,4)*1&gt;LEFT('General inputs'!$I$16,4)+'General inputs'!$H$38-1,"",E54/(1+'General inputs'!$H$34)^C54))</f>
        <v/>
      </c>
      <c r="J54" s="93"/>
      <c r="K54" s="93"/>
      <c r="L54" s="76">
        <f>IF(LEFT(D54,4)*1&gt;LEFT('General inputs'!$I$18,4)*1,"",SUMIF('Post-1996 commissioned assets'!$F$22:$F$567,$D54,'Post-1996 commissioned assets'!$P$22:$P$567))</f>
        <v>0</v>
      </c>
      <c r="M54" s="76">
        <f>IF(L54="","",L54/(1+'General inputs'!$H$32)^C54)</f>
        <v>0</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c r="B55" s="46"/>
      <c r="C55" s="26">
        <f>IF(D55='General inputs'!$I$16,0,IF(D55&lt;'General inputs'!$I$16,C56-1,C54+1))</f>
        <v>-12</v>
      </c>
      <c r="D55" s="26" t="str">
        <f t="shared" si="1"/>
        <v>2010-11</v>
      </c>
      <c r="E55" s="76">
        <f>IF(LEFT(D55,4)*1&gt;LEFT('General inputs'!$I$16,4)+'General inputs'!$H$38-1,"",'ET inputs'!D27)</f>
        <v>114.10819527050445</v>
      </c>
      <c r="F55" s="76">
        <f>IF(LEFT(D55,4)*1&gt;LEFT('General inputs'!$I$16,4)+'General inputs'!$H$38-1,"",E55/(1+'General inputs'!$H$30)^C55)</f>
        <v>162.69100168529135</v>
      </c>
      <c r="G55" s="76">
        <f>IF(LEFT(D55,4)*1&gt;LEFT('General inputs'!$I$16,4)+'General inputs'!$H$38-1,"",E55/(1+'General inputs'!$H$32)^C55)</f>
        <v>186.95171960630881</v>
      </c>
      <c r="H55" s="76" t="str">
        <f>IF(LEFT(D55,4)*1&lt;LEFT('General inputs'!$I$16,4)*1,"",IF(LEFT(D55,4)*1&gt;LEFT('General inputs'!$I$16,4)+'General inputs'!$H$38-1,"",E55/(1+'General inputs'!$H$34)^C55))</f>
        <v/>
      </c>
      <c r="J55" s="93"/>
      <c r="K55" s="93"/>
      <c r="L55" s="76">
        <f>IF(LEFT(D55,4)*1&gt;LEFT('General inputs'!$I$18,4)*1,"",SUMIF('Post-1996 commissioned assets'!$F$22:$F$567,$D55,'Post-1996 commissioned assets'!$P$22:$P$567))</f>
        <v>150391.02728565317</v>
      </c>
      <c r="M55" s="76">
        <f>IF(L55="","",L55/(1+'General inputs'!$H$32)^C55)</f>
        <v>246396.51076560118</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c r="B56" s="46"/>
      <c r="C56" s="26">
        <f>IF(D56='General inputs'!$I$16,0,IF(D56&lt;'General inputs'!$I$16,C57-1,C55+1))</f>
        <v>-11</v>
      </c>
      <c r="D56" s="26" t="str">
        <f t="shared" si="1"/>
        <v>2011-12</v>
      </c>
      <c r="E56" s="76">
        <f>IF(LEFT(D56,4)*1&gt;LEFT('General inputs'!$I$16,4)+'General inputs'!$H$38-1,"",'ET inputs'!D28)</f>
        <v>114.99002340355038</v>
      </c>
      <c r="F56" s="76">
        <f>IF(LEFT(D56,4)*1&gt;LEFT('General inputs'!$I$16,4)+'General inputs'!$H$38-1,"",E56/(1+'General inputs'!$H$30)^C56)</f>
        <v>159.17308519059111</v>
      </c>
      <c r="G56" s="76">
        <f>IF(LEFT(D56,4)*1&gt;LEFT('General inputs'!$I$16,4)+'General inputs'!$H$38-1,"",E56/(1+'General inputs'!$H$32)^C56)</f>
        <v>180.80276631038288</v>
      </c>
      <c r="H56" s="76" t="str">
        <f>IF(LEFT(D56,4)*1&lt;LEFT('General inputs'!$I$16,4)*1,"",IF(LEFT(D56,4)*1&gt;LEFT('General inputs'!$I$16,4)+'General inputs'!$H$38-1,"",E56/(1+'General inputs'!$H$34)^C56))</f>
        <v/>
      </c>
      <c r="J56" s="93"/>
      <c r="K56" s="93"/>
      <c r="L56" s="76">
        <f>IF(LEFT(D56,4)*1&gt;LEFT('General inputs'!$I$18,4)*1,"",SUMIF('Post-1996 commissioned assets'!$F$22:$F$567,$D56,'Post-1996 commissioned assets'!$P$22:$P$567))</f>
        <v>577225.28048809431</v>
      </c>
      <c r="M56" s="76">
        <f>IF(L56="","",L56/(1+'General inputs'!$H$32)^C56)</f>
        <v>907591.14927975426</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c r="B57" s="46"/>
      <c r="C57" s="26">
        <f>IF(D57='General inputs'!$I$16,0,IF(D57&lt;'General inputs'!$I$16,C58-1,C56+1))</f>
        <v>-10</v>
      </c>
      <c r="D57" s="26" t="str">
        <f t="shared" si="1"/>
        <v>2012-13</v>
      </c>
      <c r="E57" s="76">
        <f>IF(LEFT(D57,4)*1&gt;LEFT('General inputs'!$I$16,4)+'General inputs'!$H$38-1,"",'ET inputs'!D29)</f>
        <v>115.87866630441567</v>
      </c>
      <c r="F57" s="76">
        <f>IF(LEFT(D57,4)*1&gt;LEFT('General inputs'!$I$16,4)+'General inputs'!$H$38-1,"",E57/(1+'General inputs'!$H$30)^C57)</f>
        <v>155.73123766305599</v>
      </c>
      <c r="G57" s="76">
        <f>IF(LEFT(D57,4)*1&gt;LEFT('General inputs'!$I$16,4)+'General inputs'!$H$38-1,"",E57/(1+'General inputs'!$H$32)^C57)</f>
        <v>174.85605574705727</v>
      </c>
      <c r="H57" s="76" t="str">
        <f>IF(LEFT(D57,4)*1&lt;LEFT('General inputs'!$I$16,4)*1,"",IF(LEFT(D57,4)*1&gt;LEFT('General inputs'!$I$16,4)+'General inputs'!$H$38-1,"",E57/(1+'General inputs'!$H$34)^C57))</f>
        <v/>
      </c>
      <c r="J57" s="93"/>
      <c r="K57" s="93"/>
      <c r="L57" s="76">
        <f>IF(LEFT(D57,4)*1&gt;LEFT('General inputs'!$I$18,4)*1,"",SUMIF('Post-1996 commissioned assets'!$F$22:$F$567,$D57,'Post-1996 commissioned assets'!$P$22:$P$567))</f>
        <v>0</v>
      </c>
      <c r="M57" s="76">
        <f>IF(L57="","",L57/(1+'General inputs'!$H$32)^C57)</f>
        <v>0</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c r="B58" s="46"/>
      <c r="C58" s="26">
        <f>IF(D58='General inputs'!$I$16,0,IF(D58&lt;'General inputs'!$I$16,C59-1,C57+1))</f>
        <v>-9</v>
      </c>
      <c r="D58" s="26" t="str">
        <f t="shared" si="1"/>
        <v>2013-14</v>
      </c>
      <c r="E58" s="76">
        <f>IF(LEFT(D58,4)*1&gt;LEFT('General inputs'!$I$16,4)+'General inputs'!$H$38-1,"",'ET inputs'!D30)</f>
        <v>116.77417663762026</v>
      </c>
      <c r="F58" s="76">
        <f>IF(LEFT(D58,4)*1&gt;LEFT('General inputs'!$I$16,4)+'General inputs'!$H$38-1,"",E58/(1+'General inputs'!$H$30)^C58)</f>
        <v>152.36381424050637</v>
      </c>
      <c r="G58" s="76">
        <f>IF(LEFT(D58,4)*1&gt;LEFT('General inputs'!$I$16,4)+'General inputs'!$H$38-1,"",E58/(1+'General inputs'!$H$32)^C58)</f>
        <v>169.10493603251118</v>
      </c>
      <c r="H58" s="76" t="str">
        <f>IF(LEFT(D58,4)*1&lt;LEFT('General inputs'!$I$16,4)*1,"",IF(LEFT(D58,4)*1&gt;LEFT('General inputs'!$I$16,4)+'General inputs'!$H$38-1,"",E58/(1+'General inputs'!$H$34)^C58))</f>
        <v/>
      </c>
      <c r="J58" s="93"/>
      <c r="K58" s="93"/>
      <c r="L58" s="76">
        <f>IF(LEFT(D58,4)*1&gt;LEFT('General inputs'!$I$18,4)*1,"",SUMIF('Post-1996 commissioned assets'!$F$22:$F$567,$D58,'Post-1996 commissioned assets'!$P$22:$P$567))</f>
        <v>1095.4912074007077</v>
      </c>
      <c r="M58" s="76">
        <f>IF(L58="","",L58/(1+'General inputs'!$H$32)^C58)</f>
        <v>1586.4206957892909</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c r="B59" s="46"/>
      <c r="C59" s="26">
        <f>IF(D59='General inputs'!$I$16,0,IF(D59&lt;'General inputs'!$I$16,C60-1,C58+1))</f>
        <v>-8</v>
      </c>
      <c r="D59" s="26" t="str">
        <f t="shared" si="1"/>
        <v>2014-15</v>
      </c>
      <c r="E59" s="76">
        <f>IF(LEFT(D59,4)*1&gt;LEFT('General inputs'!$I$16,4)+'General inputs'!$H$38-1,"",'ET inputs'!D31)</f>
        <v>117.6766074746738</v>
      </c>
      <c r="F59" s="76">
        <f>IF(LEFT(D59,4)*1&gt;LEFT('General inputs'!$I$16,4)+'General inputs'!$H$38-1,"",E59/(1+'General inputs'!$H$30)^C59)</f>
        <v>149.06920562811106</v>
      </c>
      <c r="G59" s="76">
        <f>IF(LEFT(D59,4)*1&gt;LEFT('General inputs'!$I$16,4)+'General inputs'!$H$38-1,"",E59/(1+'General inputs'!$H$32)^C59)</f>
        <v>163.54297406733929</v>
      </c>
      <c r="H59" s="76" t="str">
        <f>IF(LEFT(D59,4)*1&lt;LEFT('General inputs'!$I$16,4)*1,"",IF(LEFT(D59,4)*1&gt;LEFT('General inputs'!$I$16,4)+'General inputs'!$H$38-1,"",E59/(1+'General inputs'!$H$34)^C59))</f>
        <v/>
      </c>
      <c r="J59" s="93"/>
      <c r="K59" s="93"/>
      <c r="L59" s="76">
        <f>IF(LEFT(D59,4)*1&gt;LEFT('General inputs'!$I$18,4)*1,"",SUMIF('Post-1996 commissioned assets'!$F$22:$F$567,$D59,'Post-1996 commissioned assets'!$P$22:$P$567))</f>
        <v>134749.54138870488</v>
      </c>
      <c r="M59" s="76">
        <f>IF(L59="","",L59/(1+'General inputs'!$H$32)^C59)</f>
        <v>187270.36091401317</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c r="B60" s="46"/>
      <c r="C60" s="26">
        <f>IF(D60='General inputs'!$I$16,0,IF(D60&lt;'General inputs'!$I$16,C61-1,C59+1))</f>
        <v>-7</v>
      </c>
      <c r="D60" s="26" t="str">
        <f t="shared" si="1"/>
        <v>2015-16</v>
      </c>
      <c r="E60" s="76">
        <f>IF(LEFT(D60,4)*1&gt;LEFT('General inputs'!$I$16,4)+'General inputs'!$H$38-1,"",'ET inputs'!D32)</f>
        <v>118.58601229723354</v>
      </c>
      <c r="F60" s="76">
        <f>IF(LEFT(D60,4)*1&gt;LEFT('General inputs'!$I$16,4)+'General inputs'!$H$38-1,"",E60/(1+'General inputs'!$H$30)^C60)</f>
        <v>145.84583732931978</v>
      </c>
      <c r="G60" s="76">
        <f>IF(LEFT(D60,4)*1&gt;LEFT('General inputs'!$I$16,4)+'General inputs'!$H$38-1,"",E60/(1+'General inputs'!$H$32)^C60)</f>
        <v>158.16394834061936</v>
      </c>
      <c r="H60" s="76" t="str">
        <f>IF(LEFT(D60,4)*1&lt;LEFT('General inputs'!$I$16,4)*1,"",IF(LEFT(D60,4)*1&gt;LEFT('General inputs'!$I$16,4)+'General inputs'!$H$38-1,"",E60/(1+'General inputs'!$H$34)^C60))</f>
        <v/>
      </c>
      <c r="J60" s="93"/>
      <c r="K60" s="93"/>
      <c r="L60" s="76">
        <f>IF(LEFT(D60,4)*1&gt;LEFT('General inputs'!$I$18,4)*1,"",SUMIF('Post-1996 commissioned assets'!$F$22:$F$567,$D60,'Post-1996 commissioned assets'!$P$22:$P$567))</f>
        <v>2055.7702942178153</v>
      </c>
      <c r="M60" s="76">
        <f>IF(L60="","",L60/(1+'General inputs'!$H$32)^C60)</f>
        <v>2741.8811065158961</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c r="B61" s="46"/>
      <c r="C61" s="26">
        <f>IF(D61='General inputs'!$I$16,0,IF(D61&lt;'General inputs'!$I$16,C62-1,C60+1))</f>
        <v>-6</v>
      </c>
      <c r="D61" s="26" t="str">
        <f t="shared" si="1"/>
        <v>2016-17</v>
      </c>
      <c r="E61" s="76">
        <f>IF(LEFT(D61,4)*1&gt;LEFT('General inputs'!$I$16,4)+'General inputs'!$H$38-1,"",'ET inputs'!D33)</f>
        <v>119.50244500027111</v>
      </c>
      <c r="F61" s="76">
        <f>IF(LEFT(D61,4)*1&gt;LEFT('General inputs'!$I$16,4)+'General inputs'!$H$38-1,"",E61/(1+'General inputs'!$H$30)^C61)</f>
        <v>142.69216889340422</v>
      </c>
      <c r="G61" s="76">
        <f>IF(LEFT(D61,4)*1&gt;LEFT('General inputs'!$I$16,4)+'General inputs'!$H$38-1,"",E61/(1+'General inputs'!$H$32)^C61)</f>
        <v>152.96184197063505</v>
      </c>
      <c r="H61" s="76" t="str">
        <f>IF(LEFT(D61,4)*1&lt;LEFT('General inputs'!$I$16,4)*1,"",IF(LEFT(D61,4)*1&gt;LEFT('General inputs'!$I$16,4)+'General inputs'!$H$38-1,"",E61/(1+'General inputs'!$H$34)^C61))</f>
        <v/>
      </c>
      <c r="J61" s="93"/>
      <c r="K61" s="93"/>
      <c r="L61" s="76">
        <f>IF(LEFT(D61,4)*1&gt;LEFT('General inputs'!$I$18,4)*1,"",SUMIF('Post-1996 commissioned assets'!$F$22:$F$567,$D61,'Post-1996 commissioned assets'!$P$22:$P$567))</f>
        <v>1702.0573740292771</v>
      </c>
      <c r="M61" s="76">
        <f>IF(L61="","",L61/(1+'General inputs'!$H$32)^C61)</f>
        <v>2178.6150992193484</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c r="B62" s="46"/>
      <c r="C62" s="26">
        <f>IF(D62='General inputs'!$I$16,0,IF(D62&lt;'General inputs'!$I$16,C63-1,C61+1))</f>
        <v>-5</v>
      </c>
      <c r="D62" s="26" t="str">
        <f t="shared" si="1"/>
        <v>2017-18</v>
      </c>
      <c r="E62" s="76">
        <f>IF(LEFT(D62,4)*1&gt;LEFT('General inputs'!$I$16,4)+'General inputs'!$H$38-1,"",'ET inputs'!D34)</f>
        <v>120.42595989523397</v>
      </c>
      <c r="F62" s="76">
        <f>IF(LEFT(D62,4)*1&gt;LEFT('General inputs'!$I$16,4)+'General inputs'!$H$38-1,"",E62/(1+'General inputs'!$H$30)^C62)</f>
        <v>139.60669317923626</v>
      </c>
      <c r="G62" s="76">
        <f>IF(LEFT(D62,4)*1&gt;LEFT('General inputs'!$I$16,4)+'General inputs'!$H$38-1,"",E62/(1+'General inputs'!$H$32)^C62)</f>
        <v>147.93083597445784</v>
      </c>
      <c r="H62" s="76" t="str">
        <f>IF(LEFT(D62,4)*1&lt;LEFT('General inputs'!$I$16,4)*1,"",IF(LEFT(D62,4)*1&gt;LEFT('General inputs'!$I$16,4)+'General inputs'!$H$38-1,"",E62/(1+'General inputs'!$H$34)^C62))</f>
        <v/>
      </c>
      <c r="J62" s="93"/>
      <c r="K62" s="93"/>
      <c r="L62" s="76">
        <f>IF(LEFT(D62,4)*1&gt;LEFT('General inputs'!$I$18,4)*1,"",SUMIF('Post-1996 commissioned assets'!$F$22:$F$567,$D62,'Post-1996 commissioned assets'!$P$22:$P$567))</f>
        <v>460.46184495262651</v>
      </c>
      <c r="M62" s="76">
        <f>IF(L62="","",L62/(1+'General inputs'!$H$32)^C62)</f>
        <v>565.62975057406231</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c r="B63" s="46"/>
      <c r="C63" s="26">
        <f>IF(D63='General inputs'!$I$16,0,IF(D63&lt;'General inputs'!$I$16,C64-1,C62+1))</f>
        <v>-4</v>
      </c>
      <c r="D63" s="26" t="str">
        <f t="shared" si="1"/>
        <v>2018-19</v>
      </c>
      <c r="E63" s="76">
        <f>IF(LEFT(D63,4)*1&gt;LEFT('General inputs'!$I$16,4)+'General inputs'!$H$38-1,"",'ET inputs'!D35)</f>
        <v>121.35661171330139</v>
      </c>
      <c r="F63" s="76">
        <f>IF(LEFT(D63,4)*1&gt;LEFT('General inputs'!$I$16,4)+'General inputs'!$H$38-1,"",E63/(1+'General inputs'!$H$30)^C63)</f>
        <v>136.5879356350699</v>
      </c>
      <c r="G63" s="76">
        <f>IF(LEFT(D63,4)*1&gt;LEFT('General inputs'!$I$16,4)+'General inputs'!$H$38-1,"",E63/(1+'General inputs'!$H$32)^C63)</f>
        <v>143.06530275898737</v>
      </c>
      <c r="H63" s="76" t="str">
        <f>IF(LEFT(D63,4)*1&lt;LEFT('General inputs'!$I$16,4)*1,"",IF(LEFT(D63,4)*1&gt;LEFT('General inputs'!$I$16,4)+'General inputs'!$H$38-1,"",E63/(1+'General inputs'!$H$34)^C63))</f>
        <v/>
      </c>
      <c r="J63" s="93"/>
      <c r="K63" s="93"/>
      <c r="L63" s="76">
        <f>IF(LEFT(D63,4)*1&gt;LEFT('General inputs'!$I$18,4)*1,"",SUMIF('Post-1996 commissioned assets'!$F$22:$F$567,$D63,'Post-1996 commissioned assets'!$P$22:$P$567))</f>
        <v>21586.800042476054</v>
      </c>
      <c r="M63" s="76">
        <f>IF(L63="","",L63/(1+'General inputs'!$H$32)^C63)</f>
        <v>25448.321604187138</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c r="B64" s="46"/>
      <c r="C64" s="26">
        <f>IF(D64='General inputs'!$I$16,0,IF(D64&lt;'General inputs'!$I$16,C65-1,C63+1))</f>
        <v>-3</v>
      </c>
      <c r="D64" s="26" t="str">
        <f t="shared" si="1"/>
        <v>2019-20</v>
      </c>
      <c r="E64" s="76">
        <f>IF(LEFT(D64,4)*1&gt;LEFT('General inputs'!$I$16,4)+'General inputs'!$H$38-1,"",'ET inputs'!D36)</f>
        <v>122.29445560862223</v>
      </c>
      <c r="F64" s="76">
        <f>IF(LEFT(D64,4)*1&gt;LEFT('General inputs'!$I$16,4)+'General inputs'!$H$38-1,"",E64/(1+'General inputs'!$H$30)^C64)</f>
        <v>133.63445359384295</v>
      </c>
      <c r="G64" s="76">
        <f>IF(LEFT(D64,4)*1&gt;LEFT('General inputs'!$I$16,4)+'General inputs'!$H$38-1,"",E64/(1+'General inputs'!$H$32)^C64)</f>
        <v>138.35979982601663</v>
      </c>
      <c r="H64" s="76" t="str">
        <f>IF(LEFT(D64,4)*1&lt;LEFT('General inputs'!$I$16,4)*1,"",IF(LEFT(D64,4)*1&gt;LEFT('General inputs'!$I$16,4)+'General inputs'!$H$38-1,"",E64/(1+'General inputs'!$H$34)^C64))</f>
        <v/>
      </c>
      <c r="J64" s="93"/>
      <c r="K64" s="93"/>
      <c r="L64" s="76">
        <f>IF(LEFT(D64,4)*1&gt;LEFT('General inputs'!$I$18,4)*1,"",SUMIF('Post-1996 commissioned assets'!$F$22:$F$567,$D64,'Post-1996 commissioned assets'!$P$22:$P$567))</f>
        <v>14236.142702521869</v>
      </c>
      <c r="M64" s="76">
        <f>IF(L64="","",L64/(1+'General inputs'!$H$32)^C64)</f>
        <v>16106.289077561918</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c r="B65" s="46"/>
      <c r="C65" s="26">
        <f>IF(D65='General inputs'!$I$16,0,IF(D65&lt;'General inputs'!$I$16,C66-1,C64+1))</f>
        <v>-2</v>
      </c>
      <c r="D65" s="26" t="str">
        <f t="shared" si="1"/>
        <v>2020-21</v>
      </c>
      <c r="E65" s="76">
        <f>IF(LEFT(D65,4)*1&gt;LEFT('General inputs'!$I$16,4)+'General inputs'!$H$38-1,"",'ET inputs'!D37)</f>
        <v>123.23954716156732</v>
      </c>
      <c r="F65" s="76">
        <f>IF(LEFT(D65,4)*1&gt;LEFT('General inputs'!$I$16,4)+'General inputs'!$H$38-1,"",E65/(1+'General inputs'!$H$30)^C65)</f>
        <v>130.74483558370676</v>
      </c>
      <c r="G65" s="76">
        <f>IF(LEFT(D65,4)*1&gt;LEFT('General inputs'!$I$16,4)+'General inputs'!$H$38-1,"",E65/(1+'General inputs'!$H$32)^C65)</f>
        <v>133.80906368433199</v>
      </c>
      <c r="H65" s="76" t="str">
        <f>IF(LEFT(D65,4)*1&lt;LEFT('General inputs'!$I$16,4)*1,"",IF(LEFT(D65,4)*1&gt;LEFT('General inputs'!$I$16,4)+'General inputs'!$H$38-1,"",E65/(1+'General inputs'!$H$34)^C65))</f>
        <v/>
      </c>
      <c r="J65" s="93"/>
      <c r="K65" s="93"/>
      <c r="L65" s="76">
        <f>IF(LEFT(D65,4)*1&gt;LEFT('General inputs'!$I$18,4)*1,"",SUMIF('Post-1996 commissioned assets'!$F$22:$F$567,$D65,'Post-1996 commissioned assets'!$P$22:$P$567))</f>
        <v>0</v>
      </c>
      <c r="M65" s="76">
        <f>IF(L65="","",L65/(1+'General inputs'!$H$32)^C65)</f>
        <v>0</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c r="B66" s="46"/>
      <c r="C66" s="26">
        <f>IF(D66='General inputs'!$I$16,0,IF(D66&lt;'General inputs'!$I$16,C67-1,C65+1))</f>
        <v>-1</v>
      </c>
      <c r="D66" s="26" t="str">
        <f t="shared" si="1"/>
        <v>2021-22</v>
      </c>
      <c r="E66" s="76">
        <f>IF(LEFT(D66,4)*1&gt;LEFT('General inputs'!$I$16,4)+'General inputs'!$H$38-1,"",'ET inputs'!D38)</f>
        <v>124.19194238203272</v>
      </c>
      <c r="F66" s="76">
        <f>IF(LEFT(D66,4)*1&gt;LEFT('General inputs'!$I$16,4)+'General inputs'!$H$38-1,"",E66/(1+'General inputs'!$H$30)^C66)</f>
        <v>127.9177006534937</v>
      </c>
      <c r="G66" s="76">
        <f>IF(LEFT(D66,4)*1&gt;LEFT('General inputs'!$I$16,4)+'General inputs'!$H$38-1,"",E66/(1+'General inputs'!$H$32)^C66)</f>
        <v>129.40800396207808</v>
      </c>
      <c r="H66" s="76" t="str">
        <f>IF(LEFT(D66,4)*1&lt;LEFT('General inputs'!$I$16,4)*1,"",IF(LEFT(D66,4)*1&gt;LEFT('General inputs'!$I$16,4)+'General inputs'!$H$38-1,"",E66/(1+'General inputs'!$H$34)^C66))</f>
        <v/>
      </c>
      <c r="J66" s="93"/>
      <c r="K66" s="93"/>
      <c r="L66" s="76">
        <f>IF(LEFT(D66,4)*1&gt;LEFT('General inputs'!$I$18,4)*1,"",SUMIF('Post-1996 commissioned assets'!$F$22:$F$567,$D66,'Post-1996 commissioned assets'!$P$22:$P$567))</f>
        <v>126395.73108381685</v>
      </c>
      <c r="M66" s="76">
        <f>IF(L66="","",L66/(1+'General inputs'!$H$32)^C66)</f>
        <v>131704.35178933715</v>
      </c>
      <c r="N66" s="220">
        <f>IF(LEFT(D66,4)*1&lt;LEFT('General inputs'!$I$18,4)*1,"",SUMIF('Uncommissioned assets'!$F$22:$F$28,$D66,'Uncommissioned assets'!$P$22:$P$28))</f>
        <v>0</v>
      </c>
      <c r="O66" s="220">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c r="B67" s="46"/>
      <c r="C67" s="26">
        <f>IF(D67='General inputs'!$I$16,0,IF(D67&lt;'General inputs'!$I$16,C68-1,C66+1))</f>
        <v>0</v>
      </c>
      <c r="D67" s="26" t="str">
        <f t="shared" si="1"/>
        <v>2022-23</v>
      </c>
      <c r="E67" s="76">
        <f>IF(LEFT(D67,4)*1&gt;LEFT('General inputs'!$I$16,4)+'General inputs'!$H$38-1,"",'ET inputs'!D39)</f>
        <v>125.1516977127576</v>
      </c>
      <c r="F67" s="76">
        <f>IF(LEFT(D67,4)*1&gt;LEFT('General inputs'!$I$16,4)+'General inputs'!$H$38-1,"",E67/(1+'General inputs'!$H$30)^C67)</f>
        <v>125.1516977127576</v>
      </c>
      <c r="G67" s="76">
        <f>IF(LEFT(D67,4)*1&gt;LEFT('General inputs'!$I$16,4)+'General inputs'!$H$38-1,"",E67/(1+'General inputs'!$H$32)^C67)</f>
        <v>125.1516977127576</v>
      </c>
      <c r="H67" s="76">
        <f>IF(LEFT(D67,4)*1&lt;LEFT('General inputs'!$I$16,4)*1,"",IF(LEFT(D67,4)*1&gt;LEFT('General inputs'!$I$16,4)+'General inputs'!$H$38-1,"",E67/(1+'General inputs'!$H$34)^C67))</f>
        <v>125.1516977127576</v>
      </c>
      <c r="J67" s="93"/>
      <c r="K67" s="93"/>
      <c r="L67" s="76" t="str">
        <f>IF(LEFT(D67,4)*1&gt;LEFT('General inputs'!$I$18,4)*1,"",SUMIF('Post-1996 commissioned assets'!$F$128:$F$567,$D67,'Post-1996 commissioned assets'!$P$128:$P$567))</f>
        <v/>
      </c>
      <c r="M67" s="76" t="str">
        <f>IF(L67="","",L67/(1+'General inputs'!$H$32)^C67)</f>
        <v/>
      </c>
      <c r="N67" s="177">
        <f>IF(LEFT(D67,4)*1&lt;LEFT('General inputs'!$I$18,4)*1+1,"",SUMIF('Uncommissioned assets'!$F$22:$F$28,$D67,'Uncommissioned assets'!$P$22:$P$28))</f>
        <v>0</v>
      </c>
      <c r="O67" s="177">
        <f>IF(N67="","",N67/(1+'General inputs'!$H$32)^C67)</f>
        <v>0</v>
      </c>
      <c r="Q67" s="81">
        <f>'Reduction amount'!F40*SUM($E$67:E67)</f>
        <v>59893.847974394397</v>
      </c>
      <c r="R67" s="76">
        <f>IF(OR(LEFT(D67,4)*1&lt;LEFT('General inputs'!$I$16,4)*1,LEFT(D67,4)*1&gt;LEFT('General inputs'!$I$16,4)+'General inputs'!$H$38-1),"",Q67/(1+'General inputs'!$H$34)^C67)</f>
        <v>59893.847974394397</v>
      </c>
      <c r="T67" s="81">
        <f>('Reduction amount'!H40+'Reduction amount'!I40)*SUM($E$67:E67)</f>
        <v>26346.935402489729</v>
      </c>
      <c r="U67" s="76">
        <f>IF(OR(LEFT(D67,4)*1&lt;LEFT('General inputs'!$I$16,4)*1,LEFT(D67,4)*1&gt;LEFT('General inputs'!$I$16,4)+'General inputs'!$H$38-1),"",T67/(1+'General inputs'!$H$34)^C67)</f>
        <v>26346.935402489729</v>
      </c>
      <c r="V67" s="47"/>
      <c r="W67" s="31"/>
      <c r="X67" s="31"/>
    </row>
    <row r="68" spans="2:24">
      <c r="B68" s="46"/>
      <c r="C68" s="26">
        <f>IF(D68='General inputs'!$I$16,0,IF(D68&lt;'General inputs'!$I$16,C69-1,C67+1))</f>
        <v>1</v>
      </c>
      <c r="D68" s="26" t="str">
        <f t="shared" si="1"/>
        <v>2023-24</v>
      </c>
      <c r="E68" s="76">
        <f>IF(LEFT(D68,4)*1&gt;LEFT('General inputs'!$I$16,4)+'General inputs'!$H$38-1,"",'ET inputs'!D40)</f>
        <v>126.11887003268203</v>
      </c>
      <c r="F68" s="76">
        <f>IF(LEFT(D68,4)*1&gt;LEFT('General inputs'!$I$16,4)+'General inputs'!$H$38-1,"",E68/(1+'General inputs'!$H$30)^C68)</f>
        <v>122.44550488609904</v>
      </c>
      <c r="G68" s="76">
        <f>IF(LEFT(D68,4)*1&gt;LEFT('General inputs'!$I$16,4)+'General inputs'!$H$38-1,"",E68/(1+'General inputs'!$H$32)^C68)</f>
        <v>121.03538390852401</v>
      </c>
      <c r="H68" s="76">
        <f>IF(LEFT(D68,4)*1&lt;LEFT('General inputs'!$I$16,4)*1,"",IF(LEFT(D68,4)*1&gt;LEFT('General inputs'!$I$16,4)+'General inputs'!$H$38-1,"",E68/(1+'General inputs'!$H$34)^C68))</f>
        <v>121.03538390852401</v>
      </c>
      <c r="J68" s="93"/>
      <c r="K68" s="93"/>
      <c r="L68" s="76" t="str">
        <f>IF(LEFT(D68,4)*1&gt;LEFT('General inputs'!$I$18,4)*1,"",SUMIF('Post-1996 commissioned assets'!$F$128:$F$567,$D68,'Post-1996 commissioned assets'!$P$128:$P$567))</f>
        <v/>
      </c>
      <c r="M68" s="76" t="str">
        <f>IF(L68="","",L68/(1+'General inputs'!$H$32)^C68)</f>
        <v/>
      </c>
      <c r="N68" s="177">
        <f>IF(LEFT(D68,4)*1&lt;LEFT('General inputs'!$I$18,4)*1+1,"",SUMIF('Uncommissioned assets'!$F$22:$F$28,$D68,'Uncommissioned assets'!$P$22:$P$28))</f>
        <v>0</v>
      </c>
      <c r="O68" s="177">
        <f>IF(N68="","",N68/(1+'General inputs'!$H$32)^C68)</f>
        <v>0</v>
      </c>
      <c r="Q68" s="81">
        <f>'Reduction amount'!F41*SUM($E$67:E68)</f>
        <v>121614.95478879278</v>
      </c>
      <c r="R68" s="76">
        <f>IF(OR(LEFT(D68,4)*1&lt;LEFT('General inputs'!$I$16,4)*1,LEFT(D68,4)*1&gt;LEFT('General inputs'!$I$16,4)+'General inputs'!$H$38-1),"",Q68/(1+'General inputs'!$H$34)^C68)</f>
        <v>116713.008434542</v>
      </c>
      <c r="T68" s="81">
        <f>('Reduction amount'!H41+'Reduction amount'!I41)*SUM($E$67:E68)</f>
        <v>50683.786219932619</v>
      </c>
      <c r="U68" s="76">
        <f>IF(OR(LEFT(D68,4)*1&lt;LEFT('General inputs'!$I$16,4)*1,LEFT(D68,4)*1&gt;LEFT('General inputs'!$I$16,4)+'General inputs'!$H$38-1),"",T68/(1+'General inputs'!$H$34)^C68)</f>
        <v>48640.869692833607</v>
      </c>
      <c r="V68" s="47"/>
      <c r="W68" s="31"/>
      <c r="X68" s="31"/>
    </row>
    <row r="69" spans="2:24">
      <c r="B69" s="46"/>
      <c r="C69" s="26">
        <f>IF(D69='General inputs'!$I$16,0,IF(D69&lt;'General inputs'!$I$16,C70-1,C68+1))</f>
        <v>2</v>
      </c>
      <c r="D69" s="26" t="str">
        <f t="shared" si="1"/>
        <v>2024-25</v>
      </c>
      <c r="E69" s="76">
        <f>IF(LEFT(D69,4)*1&gt;LEFT('General inputs'!$I$16,4)+'General inputs'!$H$38-1,"",'ET inputs'!D41)</f>
        <v>127.09351666029761</v>
      </c>
      <c r="F69" s="76">
        <f>IF(LEFT(D69,4)*1&gt;LEFT('General inputs'!$I$16,4)+'General inputs'!$H$38-1,"",E69/(1+'General inputs'!$H$30)^C69)</f>
        <v>119.79782888141919</v>
      </c>
      <c r="G69" s="76">
        <f>IF(LEFT(D69,4)*1&gt;LEFT('General inputs'!$I$16,4)+'General inputs'!$H$38-1,"",E69/(1+'General inputs'!$H$32)^C69)</f>
        <v>117.05445811456043</v>
      </c>
      <c r="H69" s="76">
        <f>IF(LEFT(D69,4)*1&lt;LEFT('General inputs'!$I$16,4)*1,"",IF(LEFT(D69,4)*1&gt;LEFT('General inputs'!$I$16,4)+'General inputs'!$H$38-1,"",E69/(1+'General inputs'!$H$34)^C69))</f>
        <v>117.05445811456043</v>
      </c>
      <c r="J69" s="93"/>
      <c r="K69" s="93"/>
      <c r="L69" s="76" t="str">
        <f>IF(LEFT(D69,4)*1&gt;LEFT('General inputs'!$I$18,4)*1,"",SUMIF('Post-1996 commissioned assets'!$F$128:$F$567,$D69,'Post-1996 commissioned assets'!$P$128:$P$567))</f>
        <v/>
      </c>
      <c r="M69" s="76" t="str">
        <f>IF(L69="","",L69/(1+'General inputs'!$H$32)^C69)</f>
        <v/>
      </c>
      <c r="N69" s="177">
        <f>IF(LEFT(D69,4)*1&lt;LEFT('General inputs'!$I$18,4)*1+1,"",SUMIF('Uncommissioned assets'!$F$22:$F$28,$D69,'Uncommissioned assets'!$P$22:$P$28))</f>
        <v>0</v>
      </c>
      <c r="O69" s="177">
        <f>IF(N69="","",N69/(1+'General inputs'!$H$32)^C69)</f>
        <v>0</v>
      </c>
      <c r="Q69" s="81">
        <f>'Reduction amount'!F42*SUM($E$67:E69)</f>
        <v>183128.21685237682</v>
      </c>
      <c r="R69" s="76">
        <f>IF(OR(LEFT(D69,4)*1&lt;LEFT('General inputs'!$I$16,4)*1,LEFT(D69,4)*1&gt;LEFT('General inputs'!$I$16,4)+'General inputs'!$H$38-1),"",Q69/(1+'General inputs'!$H$34)^C69)</f>
        <v>168663.00305810175</v>
      </c>
      <c r="T69" s="81">
        <f>('Reduction amount'!H42+'Reduction amount'!I42)*SUM($E$67:E69)</f>
        <v>75877.13348672654</v>
      </c>
      <c r="U69" s="76">
        <f>IF(OR(LEFT(D69,4)*1&lt;LEFT('General inputs'!$I$16,4)*1,LEFT(D69,4)*1&gt;LEFT('General inputs'!$I$16,4)+'General inputs'!$H$38-1),"",T69/(1+'General inputs'!$H$34)^C69)</f>
        <v>69883.633539817616</v>
      </c>
      <c r="V69" s="47"/>
      <c r="W69" s="31"/>
      <c r="X69" s="31"/>
    </row>
    <row r="70" spans="2:24">
      <c r="B70" s="46"/>
      <c r="C70" s="26">
        <f>IF(D70='General inputs'!$I$16,0,IF(D70&lt;'General inputs'!$I$16,C71-1,C69+1))</f>
        <v>3</v>
      </c>
      <c r="D70" s="26" t="str">
        <f t="shared" si="1"/>
        <v>2025-26</v>
      </c>
      <c r="E70" s="76">
        <f>IF(LEFT(D70,4)*1&gt;LEFT('General inputs'!$I$16,4)+'General inputs'!$H$38-1,"",'ET inputs'!D42)</f>
        <v>128.07569535704533</v>
      </c>
      <c r="F70" s="76">
        <f>IF(LEFT(D70,4)*1&gt;LEFT('General inputs'!$I$16,4)+'General inputs'!$H$38-1,"",E70/(1+'General inputs'!$H$30)^C70)</f>
        <v>117.20740437185623</v>
      </c>
      <c r="G70" s="76">
        <f>IF(LEFT(D70,4)*1&gt;LEFT('General inputs'!$I$16,4)+'General inputs'!$H$38-1,"",E70/(1+'General inputs'!$H$32)^C70)</f>
        <v>113.20446733864388</v>
      </c>
      <c r="H70" s="76">
        <f>IF(LEFT(D70,4)*1&lt;LEFT('General inputs'!$I$16,4)*1,"",IF(LEFT(D70,4)*1&gt;LEFT('General inputs'!$I$16,4)+'General inputs'!$H$38-1,"",E70/(1+'General inputs'!$H$34)^C70))</f>
        <v>113.20446733864388</v>
      </c>
      <c r="J70" s="93"/>
      <c r="K70" s="93"/>
      <c r="L70" s="76" t="str">
        <f>IF(LEFT(D70,4)*1&gt;LEFT('General inputs'!$I$18,4)*1,"",SUMIF('Post-1996 commissioned assets'!$F$128:$F$567,$D70,'Post-1996 commissioned assets'!$P$128:$P$567))</f>
        <v/>
      </c>
      <c r="M70" s="76" t="str">
        <f>IF(L70="","",L70/(1+'General inputs'!$H$32)^C70)</f>
        <v/>
      </c>
      <c r="N70" s="177">
        <f>IF(LEFT(D70,4)*1&lt;LEFT('General inputs'!$I$18,4)*1+1,"",SUMIF('Uncommissioned assets'!$F$22:$F$28,$D70,'Uncommissioned assets'!$P$22:$P$28))</f>
        <v>0</v>
      </c>
      <c r="O70" s="177">
        <f>IF(N70="","",N70/(1+'General inputs'!$H$32)^C70)</f>
        <v>0</v>
      </c>
      <c r="Q70" s="81">
        <f>'Reduction amount'!F43*SUM($E$67:E70)</f>
        <v>245116.85340518676</v>
      </c>
      <c r="R70" s="76">
        <f>IF(OR(LEFT(D70,4)*1&lt;LEFT('General inputs'!$I$16,4)*1,LEFT(D70,4)*1&gt;LEFT('General inputs'!$I$16,4)+'General inputs'!$H$38-1),"",Q70/(1+'General inputs'!$H$34)^C70)</f>
        <v>216655.64842808573</v>
      </c>
      <c r="T70" s="81">
        <f>('Reduction amount'!H43+'Reduction amount'!I43)*SUM($E$67:E70)</f>
        <v>103967.02238750162</v>
      </c>
      <c r="U70" s="76">
        <f>IF(OR(LEFT(D70,4)*1&lt;LEFT('General inputs'!$I$16,4)*1,LEFT(D70,4)*1&gt;LEFT('General inputs'!$I$16,4)+'General inputs'!$H$38-1),"",T70/(1+'General inputs'!$H$34)^C70)</f>
        <v>91895.119970664702</v>
      </c>
      <c r="V70" s="47"/>
      <c r="W70" s="31"/>
      <c r="X70" s="31"/>
    </row>
    <row r="71" spans="2:24">
      <c r="B71" s="46"/>
      <c r="C71" s="26">
        <f>IF(D71='General inputs'!$I$16,0,IF(D71&lt;'General inputs'!$I$16,C72-1,C70+1))</f>
        <v>4</v>
      </c>
      <c r="D71" s="26" t="str">
        <f t="shared" si="1"/>
        <v>2026-27</v>
      </c>
      <c r="E71" s="76">
        <f>IF(LEFT(D71,4)*1&gt;LEFT('General inputs'!$I$16,4)+'General inputs'!$H$38-1,"",'ET inputs'!D43)</f>
        <v>129.06546433076801</v>
      </c>
      <c r="F71" s="76">
        <f>IF(LEFT(D71,4)*1&gt;LEFT('General inputs'!$I$16,4)+'General inputs'!$H$38-1,"",E71/(1+'General inputs'!$H$30)^C71)</f>
        <v>114.67299339111172</v>
      </c>
      <c r="G71" s="76">
        <f>IF(LEFT(D71,4)*1&gt;LEFT('General inputs'!$I$16,4)+'General inputs'!$H$38-1,"",E71/(1+'General inputs'!$H$32)^C71)</f>
        <v>109.4811050501343</v>
      </c>
      <c r="H71" s="76">
        <f>IF(LEFT(D71,4)*1&lt;LEFT('General inputs'!$I$16,4)*1,"",IF(LEFT(D71,4)*1&gt;LEFT('General inputs'!$I$16,4)+'General inputs'!$H$38-1,"",E71/(1+'General inputs'!$H$34)^C71))</f>
        <v>109.4811050501343</v>
      </c>
      <c r="J71" s="93"/>
      <c r="K71" s="93"/>
      <c r="L71" s="76" t="str">
        <f>IF(LEFT(D71,4)*1&gt;LEFT('General inputs'!$I$18,4)*1,"",SUMIF('Post-1996 commissioned assets'!$F$128:$F$567,$D71,'Post-1996 commissioned assets'!$P$128:$P$567))</f>
        <v/>
      </c>
      <c r="M71" s="76" t="str">
        <f>IF(L71="","",L71/(1+'General inputs'!$H$32)^C71)</f>
        <v/>
      </c>
      <c r="N71" s="177">
        <f>IF(LEFT(D71,4)*1&lt;LEFT('General inputs'!$I$18,4)*1+1,"",SUMIF('Uncommissioned assets'!$F$22:$F$28,$D71,'Uncommissioned assets'!$P$22:$P$28))</f>
        <v>0</v>
      </c>
      <c r="O71" s="177">
        <f>IF(N71="","",N71/(1+'General inputs'!$H$32)^C71)</f>
        <v>0</v>
      </c>
      <c r="Q71" s="81">
        <f>'Reduction amount'!F44*SUM($E$67:E71)</f>
        <v>307584.53814127849</v>
      </c>
      <c r="R71" s="76">
        <f>IF(OR(LEFT(D71,4)*1&lt;LEFT('General inputs'!$I$16,4)*1,LEFT(D71,4)*1&gt;LEFT('General inputs'!$I$16,4)+'General inputs'!$H$38-1),"",Q71/(1+'General inputs'!$H$34)^C71)</f>
        <v>260911.74201133384</v>
      </c>
      <c r="T71" s="81">
        <f>('Reduction amount'!H44+'Reduction amount'!I44)*SUM($E$67:E71)</f>
        <v>130469.22661240592</v>
      </c>
      <c r="U71" s="76">
        <f>IF(OR(LEFT(D71,4)*1&lt;LEFT('General inputs'!$I$16,4)*1,LEFT(D71,4)*1&gt;LEFT('General inputs'!$I$16,4)+'General inputs'!$H$38-1),"",T71/(1+'General inputs'!$H$34)^C71)</f>
        <v>110671.86081596452</v>
      </c>
      <c r="V71" s="47"/>
      <c r="W71" s="31"/>
      <c r="X71" s="31"/>
    </row>
    <row r="72" spans="2:24">
      <c r="B72" s="46"/>
      <c r="C72" s="26">
        <f>IF(D72='General inputs'!$I$16,0,IF(D72&lt;'General inputs'!$I$16,C73-1,C71+1))</f>
        <v>5</v>
      </c>
      <c r="D72" s="26" t="str">
        <f t="shared" si="1"/>
        <v>2027-28</v>
      </c>
      <c r="E72" s="76">
        <f>IF(LEFT(D72,4)*1&gt;LEFT('General inputs'!$I$16,4)+'General inputs'!$H$38-1,"",'ET inputs'!D44)</f>
        <v>130.06288223911179</v>
      </c>
      <c r="F72" s="76">
        <f>IF(LEFT(D72,4)*1&gt;LEFT('General inputs'!$I$16,4)+'General inputs'!$H$38-1,"",E72/(1+'General inputs'!$H$30)^C72)</f>
        <v>112.1933847417809</v>
      </c>
      <c r="G72" s="76">
        <f>IF(LEFT(D72,4)*1&gt;LEFT('General inputs'!$I$16,4)+'General inputs'!$H$38-1,"",E72/(1+'General inputs'!$H$32)^C72)</f>
        <v>105.88020636272361</v>
      </c>
      <c r="H72" s="76">
        <f>IF(LEFT(D72,4)*1&lt;LEFT('General inputs'!$I$16,4)*1,"",IF(LEFT(D72,4)*1&gt;LEFT('General inputs'!$I$16,4)+'General inputs'!$H$38-1,"",E72/(1+'General inputs'!$H$34)^C72))</f>
        <v>105.88020636272361</v>
      </c>
      <c r="J72" s="93"/>
      <c r="K72" s="93"/>
      <c r="L72" s="76" t="str">
        <f>IF(LEFT(D72,4)*1&gt;LEFT('General inputs'!$I$18,4)*1,"",SUMIF('Post-1996 commissioned assets'!$F$128:$F$567,$D72,'Post-1996 commissioned assets'!$P$128:$P$567))</f>
        <v/>
      </c>
      <c r="M72" s="76" t="str">
        <f>IF(L72="","",L72/(1+'General inputs'!$H$32)^C72)</f>
        <v/>
      </c>
      <c r="N72" s="177">
        <f>IF(LEFT(D72,4)*1&lt;LEFT('General inputs'!$I$18,4)*1+1,"",SUMIF('Uncommissioned assets'!$F$22:$F$28,$D72,'Uncommissioned assets'!$P$22:$P$28))</f>
        <v>0</v>
      </c>
      <c r="O72" s="177">
        <f>IF(N72="","",N72/(1+'General inputs'!$H$32)^C72)</f>
        <v>0</v>
      </c>
      <c r="Q72" s="81">
        <f>'Reduction amount'!F45*SUM($E$67:E72)</f>
        <v>370534.97314500855</v>
      </c>
      <c r="R72" s="76">
        <f>IF(OR(LEFT(D72,4)*1&lt;LEFT('General inputs'!$I$16,4)*1,LEFT(D72,4)*1&gt;LEFT('General inputs'!$I$16,4)+'General inputs'!$H$38-1),"",Q72/(1+'General inputs'!$H$34)^C72)</f>
        <v>301641.16576375574</v>
      </c>
      <c r="T72" s="81">
        <f>('Reduction amount'!H45+'Reduction amount'!I45)*SUM($E$67:E72)</f>
        <v>165630.66413207148</v>
      </c>
      <c r="U72" s="76">
        <f>IF(OR(LEFT(D72,4)*1&lt;LEFT('General inputs'!$I$16,4)*1,LEFT(D72,4)*1&gt;LEFT('General inputs'!$I$16,4)+'General inputs'!$H$38-1),"",T72/(1+'General inputs'!$H$34)^C72)</f>
        <v>134834.84754749702</v>
      </c>
      <c r="V72" s="47"/>
      <c r="W72" s="31"/>
      <c r="X72" s="31"/>
    </row>
    <row r="73" spans="2:24">
      <c r="B73" s="46"/>
      <c r="C73" s="26">
        <f>IF(D73='General inputs'!$I$16,0,IF(D73&lt;'General inputs'!$I$16,C74-1,C72+1))</f>
        <v>6</v>
      </c>
      <c r="D73" s="26" t="str">
        <f t="shared" si="1"/>
        <v>2028-29</v>
      </c>
      <c r="E73" s="76">
        <f>IF(LEFT(D73,4)*1&gt;LEFT('General inputs'!$I$16,4)+'General inputs'!$H$38-1,"",'ET inputs'!D45)</f>
        <v>131.06800819306227</v>
      </c>
      <c r="F73" s="76">
        <f>IF(LEFT(D73,4)*1&gt;LEFT('General inputs'!$I$16,4)+'General inputs'!$H$38-1,"",E73/(1+'General inputs'!$H$30)^C73)</f>
        <v>109.76739341657388</v>
      </c>
      <c r="G73" s="76">
        <f>IF(LEFT(D73,4)*1&gt;LEFT('General inputs'!$I$16,4)+'General inputs'!$H$38-1,"",E73/(1+'General inputs'!$H$32)^C73)</f>
        <v>102.39774337571988</v>
      </c>
      <c r="H73" s="76">
        <f>IF(LEFT(D73,4)*1&lt;LEFT('General inputs'!$I$16,4)*1,"",IF(LEFT(D73,4)*1&gt;LEFT('General inputs'!$I$16,4)+'General inputs'!$H$38-1,"",E73/(1+'General inputs'!$H$34)^C73))</f>
        <v>102.39774337571988</v>
      </c>
      <c r="J73" s="93"/>
      <c r="K73" s="93"/>
      <c r="L73" s="76" t="str">
        <f>IF(LEFT(D73,4)*1&gt;LEFT('General inputs'!$I$18,4)*1,"",SUMIF('Post-1996 commissioned assets'!$F$128:$F$567,$D73,'Post-1996 commissioned assets'!$P$128:$P$567))</f>
        <v/>
      </c>
      <c r="M73" s="76" t="str">
        <f>IF(L73="","",L73/(1+'General inputs'!$H$32)^C73)</f>
        <v/>
      </c>
      <c r="N73" s="177">
        <f>IF(LEFT(D73,4)*1&lt;LEFT('General inputs'!$I$18,4)*1+1,"",SUMIF('Uncommissioned assets'!$F$22:$F$28,$D73,'Uncommissioned assets'!$P$22:$P$28))</f>
        <v>0</v>
      </c>
      <c r="O73" s="177">
        <f>IF(N73="","",N73/(1+'General inputs'!$H$32)^C73)</f>
        <v>0</v>
      </c>
      <c r="Q73" s="81">
        <f>'Reduction amount'!F46*SUM($E$67:E73)</f>
        <v>433971.88911045075</v>
      </c>
      <c r="R73" s="76">
        <f>IF(OR(LEFT(D73,4)*1&lt;LEFT('General inputs'!$I$16,4)*1,LEFT(D73,4)*1&gt;LEFT('General inputs'!$I$16,4)+'General inputs'!$H$38-1),"",Q73/(1+'General inputs'!$H$34)^C73)</f>
        <v>339043.39240397868</v>
      </c>
      <c r="T73" s="81">
        <f>('Reduction amount'!H46+'Reduction amount'!I46)*SUM($E$67:E73)</f>
        <v>192427.08083056574</v>
      </c>
      <c r="U73" s="76">
        <f>IF(OR(LEFT(D73,4)*1&lt;LEFT('General inputs'!$I$16,4)*1,LEFT(D73,4)*1&gt;LEFT('General inputs'!$I$16,4)+'General inputs'!$H$38-1),"",T73/(1+'General inputs'!$H$34)^C73)</f>
        <v>150334.92240458232</v>
      </c>
      <c r="V73" s="47"/>
      <c r="W73" s="31"/>
      <c r="X73" s="31"/>
    </row>
    <row r="74" spans="2:24">
      <c r="B74" s="46"/>
      <c r="C74" s="26">
        <f>IF(D74='General inputs'!$I$16,0,IF(D74&lt;'General inputs'!$I$16,C75-1,C73+1))</f>
        <v>7</v>
      </c>
      <c r="D74" s="26" t="str">
        <f t="shared" si="1"/>
        <v>2029-30</v>
      </c>
      <c r="E74" s="76">
        <f>IF(LEFT(D74,4)*1&gt;LEFT('General inputs'!$I$16,4)+'General inputs'!$H$38-1,"",'ET inputs'!D46)</f>
        <v>132.08090176037149</v>
      </c>
      <c r="F74" s="76">
        <f>IF(LEFT(D74,4)*1&gt;LEFT('General inputs'!$I$16,4)+'General inputs'!$H$38-1,"",E74/(1+'General inputs'!$H$30)^C74)</f>
        <v>107.39386003193349</v>
      </c>
      <c r="G74" s="76">
        <f>IF(LEFT(D74,4)*1&gt;LEFT('General inputs'!$I$16,4)+'General inputs'!$H$38-1,"",E74/(1+'General inputs'!$H$32)^C74)</f>
        <v>99.029820668447371</v>
      </c>
      <c r="H74" s="76">
        <f>IF(LEFT(D74,4)*1&lt;LEFT('General inputs'!$I$16,4)*1,"",IF(LEFT(D74,4)*1&gt;LEFT('General inputs'!$I$16,4)+'General inputs'!$H$38-1,"",E74/(1+'General inputs'!$H$34)^C74))</f>
        <v>99.029820668447371</v>
      </c>
      <c r="J74" s="93"/>
      <c r="K74" s="93"/>
      <c r="L74" s="76" t="str">
        <f>IF(LEFT(D74,4)*1&gt;LEFT('General inputs'!$I$18,4)*1,"",SUMIF('Post-1996 commissioned assets'!$F$128:$F$567,$D74,'Post-1996 commissioned assets'!$P$128:$P$567))</f>
        <v/>
      </c>
      <c r="M74" s="76" t="str">
        <f>IF(L74="","",L74/(1+'General inputs'!$H$32)^C74)</f>
        <v/>
      </c>
      <c r="N74" s="177">
        <f>IF(LEFT(D74,4)*1&lt;LEFT('General inputs'!$I$18,4)*1+1,"",SUMIF('Uncommissioned assets'!$F$22:$F$28,$D74,'Uncommissioned assets'!$P$22:$P$28))</f>
        <v>0</v>
      </c>
      <c r="O74" s="177">
        <f>IF(N74="","",N74/(1+'General inputs'!$H$32)^C74)</f>
        <v>0</v>
      </c>
      <c r="Q74" s="81">
        <f>'Reduction amount'!F47*SUM($E$67:E74)</f>
        <v>497899.04556247051</v>
      </c>
      <c r="R74" s="76">
        <f>IF(OR(LEFT(D74,4)*1&lt;LEFT('General inputs'!$I$16,4)*1,LEFT(D74,4)*1&gt;LEFT('General inputs'!$I$16,4)+'General inputs'!$H$38-1),"",Q74/(1+'General inputs'!$H$34)^C74)</f>
        <v>373307.96909986122</v>
      </c>
      <c r="T74" s="81">
        <f>('Reduction amount'!H47+'Reduction amount'!I47)*SUM($E$67:E74)</f>
        <v>222398.33607469112</v>
      </c>
      <c r="U74" s="76">
        <f>IF(OR(LEFT(D74,4)*1&lt;LEFT('General inputs'!$I$16,4)*1,LEFT(D74,4)*1&gt;LEFT('General inputs'!$I$16,4)+'General inputs'!$H$38-1),"",T74/(1+'General inputs'!$H$34)^C74)</f>
        <v>166746.79718946075</v>
      </c>
      <c r="V74" s="47"/>
      <c r="W74" s="31"/>
      <c r="X74" s="31"/>
    </row>
    <row r="75" spans="2:24">
      <c r="B75" s="46"/>
      <c r="C75" s="26">
        <f>IF(D75='General inputs'!$I$16,0,IF(D75&lt;'General inputs'!$I$16,C76-1,C74+1))</f>
        <v>8</v>
      </c>
      <c r="D75" s="26" t="str">
        <f t="shared" si="1"/>
        <v>2030-31</v>
      </c>
      <c r="E75" s="76">
        <f>IF(LEFT(D75,4)*1&gt;LEFT('General inputs'!$I$16,4)+'General inputs'!$H$38-1,"",'ET inputs'!D47)</f>
        <v>133.1016229691777</v>
      </c>
      <c r="F75" s="76">
        <f>IF(LEFT(D75,4)*1&gt;LEFT('General inputs'!$I$16,4)+'General inputs'!$H$38-1,"",E75/(1+'General inputs'!$H$30)^C75)</f>
        <v>105.07165027404073</v>
      </c>
      <c r="G75" s="76">
        <f>IF(LEFT(D75,4)*1&gt;LEFT('General inputs'!$I$16,4)+'General inputs'!$H$38-1,"",E75/(1+'General inputs'!$H$32)^C75)</f>
        <v>95.772670942969938</v>
      </c>
      <c r="H75" s="76">
        <f>IF(LEFT(D75,4)*1&lt;LEFT('General inputs'!$I$16,4)*1,"",IF(LEFT(D75,4)*1&gt;LEFT('General inputs'!$I$16,4)+'General inputs'!$H$38-1,"",E75/(1+'General inputs'!$H$34)^C75))</f>
        <v>95.772670942969938</v>
      </c>
      <c r="J75" s="93"/>
      <c r="K75" s="93"/>
      <c r="L75" s="76" t="str">
        <f>IF(LEFT(D75,4)*1&gt;LEFT('General inputs'!$I$18,4)*1,"",SUMIF('Post-1996 commissioned assets'!$F$128:$F$567,$D75,'Post-1996 commissioned assets'!$P$128:$P$567))</f>
        <v/>
      </c>
      <c r="M75" s="76" t="str">
        <f>IF(L75="","",L75/(1+'General inputs'!$H$32)^C75)</f>
        <v/>
      </c>
      <c r="N75" s="177">
        <f>IF(LEFT(D75,4)*1&lt;LEFT('General inputs'!$I$18,4)*1+1,"",SUMIF('Uncommissioned assets'!$F$22:$F$28,$D75,'Uncommissioned assets'!$P$22:$P$28))</f>
        <v>0</v>
      </c>
      <c r="O75" s="177">
        <f>IF(N75="","",N75/(1+'General inputs'!$H$32)^C75)</f>
        <v>0</v>
      </c>
      <c r="Q75" s="81">
        <f>'Reduction amount'!F48*SUM($E$67:E75)</f>
        <v>562320.23107955256</v>
      </c>
      <c r="R75" s="76">
        <f>IF(OR(LEFT(D75,4)*1&lt;LEFT('General inputs'!$I$16,4)*1,LEFT(D75,4)*1&gt;LEFT('General inputs'!$I$16,4)+'General inputs'!$H$38-1),"",Q75/(1+'General inputs'!$H$34)^C75)</f>
        <v>404614.97955008381</v>
      </c>
      <c r="T75" s="81">
        <f>('Reduction amount'!H48+'Reduction amount'!I48)*SUM($E$67:E75)</f>
        <v>250662.37573432532</v>
      </c>
      <c r="U75" s="76">
        <f>IF(OR(LEFT(D75,4)*1&lt;LEFT('General inputs'!$I$16,4)*1,LEFT(D75,4)*1&gt;LEFT('General inputs'!$I$16,4)+'General inputs'!$H$38-1),"",T75/(1+'General inputs'!$H$34)^C75)</f>
        <v>180362.97900398879</v>
      </c>
      <c r="V75" s="47"/>
      <c r="W75" s="31"/>
      <c r="X75" s="31"/>
    </row>
    <row r="76" spans="2:24">
      <c r="B76" s="46"/>
      <c r="C76" s="26">
        <f>IF(D76='General inputs'!$I$16,0,IF(D76&lt;'General inputs'!$I$16,C77-1,C75+1))</f>
        <v>9</v>
      </c>
      <c r="D76" s="26" t="str">
        <f t="shared" si="1"/>
        <v>2031-32</v>
      </c>
      <c r="E76" s="76">
        <f>IF(LEFT(D76,4)*1&gt;LEFT('General inputs'!$I$16,4)+'General inputs'!$H$38-1,"",'ET inputs'!D48)</f>
        <v>134.13023231148327</v>
      </c>
      <c r="F76" s="76">
        <f>IF(LEFT(D76,4)*1&gt;LEFT('General inputs'!$I$16,4)+'General inputs'!$H$38-1,"",E76/(1+'General inputs'!$H$30)^C76)</f>
        <v>102.79965435665858</v>
      </c>
      <c r="G76" s="76">
        <f>IF(LEFT(D76,4)*1&gt;LEFT('General inputs'!$I$16,4)+'General inputs'!$H$38-1,"",E76/(1+'General inputs'!$H$32)^C76)</f>
        <v>92.622650809997154</v>
      </c>
      <c r="H76" s="76">
        <f>IF(LEFT(D76,4)*1&lt;LEFT('General inputs'!$I$16,4)*1,"",IF(LEFT(D76,4)*1&gt;LEFT('General inputs'!$I$16,4)+'General inputs'!$H$38-1,"",E76/(1+'General inputs'!$H$34)^C76))</f>
        <v>92.622650809997154</v>
      </c>
      <c r="J76" s="93"/>
      <c r="K76" s="93"/>
      <c r="L76" s="76" t="str">
        <f>IF(LEFT(D76,4)*1&gt;LEFT('General inputs'!$I$18,4)*1,"",SUMIF('Post-1996 commissioned assets'!$F$128:$F$567,$D76,'Post-1996 commissioned assets'!$P$128:$P$567))</f>
        <v/>
      </c>
      <c r="M76" s="76" t="str">
        <f>IF(L76="","",L76/(1+'General inputs'!$H$32)^C76)</f>
        <v/>
      </c>
      <c r="N76" s="177">
        <f>IF(LEFT(D76,4)*1&lt;LEFT('General inputs'!$I$18,4)*1+1,"",SUMIF('Uncommissioned assets'!$F$22:$F$28,$D76,'Uncommissioned assets'!$P$22:$P$28))</f>
        <v>0</v>
      </c>
      <c r="O76" s="177">
        <f>IF(N76="","",N76/(1+'General inputs'!$H$32)^C76)</f>
        <v>0</v>
      </c>
      <c r="Q76" s="81">
        <f>'Reduction amount'!F49*SUM($E$67:E76)</f>
        <v>627239.26351831038</v>
      </c>
      <c r="R76" s="76">
        <f>IF(OR(LEFT(D76,4)*1&lt;LEFT('General inputs'!$I$16,4)*1,LEFT(D76,4)*1&gt;LEFT('General inputs'!$I$16,4)+'General inputs'!$H$38-1),"",Q76/(1+'General inputs'!$H$34)^C76)</f>
        <v>433135.48540094821</v>
      </c>
      <c r="T76" s="81">
        <f>('Reduction amount'!H49+'Reduction amount'!I49)*SUM($E$67:E76)</f>
        <v>279147.39124347945</v>
      </c>
      <c r="U76" s="76">
        <f>IF(OR(LEFT(D76,4)*1&lt;LEFT('General inputs'!$I$16,4)*1,LEFT(D76,4)*1&gt;LEFT('General inputs'!$I$16,4)+'General inputs'!$H$38-1),"",T76/(1+'General inputs'!$H$34)^C76)</f>
        <v>192763.18916397571</v>
      </c>
      <c r="V76" s="47"/>
      <c r="W76" s="31"/>
      <c r="X76" s="31"/>
    </row>
    <row r="77" spans="2:24">
      <c r="B77" s="46"/>
      <c r="C77" s="26">
        <f>IF(D77='General inputs'!$I$16,0,IF(D77&lt;'General inputs'!$I$16,C78-1,C76+1))</f>
        <v>10</v>
      </c>
      <c r="D77" s="26" t="str">
        <f t="shared" si="1"/>
        <v>2032-33</v>
      </c>
      <c r="E77" s="76">
        <f>IF(LEFT(D77,4)*1&gt;LEFT('General inputs'!$I$16,4)+'General inputs'!$H$38-1,"",'ET inputs'!D49)</f>
        <v>135.16679074679269</v>
      </c>
      <c r="F77" s="76">
        <f>IF(LEFT(D77,4)*1&gt;LEFT('General inputs'!$I$16,4)+'General inputs'!$H$38-1,"",E77/(1+'General inputs'!$H$30)^C77)</f>
        <v>100.57678649080742</v>
      </c>
      <c r="G77" s="76">
        <f>IF(LEFT(D77,4)*1&gt;LEFT('General inputs'!$I$16,4)+'General inputs'!$H$38-1,"",E77/(1+'General inputs'!$H$32)^C77)</f>
        <v>89.576236713494367</v>
      </c>
      <c r="H77" s="76">
        <f>IF(LEFT(D77,4)*1&lt;LEFT('General inputs'!$I$16,4)*1,"",IF(LEFT(D77,4)*1&gt;LEFT('General inputs'!$I$16,4)+'General inputs'!$H$38-1,"",E77/(1+'General inputs'!$H$34)^C77))</f>
        <v>89.576236713494367</v>
      </c>
      <c r="J77" s="93"/>
      <c r="K77" s="93"/>
      <c r="L77" s="76" t="str">
        <f>IF(LEFT(D77,4)*1&gt;LEFT('General inputs'!$I$18,4)*1,"",SUMIF('Post-1996 commissioned assets'!$F$128:$F$567,$D77,'Post-1996 commissioned assets'!$P$128:$P$567))</f>
        <v/>
      </c>
      <c r="M77" s="76" t="str">
        <f>IF(L77="","",L77/(1+'General inputs'!$H$32)^C77)</f>
        <v/>
      </c>
      <c r="N77" s="177">
        <f>IF(LEFT(D77,4)*1&lt;LEFT('General inputs'!$I$18,4)*1+1,"",SUMIF('Uncommissioned assets'!$F$22:$F$28,$D77,'Uncommissioned assets'!$P$22:$P$28))</f>
        <v>0</v>
      </c>
      <c r="O77" s="177">
        <f>IF(N77="","",N77/(1+'General inputs'!$H$32)^C77)</f>
        <v>0</v>
      </c>
      <c r="Q77" s="81">
        <f>'Reduction amount'!F50*SUM($E$67:E77)</f>
        <v>692659.99023975804</v>
      </c>
      <c r="R77" s="76">
        <f>IF(OR(LEFT(D77,4)*1&lt;LEFT('General inputs'!$I$16,4)*1,LEFT(D77,4)*1&gt;LEFT('General inputs'!$I$16,4)+'General inputs'!$H$38-1),"",Q77/(1+'General inputs'!$H$34)^C77)</f>
        <v>459031.94789845619</v>
      </c>
      <c r="T77" s="81">
        <f>('Reduction amount'!H50+'Reduction amount'!I50)*SUM($E$67:E77)</f>
        <v>307389.33740412735</v>
      </c>
      <c r="U77" s="76">
        <f>IF(OR(LEFT(D77,4)*1&lt;LEFT('General inputs'!$I$16,4)*1,LEFT(D77,4)*1&gt;LEFT('General inputs'!$I$16,4)+'General inputs'!$H$38-1),"",T77/(1+'General inputs'!$H$34)^C77)</f>
        <v>203709.65307667232</v>
      </c>
      <c r="V77" s="47"/>
      <c r="W77" s="31"/>
      <c r="X77" s="31"/>
    </row>
    <row r="78" spans="2:24">
      <c r="B78" s="46"/>
      <c r="C78" s="26">
        <f>IF(D78='General inputs'!$I$16,0,IF(D78&lt;'General inputs'!$I$16,C79-1,C77+1))</f>
        <v>11</v>
      </c>
      <c r="D78" s="26" t="str">
        <f t="shared" si="1"/>
        <v>2033-34</v>
      </c>
      <c r="E78" s="76">
        <f>IF(LEFT(D78,4)*1&gt;LEFT('General inputs'!$I$16,4)+'General inputs'!$H$38-1,"",'ET inputs'!D50)</f>
        <v>136.21135970567411</v>
      </c>
      <c r="F78" s="76">
        <f>IF(LEFT(D78,4)*1&gt;LEFT('General inputs'!$I$16,4)+'General inputs'!$H$38-1,"",E78/(1+'General inputs'!$H$30)^C78)</f>
        <v>98.401984365826308</v>
      </c>
      <c r="G78" s="76">
        <f>IF(LEFT(D78,4)*1&gt;LEFT('General inputs'!$I$16,4)+'General inputs'!$H$38-1,"",E78/(1+'General inputs'!$H$32)^C78)</f>
        <v>86.630020989260814</v>
      </c>
      <c r="H78" s="76">
        <f>IF(LEFT(D78,4)*1&lt;LEFT('General inputs'!$I$16,4)*1,"",IF(LEFT(D78,4)*1&gt;LEFT('General inputs'!$I$16,4)+'General inputs'!$H$38-1,"",E78/(1+'General inputs'!$H$34)^C78))</f>
        <v>86.630020989260814</v>
      </c>
      <c r="J78" s="93"/>
      <c r="K78" s="93"/>
      <c r="L78" s="76" t="str">
        <f>IF(LEFT(D78,4)*1&gt;LEFT('General inputs'!$I$18,4)*1,"",SUMIF('Post-1996 commissioned assets'!$F$128:$F$567,$D78,'Post-1996 commissioned assets'!$P$128:$P$567))</f>
        <v/>
      </c>
      <c r="M78" s="76" t="str">
        <f>IF(L78="","",L78/(1+'General inputs'!$H$32)^C78)</f>
        <v/>
      </c>
      <c r="N78" s="177">
        <f>IF(LEFT(D78,4)*1&lt;LEFT('General inputs'!$I$18,4)*1+1,"",SUMIF('Uncommissioned assets'!$F$22:$F$28,$D78,'Uncommissioned assets'!$P$22:$P$28))</f>
        <v>0</v>
      </c>
      <c r="O78" s="177">
        <f>IF(N78="","",N78/(1+'General inputs'!$H$32)^C78)</f>
        <v>0</v>
      </c>
      <c r="Q78" s="81">
        <f>'Reduction amount'!F51*SUM($E$67:E78)</f>
        <v>758586.28833730437</v>
      </c>
      <c r="R78" s="76">
        <f>IF(OR(LEFT(D78,4)*1&lt;LEFT('General inputs'!$I$16,4)*1,LEFT(D78,4)*1&gt;LEFT('General inputs'!$I$16,4)+'General inputs'!$H$38-1),"",Q78/(1+'General inputs'!$H$34)^C78)</f>
        <v>482458.63063716708</v>
      </c>
      <c r="T78" s="81">
        <f>('Reduction amount'!H51+'Reduction amount'!I51)*SUM($E$67:E78)</f>
        <v>336097.61089060234</v>
      </c>
      <c r="U78" s="76">
        <f>IF(OR(LEFT(D78,4)*1&lt;LEFT('General inputs'!$I$16,4)*1,LEFT(D78,4)*1&gt;LEFT('General inputs'!$I$16,4)+'General inputs'!$H$38-1),"",T78/(1+'General inputs'!$H$34)^C78)</f>
        <v>213757.08420213658</v>
      </c>
      <c r="V78" s="47"/>
      <c r="W78" s="31"/>
      <c r="X78" s="31"/>
    </row>
    <row r="79" spans="2:24">
      <c r="B79" s="46"/>
      <c r="C79" s="26">
        <f>IF(D79='General inputs'!$I$16,0,IF(D79&lt;'General inputs'!$I$16,C80-1,C78+1))</f>
        <v>12</v>
      </c>
      <c r="D79" s="26" t="str">
        <f t="shared" si="1"/>
        <v>2034-35</v>
      </c>
      <c r="E79" s="76">
        <f>IF(LEFT(D79,4)*1&gt;LEFT('General inputs'!$I$16,4)+'General inputs'!$H$38-1,"",'ET inputs'!D51)</f>
        <v>137.26400109348469</v>
      </c>
      <c r="F79" s="76">
        <f>IF(LEFT(D79,4)*1&gt;LEFT('General inputs'!$I$16,4)+'General inputs'!$H$38-1,"",E79/(1+'General inputs'!$H$30)^C79)</f>
        <v>96.274208641756445</v>
      </c>
      <c r="G79" s="76">
        <f>IF(LEFT(D79,4)*1&gt;LEFT('General inputs'!$I$16,4)+'General inputs'!$H$38-1,"",E79/(1+'General inputs'!$H$32)^C79)</f>
        <v>83.780708053233269</v>
      </c>
      <c r="H79" s="76">
        <f>IF(LEFT(D79,4)*1&lt;LEFT('General inputs'!$I$16,4)*1,"",IF(LEFT(D79,4)*1&gt;LEFT('General inputs'!$I$16,4)+'General inputs'!$H$38-1,"",E79/(1+'General inputs'!$H$34)^C79))</f>
        <v>83.780708053233269</v>
      </c>
      <c r="J79" s="93"/>
      <c r="K79" s="93"/>
      <c r="L79" s="76" t="str">
        <f>IF(LEFT(D79,4)*1&gt;LEFT('General inputs'!$I$18,4)*1,"",SUMIF('Post-1996 commissioned assets'!$F$128:$F$567,$D79,'Post-1996 commissioned assets'!$P$128:$P$567))</f>
        <v/>
      </c>
      <c r="M79" s="76" t="str">
        <f>IF(L79="","",L79/(1+'General inputs'!$H$32)^C79)</f>
        <v/>
      </c>
      <c r="N79" s="177">
        <f>IF(LEFT(D79,4)*1&lt;LEFT('General inputs'!$I$18,4)*1+1,"",SUMIF('Uncommissioned assets'!$F$22:$F$28,$D79,'Uncommissioned assets'!$P$22:$P$28))</f>
        <v>0</v>
      </c>
      <c r="O79" s="177">
        <f>IF(N79="","",N79/(1+'General inputs'!$H$32)^C79)</f>
        <v>0</v>
      </c>
      <c r="Q79" s="81">
        <f>'Reduction amount'!F52*SUM($E$67:E79)</f>
        <v>825022.06486655097</v>
      </c>
      <c r="R79" s="76">
        <f>IF(OR(LEFT(D79,4)*1&lt;LEFT('General inputs'!$I$16,4)*1,LEFT(D79,4)*1&gt;LEFT('General inputs'!$I$16,4)+'General inputs'!$H$38-1),"",Q79/(1+'General inputs'!$H$34)^C79)</f>
        <v>503561.98423055478</v>
      </c>
      <c r="T79" s="81">
        <f>('Reduction amount'!H52+'Reduction amount'!I52)*SUM($E$67:E79)</f>
        <v>364952.9423304309</v>
      </c>
      <c r="U79" s="76">
        <f>IF(OR(LEFT(D79,4)*1&lt;LEFT('General inputs'!$I$16,4)*1,LEFT(D79,4)*1&gt;LEFT('General inputs'!$I$16,4)+'General inputs'!$H$38-1),"",T79/(1+'General inputs'!$H$34)^C79)</f>
        <v>222753.34880942514</v>
      </c>
      <c r="V79" s="47"/>
      <c r="W79" s="31"/>
      <c r="X79" s="31"/>
    </row>
    <row r="80" spans="2:24">
      <c r="B80" s="46"/>
      <c r="C80" s="26">
        <f>IF(D80='General inputs'!$I$16,0,IF(D80&lt;'General inputs'!$I$16,C81-1,C79+1))</f>
        <v>13</v>
      </c>
      <c r="D80" s="26" t="str">
        <f t="shared" si="1"/>
        <v>2035-36</v>
      </c>
      <c r="E80" s="76">
        <f>IF(LEFT(D80,4)*1&gt;LEFT('General inputs'!$I$16,4)+'General inputs'!$H$38-1,"",'ET inputs'!D52)</f>
        <v>138.32477729393213</v>
      </c>
      <c r="F80" s="76">
        <f>IF(LEFT(D80,4)*1&gt;LEFT('General inputs'!$I$16,4)+'General inputs'!$H$38-1,"",E80/(1+'General inputs'!$H$30)^C80)</f>
        <v>94.192442452560996</v>
      </c>
      <c r="G80" s="76">
        <f>IF(LEFT(D80,4)*1&gt;LEFT('General inputs'!$I$16,4)+'General inputs'!$H$38-1,"",E80/(1+'General inputs'!$H$32)^C80)</f>
        <v>81.025110715035325</v>
      </c>
      <c r="H80" s="76">
        <f>IF(LEFT(D80,4)*1&lt;LEFT('General inputs'!$I$16,4)*1,"",IF(LEFT(D80,4)*1&gt;LEFT('General inputs'!$I$16,4)+'General inputs'!$H$38-1,"",E80/(1+'General inputs'!$H$34)^C80))</f>
        <v>81.025110715035325</v>
      </c>
      <c r="J80" s="93"/>
      <c r="K80" s="93"/>
      <c r="L80" s="76" t="str">
        <f>IF(LEFT(D80,4)*1&gt;LEFT('General inputs'!$I$18,4)*1,"",SUMIF('Post-1996 commissioned assets'!$F$128:$F$567,$D80,'Post-1996 commissioned assets'!$P$128:$P$567))</f>
        <v/>
      </c>
      <c r="M80" s="76" t="str">
        <f>IF(L80="","",L80/(1+'General inputs'!$H$32)^C80)</f>
        <v/>
      </c>
      <c r="N80" s="177">
        <f>IF(LEFT(D80,4)*1&lt;LEFT('General inputs'!$I$18,4)*1+1,"",SUMIF('Uncommissioned assets'!$F$22:$F$28,$D80,'Uncommissioned assets'!$P$22:$P$28))</f>
        <v>0</v>
      </c>
      <c r="O80" s="177">
        <f>IF(N80="","",N80/(1+'General inputs'!$H$32)^C80)</f>
        <v>0</v>
      </c>
      <c r="Q80" s="81">
        <f>'Reduction amount'!F53*SUM($E$67:E80)</f>
        <v>891971.25707681407</v>
      </c>
      <c r="R80" s="76">
        <f>IF(OR(LEFT(D80,4)*1&lt;LEFT('General inputs'!$I$16,4)*1,LEFT(D80,4)*1&gt;LEFT('General inputs'!$I$16,4)+'General inputs'!$H$38-1),"",Q80/(1+'General inputs'!$H$34)^C80)</f>
        <v>522481.01369217568</v>
      </c>
      <c r="T80" s="81">
        <f>('Reduction amount'!H53+'Reduction amount'!I53)*SUM($E$67:E80)</f>
        <v>393480.95681502187</v>
      </c>
      <c r="U80" s="76">
        <f>IF(OR(LEFT(D80,4)*1&lt;LEFT('General inputs'!$I$16,4)*1,LEFT(D80,4)*1&gt;LEFT('General inputs'!$I$16,4)+'General inputs'!$H$38-1),"",T80/(1+'General inputs'!$H$34)^C80)</f>
        <v>230485.37444920751</v>
      </c>
      <c r="V80" s="47"/>
      <c r="W80" s="31"/>
      <c r="X80" s="31"/>
    </row>
    <row r="81" spans="2:24">
      <c r="B81" s="46"/>
      <c r="C81" s="26">
        <f>IF(D81='General inputs'!$I$16,0,IF(D81&lt;'General inputs'!$I$16,C82-1,C80+1))</f>
        <v>14</v>
      </c>
      <c r="D81" s="26" t="str">
        <f t="shared" si="1"/>
        <v>2036-37</v>
      </c>
      <c r="E81" s="76">
        <f>IF(LEFT(D81,4)*1&gt;LEFT('General inputs'!$I$16,4)+'General inputs'!$H$38-1,"",'ET inputs'!D53)</f>
        <v>139.39375117286545</v>
      </c>
      <c r="F81" s="76">
        <f>IF(LEFT(D81,4)*1&gt;LEFT('General inputs'!$I$16,4)+'General inputs'!$H$38-1,"",E81/(1+'General inputs'!$H$30)^C81)</f>
        <v>92.155690920231393</v>
      </c>
      <c r="G81" s="76">
        <f>IF(LEFT(D81,4)*1&gt;LEFT('General inputs'!$I$16,4)+'General inputs'!$H$38-1,"",E81/(1+'General inputs'!$H$32)^C81)</f>
        <v>78.360146612902611</v>
      </c>
      <c r="H81" s="76">
        <f>IF(LEFT(D81,4)*1&lt;LEFT('General inputs'!$I$16,4)*1,"",IF(LEFT(D81,4)*1&gt;LEFT('General inputs'!$I$16,4)+'General inputs'!$H$38-1,"",E81/(1+'General inputs'!$H$34)^C81))</f>
        <v>78.360146612902611</v>
      </c>
      <c r="J81" s="93"/>
      <c r="K81" s="93"/>
      <c r="L81" s="76" t="str">
        <f>IF(LEFT(D81,4)*1&gt;LEFT('General inputs'!$I$18,4)*1,"",SUMIF('Post-1996 commissioned assets'!$F$128:$F$567,$D81,'Post-1996 commissioned assets'!$P$128:$P$567))</f>
        <v/>
      </c>
      <c r="M81" s="76" t="str">
        <f>IF(L81="","",L81/(1+'General inputs'!$H$32)^C81)</f>
        <v/>
      </c>
      <c r="N81" s="177">
        <f>IF(LEFT(D81,4)*1&lt;LEFT('General inputs'!$I$18,4)*1+1,"",SUMIF('Uncommissioned assets'!$F$22:$F$28,$D81,'Uncommissioned assets'!$P$22:$P$28))</f>
        <v>0</v>
      </c>
      <c r="O81" s="177">
        <f>IF(N81="","",N81/(1+'General inputs'!$H$32)^C81)</f>
        <v>0</v>
      </c>
      <c r="Q81" s="81">
        <f>'Reduction amount'!F54*SUM($E$67:E81)</f>
        <v>959437.83264448098</v>
      </c>
      <c r="R81" s="76">
        <f>IF(OR(LEFT(D81,4)*1&lt;LEFT('General inputs'!$I$16,4)*1,LEFT(D81,4)*1&gt;LEFT('General inputs'!$I$16,4)+'General inputs'!$H$38-1),"",Q81/(1+'General inputs'!$H$34)^C81)</f>
        <v>539347.62928327022</v>
      </c>
      <c r="T81" s="81">
        <f>('Reduction amount'!H54+'Reduction amount'!I54)*SUM($E$67:E81)</f>
        <v>422568.93137360329</v>
      </c>
      <c r="U81" s="76">
        <f>IF(OR(LEFT(D81,4)*1&lt;LEFT('General inputs'!$I$16,4)*1,LEFT(D81,4)*1&gt;LEFT('General inputs'!$I$16,4)+'General inputs'!$H$38-1),"",T81/(1+'General inputs'!$H$34)^C81)</f>
        <v>237546.97135188989</v>
      </c>
      <c r="V81" s="47"/>
      <c r="W81" s="31"/>
      <c r="X81" s="31"/>
    </row>
    <row r="82" spans="2:24">
      <c r="B82" s="46"/>
      <c r="C82" s="26">
        <f>IF(D82='General inputs'!$I$16,0,IF(D82&lt;'General inputs'!$I$16,C83-1,C81+1))</f>
        <v>15</v>
      </c>
      <c r="D82" s="26" t="str">
        <f t="shared" si="1"/>
        <v>2037-38</v>
      </c>
      <c r="E82" s="76">
        <f>IF(LEFT(D82,4)*1&gt;LEFT('General inputs'!$I$16,4)+'General inputs'!$H$38-1,"",'ET inputs'!D54)</f>
        <v>140.47098608192755</v>
      </c>
      <c r="F82" s="76">
        <f>IF(LEFT(D82,4)*1&gt;LEFT('General inputs'!$I$16,4)+'General inputs'!$H$38-1,"",E82/(1+'General inputs'!$H$30)^C82)</f>
        <v>90.162980679283237</v>
      </c>
      <c r="G82" s="76">
        <f>IF(LEFT(D82,4)*1&gt;LEFT('General inputs'!$I$16,4)+'General inputs'!$H$38-1,"",E82/(1+'General inputs'!$H$32)^C82)</f>
        <v>75.782834765764008</v>
      </c>
      <c r="H82" s="76">
        <f>IF(LEFT(D82,4)*1&lt;LEFT('General inputs'!$I$16,4)*1,"",IF(LEFT(D82,4)*1&gt;LEFT('General inputs'!$I$16,4)+'General inputs'!$H$38-1,"",E82/(1+'General inputs'!$H$34)^C82))</f>
        <v>75.782834765764008</v>
      </c>
      <c r="J82" s="93"/>
      <c r="K82" s="93"/>
      <c r="L82" s="76" t="str">
        <f>IF(LEFT(D82,4)*1&gt;LEFT('General inputs'!$I$18,4)*1,"",SUMIF('Post-1996 commissioned assets'!$F$128:$F$567,$D82,'Post-1996 commissioned assets'!$P$128:$P$567))</f>
        <v/>
      </c>
      <c r="M82" s="76" t="str">
        <f>IF(L82="","",L82/(1+'General inputs'!$H$32)^C82)</f>
        <v/>
      </c>
      <c r="N82" s="177">
        <f>IF(LEFT(D82,4)*1&lt;LEFT('General inputs'!$I$18,4)*1+1,"",SUMIF('Uncommissioned assets'!$F$22:$F$28,$D82,'Uncommissioned assets'!$P$22:$P$28))</f>
        <v>0</v>
      </c>
      <c r="O82" s="177">
        <f>IF(N82="","",N82/(1+'General inputs'!$H$32)^C82)</f>
        <v>0</v>
      </c>
      <c r="Q82" s="81">
        <f>'Reduction amount'!F55*SUM($E$67:E82)</f>
        <v>1027425.7899081339</v>
      </c>
      <c r="R82" s="76">
        <f>IF(OR(LEFT(D82,4)*1&lt;LEFT('General inputs'!$I$16,4)*1,LEFT(D82,4)*1&gt;LEFT('General inputs'!$I$16,4)+'General inputs'!$H$38-1),"",Q82/(1+'General inputs'!$H$34)^C82)</f>
        <v>554286.98154992168</v>
      </c>
      <c r="T82" s="81">
        <f>('Reduction amount'!H55+'Reduction amount'!I55)*SUM($E$67:E82)</f>
        <v>451812.61389265949</v>
      </c>
      <c r="U82" s="76">
        <f>IF(OR(LEFT(D82,4)*1&lt;LEFT('General inputs'!$I$16,4)*1,LEFT(D82,4)*1&gt;LEFT('General inputs'!$I$16,4)+'General inputs'!$H$38-1),"",T82/(1+'General inputs'!$H$34)^C82)</f>
        <v>243748.84535761431</v>
      </c>
      <c r="V82" s="47"/>
      <c r="W82" s="31"/>
      <c r="X82" s="31"/>
    </row>
    <row r="83" spans="2:24">
      <c r="B83" s="46"/>
      <c r="C83" s="26">
        <f>IF(D83='General inputs'!$I$16,0,IF(D83&lt;'General inputs'!$I$16,C84-1,C82+1))</f>
        <v>16</v>
      </c>
      <c r="D83" s="26" t="str">
        <f t="shared" si="1"/>
        <v>2038-39</v>
      </c>
      <c r="E83" s="76">
        <f>IF(LEFT(D83,4)*1&gt;LEFT('General inputs'!$I$16,4)+'General inputs'!$H$38-1,"",'ET inputs'!D55)</f>
        <v>141.55654586236778</v>
      </c>
      <c r="F83" s="76">
        <f>IF(LEFT(D83,4)*1&gt;LEFT('General inputs'!$I$16,4)+'General inputs'!$H$38-1,"",E83/(1+'General inputs'!$H$30)^C83)</f>
        <v>88.213359411623472</v>
      </c>
      <c r="G83" s="76">
        <f>IF(LEFT(D83,4)*1&gt;LEFT('General inputs'!$I$16,4)+'General inputs'!$H$38-1,"",E83/(1+'General inputs'!$H$32)^C83)</f>
        <v>73.290292238803588</v>
      </c>
      <c r="H83" s="76">
        <f>IF(LEFT(D83,4)*1&lt;LEFT('General inputs'!$I$16,4)*1,"",IF(LEFT(D83,4)*1&gt;LEFT('General inputs'!$I$16,4)+'General inputs'!$H$38-1,"",E83/(1+'General inputs'!$H$34)^C83))</f>
        <v>73.290292238803588</v>
      </c>
      <c r="J83" s="93"/>
      <c r="K83" s="93"/>
      <c r="L83" s="76" t="str">
        <f>IF(LEFT(D83,4)*1&gt;LEFT('General inputs'!$I$18,4)*1,"",SUMIF('Post-1996 commissioned assets'!$F$128:$F$567,$D83,'Post-1996 commissioned assets'!$P$128:$P$567))</f>
        <v/>
      </c>
      <c r="M83" s="76" t="str">
        <f>IF(L83="","",L83/(1+'General inputs'!$H$32)^C83)</f>
        <v/>
      </c>
      <c r="N83" s="177">
        <f>IF(LEFT(D83,4)*1&lt;LEFT('General inputs'!$I$18,4)*1+1,"",SUMIF('Uncommissioned assets'!$F$22:$F$28,$D83,'Uncommissioned assets'!$P$22:$P$28))</f>
        <v>0</v>
      </c>
      <c r="O83" s="177">
        <f>IF(N83="","",N83/(1+'General inputs'!$H$32)^C83)</f>
        <v>0</v>
      </c>
      <c r="Q83" s="81">
        <f>'Reduction amount'!F56*SUM($E$67:E83)</f>
        <v>1095939.1581055198</v>
      </c>
      <c r="R83" s="76">
        <f>IF(OR(LEFT(D83,4)*1&lt;LEFT('General inputs'!$I$16,4)*1,LEFT(D83,4)*1&gt;LEFT('General inputs'!$I$16,4)+'General inputs'!$H$38-1),"",Q83/(1+'General inputs'!$H$34)^C83)</f>
        <v>567417.78124197025</v>
      </c>
      <c r="T83" s="81">
        <f>('Reduction amount'!H56+'Reduction amount'!I56)*SUM($E$67:E83)</f>
        <v>478997.87087942497</v>
      </c>
      <c r="U83" s="76">
        <f>IF(OR(LEFT(D83,4)*1&lt;LEFT('General inputs'!$I$16,4)*1,LEFT(D83,4)*1&gt;LEFT('General inputs'!$I$16,4)+'General inputs'!$H$38-1),"",T83/(1+'General inputs'!$H$34)^C83)</f>
        <v>247999.08562794709</v>
      </c>
      <c r="V83" s="47"/>
      <c r="W83" s="31"/>
      <c r="X83" s="31"/>
    </row>
    <row r="84" spans="2:24">
      <c r="B84" s="46"/>
      <c r="C84" s="26">
        <f>IF(D84='General inputs'!$I$16,0,IF(D84&lt;'General inputs'!$I$16,C85-1,C83+1))</f>
        <v>17</v>
      </c>
      <c r="D84" s="26" t="str">
        <f t="shared" si="1"/>
        <v>2039-40</v>
      </c>
      <c r="E84" s="76">
        <f>IF(LEFT(D84,4)*1&gt;LEFT('General inputs'!$I$16,4)+'General inputs'!$H$38-1,"",'ET inputs'!D56)</f>
        <v>142.65049484878909</v>
      </c>
      <c r="F84" s="76">
        <f>IF(LEFT(D84,4)*1&gt;LEFT('General inputs'!$I$16,4)+'General inputs'!$H$38-1,"",E84/(1+'General inputs'!$H$30)^C84)</f>
        <v>86.305895391412221</v>
      </c>
      <c r="G84" s="76">
        <f>IF(LEFT(D84,4)*1&gt;LEFT('General inputs'!$I$16,4)+'General inputs'!$H$38-1,"",E84/(1+'General inputs'!$H$32)^C84)</f>
        <v>70.879730918640576</v>
      </c>
      <c r="H84" s="76">
        <f>IF(LEFT(D84,4)*1&lt;LEFT('General inputs'!$I$16,4)*1,"",IF(LEFT(D84,4)*1&gt;LEFT('General inputs'!$I$16,4)+'General inputs'!$H$38-1,"",E84/(1+'General inputs'!$H$34)^C84))</f>
        <v>70.879730918640576</v>
      </c>
      <c r="J84" s="93"/>
      <c r="K84" s="93"/>
      <c r="L84" s="76" t="str">
        <f>IF(LEFT(D84,4)*1&gt;LEFT('General inputs'!$I$18,4)*1,"",SUMIF('Post-1996 commissioned assets'!$F$128:$F$567,$D84,'Post-1996 commissioned assets'!$P$128:$P$567))</f>
        <v/>
      </c>
      <c r="M84" s="76" t="str">
        <f>IF(L84="","",L84/(1+'General inputs'!$H$32)^C84)</f>
        <v/>
      </c>
      <c r="N84" s="177">
        <f>IF(LEFT(D84,4)*1&lt;LEFT('General inputs'!$I$18,4)*1+1,"",SUMIF('Uncommissioned assets'!$F$22:$F$28,$D84,'Uncommissioned assets'!$P$22:$P$28))</f>
        <v>0</v>
      </c>
      <c r="O84" s="177">
        <f>IF(N84="","",N84/(1+'General inputs'!$H$32)^C84)</f>
        <v>0</v>
      </c>
      <c r="Q84" s="81">
        <f>'Reduction amount'!F57*SUM($E$67:E84)</f>
        <v>1164981.9976123339</v>
      </c>
      <c r="R84" s="76">
        <f>IF(OR(LEFT(D84,4)*1&lt;LEFT('General inputs'!$I$16,4)*1,LEFT(D84,4)*1&gt;LEFT('General inputs'!$I$16,4)+'General inputs'!$H$38-1),"",Q84/(1+'General inputs'!$H$34)^C84)</f>
        <v>578852.6047761098</v>
      </c>
      <c r="T84" s="81">
        <f>('Reduction amount'!H57+'Reduction amount'!I57)*SUM($E$67:E84)</f>
        <v>508427.9904042423</v>
      </c>
      <c r="U84" s="76">
        <f>IF(OR(LEFT(D84,4)*1&lt;LEFT('General inputs'!$I$16,4)*1,LEFT(D84,4)*1&gt;LEFT('General inputs'!$I$16,4)+'General inputs'!$H$38-1),"",T84/(1+'General inputs'!$H$34)^C84)</f>
        <v>252626.10683235058</v>
      </c>
      <c r="V84" s="47"/>
      <c r="W84" s="31"/>
      <c r="X84" s="31"/>
    </row>
    <row r="85" spans="2:24">
      <c r="B85" s="46"/>
      <c r="C85" s="26">
        <f>IF(D85='General inputs'!$I$16,0,IF(D85&lt;'General inputs'!$I$16,C86-1,C84+1))</f>
        <v>18</v>
      </c>
      <c r="D85" s="26" t="str">
        <f t="shared" si="1"/>
        <v>2040-41</v>
      </c>
      <c r="E85" s="76">
        <f>IF(LEFT(D85,4)*1&gt;LEFT('General inputs'!$I$16,4)+'General inputs'!$H$38-1,"",'ET inputs'!D57)</f>
        <v>143.75289787298607</v>
      </c>
      <c r="F85" s="76">
        <f>IF(LEFT(D85,4)*1&gt;LEFT('General inputs'!$I$16,4)+'General inputs'!$H$38-1,"",E85/(1+'General inputs'!$H$30)^C85)</f>
        <v>84.439677039806213</v>
      </c>
      <c r="G85" s="76">
        <f>IF(LEFT(D85,4)*1&gt;LEFT('General inputs'!$I$16,4)+'General inputs'!$H$38-1,"",E85/(1+'General inputs'!$H$32)^C85)</f>
        <v>68.548454394608981</v>
      </c>
      <c r="H85" s="76">
        <f>IF(LEFT(D85,4)*1&lt;LEFT('General inputs'!$I$16,4)*1,"",IF(LEFT(D85,4)*1&gt;LEFT('General inputs'!$I$16,4)+'General inputs'!$H$38-1,"",E85/(1+'General inputs'!$H$34)^C85))</f>
        <v>68.548454394608981</v>
      </c>
      <c r="J85" s="93"/>
      <c r="K85" s="93"/>
      <c r="L85" s="76" t="str">
        <f>IF(LEFT(D85,4)*1&gt;LEFT('General inputs'!$I$18,4)*1,"",SUMIF('Post-1996 commissioned assets'!$F$128:$F$567,$D85,'Post-1996 commissioned assets'!$P$128:$P$567))</f>
        <v/>
      </c>
      <c r="M85" s="76" t="str">
        <f>IF(L85="","",L85/(1+'General inputs'!$H$32)^C85)</f>
        <v/>
      </c>
      <c r="N85" s="177">
        <f>IF(LEFT(D85,4)*1&lt;LEFT('General inputs'!$I$18,4)*1+1,"",SUMIF('Uncommissioned assets'!$F$22:$F$28,$D85,'Uncommissioned assets'!$P$22:$P$28))</f>
        <v>0</v>
      </c>
      <c r="O85" s="177">
        <f>IF(N85="","",N85/(1+'General inputs'!$H$32)^C85)</f>
        <v>0</v>
      </c>
      <c r="Q85" s="81">
        <f>'Reduction amount'!F58*SUM($E$67:E85)</f>
        <v>1234558.400182859</v>
      </c>
      <c r="R85" s="76">
        <f>IF(OR(LEFT(D85,4)*1&lt;LEFT('General inputs'!$I$16,4)*1,LEFT(D85,4)*1&gt;LEFT('General inputs'!$I$16,4)+'General inputs'!$H$38-1),"",Q85/(1+'General inputs'!$H$34)^C85)</f>
        <v>588698.18587719195</v>
      </c>
      <c r="T85" s="81">
        <f>('Reduction amount'!H58+'Reduction amount'!I58)*SUM($E$67:E85)</f>
        <v>537976.67806315457</v>
      </c>
      <c r="U85" s="76">
        <f>IF(OR(LEFT(D85,4)*1&lt;LEFT('General inputs'!$I$16,4)*1,LEFT(D85,4)*1&gt;LEFT('General inputs'!$I$16,4)+'General inputs'!$H$38-1),"",T85/(1+'General inputs'!$H$34)^C85)</f>
        <v>256533.74872594743</v>
      </c>
      <c r="V85" s="47"/>
      <c r="W85" s="31"/>
      <c r="X85" s="31"/>
    </row>
    <row r="86" spans="2:24">
      <c r="B86" s="46"/>
      <c r="C86" s="26">
        <f>IF(D86='General inputs'!$I$16,0,IF(D86&lt;'General inputs'!$I$16,C87-1,C85+1))</f>
        <v>19</v>
      </c>
      <c r="D86" s="26" t="str">
        <f t="shared" si="1"/>
        <v>2041-42</v>
      </c>
      <c r="E86" s="76">
        <f>IF(LEFT(D86,4)*1&gt;LEFT('General inputs'!$I$16,4)+'General inputs'!$H$38-1,"",'ET inputs'!D58)</f>
        <v>144.86382026773936</v>
      </c>
      <c r="F86" s="76">
        <f>IF(LEFT(D86,4)*1&gt;LEFT('General inputs'!$I$16,4)+'General inputs'!$H$38-1,"",E86/(1+'General inputs'!$H$30)^C86)</f>
        <v>82.613812489285891</v>
      </c>
      <c r="G86" s="76">
        <f>IF(LEFT(D86,4)*1&gt;LEFT('General inputs'!$I$16,4)+'General inputs'!$H$38-1,"",E86/(1+'General inputs'!$H$32)^C86)</f>
        <v>66.29385494257788</v>
      </c>
      <c r="H86" s="76">
        <f>IF(LEFT(D86,4)*1&lt;LEFT('General inputs'!$I$16,4)*1,"",IF(LEFT(D86,4)*1&gt;LEFT('General inputs'!$I$16,4)+'General inputs'!$H$38-1,"",E86/(1+'General inputs'!$H$34)^C86))</f>
        <v>66.29385494257788</v>
      </c>
      <c r="J86" s="93"/>
      <c r="K86" s="93"/>
      <c r="L86" s="76" t="str">
        <f>IF(LEFT(D86,4)*1&gt;LEFT('General inputs'!$I$18,4)*1,"",SUMIF('Post-1996 commissioned assets'!$F$128:$F$567,$D86,'Post-1996 commissioned assets'!$P$128:$P$567))</f>
        <v/>
      </c>
      <c r="M86" s="76" t="str">
        <f>IF(L86="","",L86/(1+'General inputs'!$H$32)^C86)</f>
        <v/>
      </c>
      <c r="N86" s="177">
        <f>IF(LEFT(D86,4)*1&lt;LEFT('General inputs'!$I$18,4)*1+1,"",SUMIF('Uncommissioned assets'!$F$22:$F$28,$D86,'Uncommissioned assets'!$P$22:$P$28))</f>
        <v>0</v>
      </c>
      <c r="O86" s="177">
        <f>IF(N86="","",N86/(1+'General inputs'!$H$32)^C86)</f>
        <v>0</v>
      </c>
      <c r="Q86" s="81">
        <f>'Reduction amount'!F59*SUM($E$67:E86)</f>
        <v>1304672.4891924448</v>
      </c>
      <c r="R86" s="76">
        <f>IF(OR(LEFT(D86,4)*1&lt;LEFT('General inputs'!$I$16,4)*1,LEFT(D86,4)*1&gt;LEFT('General inputs'!$I$16,4)+'General inputs'!$H$38-1),"",Q86/(1+'General inputs'!$H$34)^C86)</f>
        <v>597055.69400448399</v>
      </c>
      <c r="T86" s="81">
        <f>('Reduction amount'!H59+'Reduction amount'!I59)*SUM($E$67:E86)</f>
        <v>567694.26905770437</v>
      </c>
      <c r="U86" s="76">
        <f>IF(OR(LEFT(D86,4)*1&lt;LEFT('General inputs'!$I$16,4)*1,LEFT(D86,4)*1&gt;LEFT('General inputs'!$I$16,4)+'General inputs'!$H$38-1),"",T86/(1+'General inputs'!$H$34)^C86)</f>
        <v>259793.24206062881</v>
      </c>
      <c r="V86" s="47"/>
      <c r="W86" s="31"/>
      <c r="X86" s="31"/>
    </row>
    <row r="87" spans="2:24">
      <c r="B87" s="46"/>
      <c r="C87" s="26">
        <f>IF(D87='General inputs'!$I$16,0,IF(D87&lt;'General inputs'!$I$16,C88-1,C86+1))</f>
        <v>20</v>
      </c>
      <c r="D87" s="26" t="str">
        <f t="shared" si="1"/>
        <v>2042-43</v>
      </c>
      <c r="E87" s="76">
        <f>IF(LEFT(D87,4)*1&gt;LEFT('General inputs'!$I$16,4)+'General inputs'!$H$38-1,"",'ET inputs'!D59)</f>
        <v>145.98332787077743</v>
      </c>
      <c r="F87" s="76">
        <f>IF(LEFT(D87,4)*1&gt;LEFT('General inputs'!$I$16,4)+'General inputs'!$H$38-1,"",E87/(1+'General inputs'!$H$30)^C87)</f>
        <v>80.827429157483706</v>
      </c>
      <c r="G87" s="76">
        <f>IF(LEFT(D87,4)*1&gt;LEFT('General inputs'!$I$16,4)+'General inputs'!$H$38-1,"",E87/(1+'General inputs'!$H$32)^C87)</f>
        <v>64.113410608040525</v>
      </c>
      <c r="H87" s="76">
        <f>IF(LEFT(D87,4)*1&lt;LEFT('General inputs'!$I$16,4)*1,"",IF(LEFT(D87,4)*1&gt;LEFT('General inputs'!$I$16,4)+'General inputs'!$H$38-1,"",E87/(1+'General inputs'!$H$34)^C87))</f>
        <v>64.113410608040525</v>
      </c>
      <c r="J87" s="93"/>
      <c r="K87" s="93"/>
      <c r="L87" s="76" t="str">
        <f>IF(LEFT(D87,4)*1&gt;LEFT('General inputs'!$I$18,4)*1,"",SUMIF('Post-1996 commissioned assets'!$F$128:$F$567,$D87,'Post-1996 commissioned assets'!$P$128:$P$567))</f>
        <v/>
      </c>
      <c r="M87" s="76" t="str">
        <f>IF(L87="","",L87/(1+'General inputs'!$H$32)^C87)</f>
        <v/>
      </c>
      <c r="N87" s="177">
        <f>IF(LEFT(D87,4)*1&lt;LEFT('General inputs'!$I$18,4)*1+1,"",SUMIF('Uncommissioned assets'!$F$22:$F$28,$D87,'Uncommissioned assets'!$P$22:$P$28))</f>
        <v>0</v>
      </c>
      <c r="O87" s="177">
        <f>IF(N87="","",N87/(1+'General inputs'!$H$32)^C87)</f>
        <v>0</v>
      </c>
      <c r="Q87" s="81">
        <f>'Reduction amount'!F60*SUM($E$67:E87)</f>
        <v>1375328.4198819012</v>
      </c>
      <c r="R87" s="76">
        <f>IF(OR(LEFT(D87,4)*1&lt;LEFT('General inputs'!$I$16,4)*1,LEFT(D87,4)*1&gt;LEFT('General inputs'!$I$16,4)+'General inputs'!$H$38-1),"",Q87/(1+'General inputs'!$H$34)^C87)</f>
        <v>604021.00014358526</v>
      </c>
      <c r="T87" s="81">
        <f>('Reduction amount'!H60+'Reduction amount'!I60)*SUM($E$67:E87)</f>
        <v>597585.88161397481</v>
      </c>
      <c r="U87" s="76">
        <f>IF(OR(LEFT(D87,4)*1&lt;LEFT('General inputs'!$I$16,4)*1,LEFT(D87,4)*1&gt;LEFT('General inputs'!$I$16,4)+'General inputs'!$H$38-1),"",T87/(1+'General inputs'!$H$34)^C87)</f>
        <v>262449.62051693379</v>
      </c>
      <c r="V87" s="47"/>
      <c r="W87" s="31"/>
      <c r="X87" s="31"/>
    </row>
    <row r="88" spans="2:24">
      <c r="B88" s="46"/>
      <c r="C88" s="26">
        <f>IF(D88='General inputs'!$I$16,0,IF(D88&lt;'General inputs'!$I$16,C89-1,C87+1))</f>
        <v>21</v>
      </c>
      <c r="D88" s="26" t="str">
        <f t="shared" si="1"/>
        <v>2043-44</v>
      </c>
      <c r="E88" s="76">
        <f>IF(LEFT(D88,4)*1&gt;LEFT('General inputs'!$I$16,4)+'General inputs'!$H$38-1,"",'ET inputs'!D60)</f>
        <v>147.11148702855644</v>
      </c>
      <c r="F88" s="76">
        <f>IF(LEFT(D88,4)*1&gt;LEFT('General inputs'!$I$16,4)+'General inputs'!$H$38-1,"",E88/(1+'General inputs'!$H$30)^C88)</f>
        <v>79.079673330106047</v>
      </c>
      <c r="G88" s="76">
        <f>IF(LEFT(D88,4)*1&gt;LEFT('General inputs'!$I$16,4)+'General inputs'!$H$38-1,"",E88/(1+'General inputs'!$H$32)^C88)</f>
        <v>62.004682385044795</v>
      </c>
      <c r="H88" s="76">
        <f>IF(LEFT(D88,4)*1&lt;LEFT('General inputs'!$I$16,4)*1,"",IF(LEFT(D88,4)*1&gt;LEFT('General inputs'!$I$16,4)+'General inputs'!$H$38-1,"",E88/(1+'General inputs'!$H$34)^C88))</f>
        <v>62.004682385044795</v>
      </c>
      <c r="J88" s="93"/>
      <c r="K88" s="93"/>
      <c r="L88" s="76" t="str">
        <f>IF(LEFT(D88,4)*1&gt;LEFT('General inputs'!$I$18,4)*1,"",SUMIF('Post-1996 commissioned assets'!$F$128:$F$567,$D88,'Post-1996 commissioned assets'!$P$128:$P$567))</f>
        <v/>
      </c>
      <c r="M88" s="76" t="str">
        <f>IF(L88="","",L88/(1+'General inputs'!$H$32)^C88)</f>
        <v/>
      </c>
      <c r="N88" s="177">
        <f>IF(LEFT(D88,4)*1&lt;LEFT('General inputs'!$I$18,4)*1+1,"",SUMIF('Uncommissioned assets'!$F$22:$F$28,$D88,'Uncommissioned assets'!$P$22:$P$28))</f>
        <v>0</v>
      </c>
      <c r="O88" s="177">
        <f>IF(N88="","",N88/(1+'General inputs'!$H$32)^C88)</f>
        <v>0</v>
      </c>
      <c r="Q88" s="81">
        <f>'Reduction amount'!F61*SUM($E$67:E88)</f>
        <v>1446530.3796037226</v>
      </c>
      <c r="R88" s="76">
        <f>IF(OR(LEFT(D88,4)*1&lt;LEFT('General inputs'!$I$16,4)*1,LEFT(D88,4)*1&gt;LEFT('General inputs'!$I$16,4)+'General inputs'!$H$38-1),"",Q88/(1+'General inputs'!$H$34)^C88)</f>
        <v>609684.9305196451</v>
      </c>
      <c r="T88" s="81">
        <f>('Reduction amount'!H61+'Reduction amount'!I61)*SUM($E$67:E88)</f>
        <v>627596.93060534226</v>
      </c>
      <c r="U88" s="76">
        <f>IF(OR(LEFT(D88,4)*1&lt;LEFT('General inputs'!$I$16,4)*1,LEFT(D88,4)*1&gt;LEFT('General inputs'!$I$16,4)+'General inputs'!$H$38-1),"",T88/(1+'General inputs'!$H$34)^C88)</f>
        <v>264520.12099136412</v>
      </c>
      <c r="V88" s="47"/>
      <c r="W88" s="31"/>
      <c r="X88" s="31"/>
    </row>
    <row r="89" spans="2:24">
      <c r="B89" s="46"/>
      <c r="C89" s="26">
        <f>IF(D89='General inputs'!$I$16,0,IF(D89&lt;'General inputs'!$I$16,C90-1,C88+1))</f>
        <v>22</v>
      </c>
      <c r="D89" s="26" t="str">
        <f t="shared" si="1"/>
        <v>2044-45</v>
      </c>
      <c r="E89" s="76">
        <f>IF(LEFT(D89,4)*1&gt;LEFT('General inputs'!$I$16,4)+'General inputs'!$H$38-1,"",'ET inputs'!D61)</f>
        <v>148.2483646003202</v>
      </c>
      <c r="F89" s="76">
        <f>IF(LEFT(D89,4)*1&gt;LEFT('General inputs'!$I$16,4)+'General inputs'!$H$38-1,"",E89/(1+'General inputs'!$H$30)^C89)</f>
        <v>77.369709753014476</v>
      </c>
      <c r="G89" s="76">
        <f>IF(LEFT(D89,4)*1&gt;LEFT('General inputs'!$I$16,4)+'General inputs'!$H$38-1,"",E89/(1+'General inputs'!$H$32)^C89)</f>
        <v>59.965311488022451</v>
      </c>
      <c r="H89" s="76">
        <f>IF(LEFT(D89,4)*1&lt;LEFT('General inputs'!$I$16,4)*1,"",IF(LEFT(D89,4)*1&gt;LEFT('General inputs'!$I$16,4)+'General inputs'!$H$38-1,"",E89/(1+'General inputs'!$H$34)^C89))</f>
        <v>59.965311488022451</v>
      </c>
      <c r="J89" s="93"/>
      <c r="K89" s="93"/>
      <c r="L89" s="76" t="str">
        <f>IF(LEFT(D89,4)*1&gt;LEFT('General inputs'!$I$18,4)*1,"",SUMIF('Post-1996 commissioned assets'!$F$128:$F$567,$D89,'Post-1996 commissioned assets'!$P$128:$P$567))</f>
        <v/>
      </c>
      <c r="M89" s="76" t="str">
        <f>IF(L89="","",L89/(1+'General inputs'!$H$32)^C89)</f>
        <v/>
      </c>
      <c r="N89" s="177">
        <f>IF(LEFT(D89,4)*1&lt;LEFT('General inputs'!$I$18,4)*1+1,"",SUMIF('Uncommissioned assets'!$F$22:$F$28,$D89,'Uncommissioned assets'!$P$22:$P$28))</f>
        <v>0</v>
      </c>
      <c r="O89" s="177">
        <f>IF(N89="","",N89/(1+'General inputs'!$H$32)^C89)</f>
        <v>0</v>
      </c>
      <c r="Q89" s="81">
        <f>'Reduction amount'!F62*SUM($E$67:E89)</f>
        <v>1518282.5880702776</v>
      </c>
      <c r="R89" s="76">
        <f>IF(OR(LEFT(D89,4)*1&lt;LEFT('General inputs'!$I$16,4)*1,LEFT(D89,4)*1&gt;LEFT('General inputs'!$I$16,4)+'General inputs'!$H$38-1),"",Q89/(1+'General inputs'!$H$34)^C89)</f>
        <v>614133.50876370084</v>
      </c>
      <c r="T89" s="81">
        <f>('Reduction amount'!H62+'Reduction amount'!I62)*SUM($E$67:E89)</f>
        <v>657786.52043895971</v>
      </c>
      <c r="U89" s="76">
        <f>IF(OR(LEFT(D89,4)*1&lt;LEFT('General inputs'!$I$16,4)*1,LEFT(D89,4)*1&gt;LEFT('General inputs'!$I$16,4)+'General inputs'!$H$38-1),"",T89/(1+'General inputs'!$H$34)^C89)</f>
        <v>266069.53605921578</v>
      </c>
      <c r="V89" s="47"/>
      <c r="W89" s="31"/>
      <c r="X89" s="31"/>
    </row>
    <row r="90" spans="2:24">
      <c r="B90" s="46"/>
      <c r="C90" s="26">
        <f>IF(D90='General inputs'!$I$16,0,IF(D90&lt;'General inputs'!$I$16,C91-1,C89+1))</f>
        <v>23</v>
      </c>
      <c r="D90" s="26" t="str">
        <f t="shared" si="1"/>
        <v>2045-46</v>
      </c>
      <c r="E90" s="76">
        <f>IF(LEFT(D90,4)*1&gt;LEFT('General inputs'!$I$16,4)+'General inputs'!$H$38-1,"",'ET inputs'!D62)</f>
        <v>149.39402796194554</v>
      </c>
      <c r="F90" s="76">
        <f>IF(LEFT(D90,4)*1&gt;LEFT('General inputs'!$I$16,4)+'General inputs'!$H$38-1,"",E90/(1+'General inputs'!$H$30)^C90)</f>
        <v>75.696721232992871</v>
      </c>
      <c r="G90" s="76">
        <f>IF(LEFT(D90,4)*1&gt;LEFT('General inputs'!$I$16,4)+'General inputs'!$H$38-1,"",E90/(1+'General inputs'!$H$32)^C90)</f>
        <v>57.993016713243271</v>
      </c>
      <c r="H90" s="76">
        <f>IF(LEFT(D90,4)*1&lt;LEFT('General inputs'!$I$16,4)*1,"",IF(LEFT(D90,4)*1&gt;LEFT('General inputs'!$I$16,4)+'General inputs'!$H$38-1,"",E90/(1+'General inputs'!$H$34)^C90))</f>
        <v>57.993016713243271</v>
      </c>
      <c r="J90" s="93"/>
      <c r="K90" s="93"/>
      <c r="L90" s="76" t="str">
        <f>IF(LEFT(D90,4)*1&gt;LEFT('General inputs'!$I$18,4)*1,"",SUMIF('Post-1996 commissioned assets'!$F$128:$F$567,$D90,'Post-1996 commissioned assets'!$P$128:$P$567))</f>
        <v/>
      </c>
      <c r="M90" s="76" t="str">
        <f>IF(L90="","",L90/(1+'General inputs'!$H$32)^C90)</f>
        <v/>
      </c>
      <c r="N90" s="177">
        <f>IF(LEFT(D90,4)*1&lt;LEFT('General inputs'!$I$18,4)*1+1,"",SUMIF('Uncommissioned assets'!$F$22:$F$28,$D90,'Uncommissioned assets'!$P$22:$P$28))</f>
        <v>0</v>
      </c>
      <c r="O90" s="177">
        <f>IF(N90="","",N90/(1+'General inputs'!$H$32)^C90)</f>
        <v>0</v>
      </c>
      <c r="Q90" s="81">
        <f>'Reduction amount'!F63*SUM($E$67:E90)</f>
        <v>1590589.2976038591</v>
      </c>
      <c r="R90" s="76">
        <f>IF(OR(LEFT(D90,4)*1&lt;LEFT('General inputs'!$I$16,4)*1,LEFT(D90,4)*1&gt;LEFT('General inputs'!$I$16,4)+'General inputs'!$H$38-1),"",Q90/(1+'General inputs'!$H$34)^C90)</f>
        <v>617448.18704093806</v>
      </c>
      <c r="T90" s="81">
        <f>('Reduction amount'!H63+'Reduction amount'!I63)*SUM($E$67:E90)</f>
        <v>731605.35006729572</v>
      </c>
      <c r="U90" s="76">
        <f>IF(OR(LEFT(D90,4)*1&lt;LEFT('General inputs'!$I$16,4)*1,LEFT(D90,4)*1&gt;LEFT('General inputs'!$I$16,4)+'General inputs'!$H$38-1),"",T90/(1+'General inputs'!$H$34)^C90)</f>
        <v>284000.65165093727</v>
      </c>
      <c r="V90" s="47"/>
      <c r="W90" s="31"/>
      <c r="X90" s="31"/>
    </row>
    <row r="91" spans="2:24">
      <c r="B91" s="46"/>
      <c r="C91" s="26">
        <f>IF(D91='General inputs'!$I$16,0,IF(D91&lt;'General inputs'!$I$16,C92-1,C90+1))</f>
        <v>24</v>
      </c>
      <c r="D91" s="26" t="str">
        <f t="shared" si="1"/>
        <v>2046-47</v>
      </c>
      <c r="E91" s="76">
        <f>IF(LEFT(D91,4)*1&gt;LEFT('General inputs'!$I$16,4)+'General inputs'!$H$38-1,"",'ET inputs'!D63)</f>
        <v>150.54854501003865</v>
      </c>
      <c r="F91" s="76">
        <f>IF(LEFT(D91,4)*1&gt;LEFT('General inputs'!$I$16,4)+'General inputs'!$H$38-1,"",E91/(1+'General inputs'!$H$30)^C91)</f>
        <v>74.059908247265128</v>
      </c>
      <c r="G91" s="76">
        <f>IF(LEFT(D91,4)*1&gt;LEFT('General inputs'!$I$16,4)+'General inputs'!$H$38-1,"",E91/(1+'General inputs'!$H$32)^C91)</f>
        <v>56.085591887144389</v>
      </c>
      <c r="H91" s="76">
        <f>IF(LEFT(D91,4)*1&lt;LEFT('General inputs'!$I$16,4)*1,"",IF(LEFT(D91,4)*1&gt;LEFT('General inputs'!$I$16,4)+'General inputs'!$H$38-1,"",E91/(1+'General inputs'!$H$34)^C91))</f>
        <v>56.085591887144389</v>
      </c>
      <c r="J91" s="93"/>
      <c r="K91" s="93"/>
      <c r="L91" s="76" t="str">
        <f>IF(LEFT(D91,4)*1&gt;LEFT('General inputs'!$I$18,4)*1,"",SUMIF('Post-1996 commissioned assets'!$F$128:$F$567,$D91,'Post-1996 commissioned assets'!$P$128:$P$567))</f>
        <v/>
      </c>
      <c r="M91" s="76" t="str">
        <f>IF(L91="","",L91/(1+'General inputs'!$H$32)^C91)</f>
        <v/>
      </c>
      <c r="N91" s="177">
        <f>IF(LEFT(D91,4)*1&lt;LEFT('General inputs'!$I$18,4)*1+1,"",SUMIF('Uncommissioned assets'!$F$22:$F$28,$D91,'Uncommissioned assets'!$P$22:$P$28))</f>
        <v>0</v>
      </c>
      <c r="O91" s="177">
        <f>IF(N91="","",N91/(1+'General inputs'!$H$32)^C91)</f>
        <v>0</v>
      </c>
      <c r="Q91" s="81">
        <f>'Reduction amount'!F64*SUM($E$67:E91)</f>
        <v>1663454.7933887178</v>
      </c>
      <c r="R91" s="76">
        <f>IF(OR(LEFT(D91,4)*1&lt;LEFT('General inputs'!$I$16,4)*1,LEFT(D91,4)*1&gt;LEFT('General inputs'!$I$16,4)+'General inputs'!$H$38-1),"",Q91/(1+'General inputs'!$H$34)^C91)</f>
        <v>619706.06662782899</v>
      </c>
      <c r="T91" s="81">
        <f>('Reduction amount'!H64+'Reduction amount'!I64)*SUM($E$67:E91)</f>
        <v>763470.75992431771</v>
      </c>
      <c r="U91" s="76">
        <f>IF(OR(LEFT(D91,4)*1&lt;LEFT('General inputs'!$I$16,4)*1,LEFT(D91,4)*1&gt;LEFT('General inputs'!$I$16,4)+'General inputs'!$H$38-1),"",T91/(1+'General inputs'!$H$34)^C91)</f>
        <v>284424.59843121056</v>
      </c>
      <c r="V91" s="47"/>
      <c r="W91" s="31"/>
      <c r="X91" s="31"/>
    </row>
    <row r="92" spans="2:24">
      <c r="B92" s="46"/>
      <c r="C92" s="26">
        <f>IF(D92='General inputs'!$I$16,0,IF(D92&lt;'General inputs'!$I$16,C93-1,C91+1))</f>
        <v>25</v>
      </c>
      <c r="D92" s="26" t="str">
        <f t="shared" si="1"/>
        <v>2047-48</v>
      </c>
      <c r="E92" s="76">
        <f>IF(LEFT(D92,4)*1&gt;LEFT('General inputs'!$I$16,4)+'General inputs'!$H$38-1,"",'ET inputs'!D64)</f>
        <v>151.7119841658714</v>
      </c>
      <c r="F92" s="76">
        <f>IF(LEFT(D92,4)*1&gt;LEFT('General inputs'!$I$16,4)+'General inputs'!$H$38-1,"",E92/(1+'General inputs'!$H$30)^C92)</f>
        <v>72.458488561356901</v>
      </c>
      <c r="G92" s="76">
        <f>IF(LEFT(D92,4)*1&gt;LEFT('General inputs'!$I$16,4)+'General inputs'!$H$38-1,"",E92/(1+'General inputs'!$H$32)^C92)</f>
        <v>54.240903398509062</v>
      </c>
      <c r="H92" s="76">
        <f>IF(LEFT(D92,4)*1&lt;LEFT('General inputs'!$I$16,4)*1,"",IF(LEFT(D92,4)*1&gt;LEFT('General inputs'!$I$16,4)+'General inputs'!$H$38-1,"",E92/(1+'General inputs'!$H$34)^C92))</f>
        <v>54.240903398509062</v>
      </c>
      <c r="J92" s="93"/>
      <c r="K92" s="93"/>
      <c r="L92" s="76" t="str">
        <f>IF(LEFT(D92,4)*1&gt;LEFT('General inputs'!$I$18,4)*1,"",SUMIF('Post-1996 commissioned assets'!$F$128:$F$567,$D92,'Post-1996 commissioned assets'!$P$128:$P$567))</f>
        <v/>
      </c>
      <c r="M92" s="76" t="str">
        <f>IF(L92="","",L92/(1+'General inputs'!$H$32)^C92)</f>
        <v/>
      </c>
      <c r="N92" s="177">
        <f>IF(LEFT(D92,4)*1&lt;LEFT('General inputs'!$I$18,4)*1+1,"",SUMIF('Uncommissioned assets'!$F$22:$F$28,$D92,'Uncommissioned assets'!$P$22:$P$28))</f>
        <v>0</v>
      </c>
      <c r="O92" s="177">
        <f>IF(N92="","",N92/(1+'General inputs'!$H$32)^C92)</f>
        <v>0</v>
      </c>
      <c r="Q92" s="81">
        <f>'Reduction amount'!F65*SUM($E$67:E92)</f>
        <v>1736883.3937249996</v>
      </c>
      <c r="R92" s="76">
        <f>IF(OR(LEFT(D92,4)*1&lt;LEFT('General inputs'!$I$16,4)*1,LEFT(D92,4)*1&gt;LEFT('General inputs'!$I$16,4)+'General inputs'!$H$38-1),"",Q92/(1+'General inputs'!$H$34)^C92)</f>
        <v>620980.10840402334</v>
      </c>
      <c r="T92" s="81">
        <f>('Reduction amount'!H65+'Reduction amount'!I65)*SUM($E$67:E92)</f>
        <v>795449.53110141202</v>
      </c>
      <c r="U92" s="76">
        <f>IF(OR(LEFT(D92,4)*1&lt;LEFT('General inputs'!$I$16,4)*1,LEFT(D92,4)*1&gt;LEFT('General inputs'!$I$16,4)+'General inputs'!$H$38-1),"",T92/(1+'General inputs'!$H$34)^C92)</f>
        <v>284393.49344800785</v>
      </c>
      <c r="V92" s="47"/>
      <c r="W92" s="31"/>
      <c r="X92" s="31"/>
    </row>
    <row r="93" spans="2:24">
      <c r="B93" s="46"/>
      <c r="C93" s="26">
        <f>IF(D93='General inputs'!$I$16,0,IF(D93&lt;'General inputs'!$I$16,C94-1,C92+1))</f>
        <v>26</v>
      </c>
      <c r="D93" s="26" t="str">
        <f t="shared" si="1"/>
        <v>2048-49</v>
      </c>
      <c r="E93" s="76">
        <f>IF(LEFT(D93,4)*1&gt;LEFT('General inputs'!$I$16,4)+'General inputs'!$H$38-1,"",'ET inputs'!D65)</f>
        <v>152.88441437951406</v>
      </c>
      <c r="F93" s="76">
        <f>IF(LEFT(D93,4)*1&gt;LEFT('General inputs'!$I$16,4)+'General inputs'!$H$38-1,"",E93/(1+'General inputs'!$H$30)^C93)</f>
        <v>70.891696855304147</v>
      </c>
      <c r="G93" s="76">
        <f>IF(LEFT(D93,4)*1&gt;LEFT('General inputs'!$I$16,4)+'General inputs'!$H$38-1,"",E93/(1+'General inputs'!$H$32)^C93)</f>
        <v>52.456887811877046</v>
      </c>
      <c r="H93" s="76">
        <f>IF(LEFT(D93,4)*1&lt;LEFT('General inputs'!$I$16,4)*1,"",IF(LEFT(D93,4)*1&gt;LEFT('General inputs'!$I$16,4)+'General inputs'!$H$38-1,"",E93/(1+'General inputs'!$H$34)^C93))</f>
        <v>52.456887811877046</v>
      </c>
      <c r="J93" s="93"/>
      <c r="K93" s="93"/>
      <c r="L93" s="76" t="str">
        <f>IF(LEFT(D93,4)*1&gt;LEFT('General inputs'!$I$18,4)*1,"",SUMIF('Post-1996 commissioned assets'!$F$128:$F$567,$D93,'Post-1996 commissioned assets'!$P$128:$P$567))</f>
        <v/>
      </c>
      <c r="M93" s="76" t="str">
        <f>IF(L93="","",L93/(1+'General inputs'!$H$32)^C93)</f>
        <v/>
      </c>
      <c r="N93" s="177">
        <f>IF(LEFT(D93,4)*1&lt;LEFT('General inputs'!$I$18,4)*1+1,"",SUMIF('Uncommissioned assets'!$F$22:$F$28,$D93,'Uncommissioned assets'!$P$22:$P$28))</f>
        <v>0</v>
      </c>
      <c r="O93" s="177">
        <f>IF(N93="","",N93/(1+'General inputs'!$H$32)^C93)</f>
        <v>0</v>
      </c>
      <c r="Q93" s="81">
        <f>'Reduction amount'!F66*SUM($E$67:E93)</f>
        <v>1810879.4502846845</v>
      </c>
      <c r="R93" s="76">
        <f>IF(OR(LEFT(D93,4)*1&lt;LEFT('General inputs'!$I$16,4)*1,LEFT(D93,4)*1&gt;LEFT('General inputs'!$I$16,4)+'General inputs'!$H$38-1),"",Q93/(1+'General inputs'!$H$34)^C93)</f>
        <v>621339.33370480954</v>
      </c>
      <c r="T93" s="81">
        <f>('Reduction amount'!H66+'Reduction amount'!I66)*SUM($E$67:E93)</f>
        <v>827579.39175303583</v>
      </c>
      <c r="U93" s="76">
        <f>IF(OR(LEFT(D93,4)*1&lt;LEFT('General inputs'!$I$16,4)*1,LEFT(D93,4)*1&gt;LEFT('General inputs'!$I$16,4)+'General inputs'!$H$38-1),"",T93/(1+'General inputs'!$H$34)^C93)</f>
        <v>283954.64302100585</v>
      </c>
      <c r="V93" s="47"/>
      <c r="W93" s="31"/>
      <c r="X93" s="31"/>
    </row>
    <row r="94" spans="2:24">
      <c r="B94" s="46"/>
      <c r="C94" s="26">
        <f>IF(D94='General inputs'!$I$16,0,IF(D94&lt;'General inputs'!$I$16,C95-1,C93+1))</f>
        <v>27</v>
      </c>
      <c r="D94" s="26" t="str">
        <f t="shared" si="1"/>
        <v>2049-50</v>
      </c>
      <c r="E94" s="76">
        <f>IF(LEFT(D94,4)*1&gt;LEFT('General inputs'!$I$16,4)+'General inputs'!$H$38-1,"",'ET inputs'!D66)</f>
        <v>154.06590513383344</v>
      </c>
      <c r="F94" s="76">
        <f>IF(LEFT(D94,4)*1&gt;LEFT('General inputs'!$I$16,4)+'General inputs'!$H$38-1,"",E94/(1+'General inputs'!$H$30)^C94)</f>
        <v>69.358784357863485</v>
      </c>
      <c r="G94" s="76">
        <f>IF(LEFT(D94,4)*1&gt;LEFT('General inputs'!$I$16,4)+'General inputs'!$H$38-1,"",E94/(1+'General inputs'!$H$32)^C94)</f>
        <v>50.731549559390913</v>
      </c>
      <c r="H94" s="76">
        <f>IF(LEFT(D94,4)*1&lt;LEFT('General inputs'!$I$16,4)*1,"",IF(LEFT(D94,4)*1&gt;LEFT('General inputs'!$I$16,4)+'General inputs'!$H$38-1,"",E94/(1+'General inputs'!$H$34)^C94))</f>
        <v>50.731549559390913</v>
      </c>
      <c r="J94" s="93"/>
      <c r="K94" s="93"/>
      <c r="L94" s="76" t="str">
        <f>IF(LEFT(D94,4)*1&gt;LEFT('General inputs'!$I$18,4)*1,"",SUMIF('Post-1996 commissioned assets'!$F$128:$F$567,$D94,'Post-1996 commissioned assets'!$P$128:$P$567))</f>
        <v/>
      </c>
      <c r="M94" s="76" t="str">
        <f>IF(L94="","",L94/(1+'General inputs'!$H$32)^C94)</f>
        <v/>
      </c>
      <c r="N94" s="177">
        <f>IF(LEFT(D94,4)*1&lt;LEFT('General inputs'!$I$18,4)*1+1,"",SUMIF('Uncommissioned assets'!$F$22:$F$28,$D94,'Uncommissioned assets'!$P$22:$P$28))</f>
        <v>0</v>
      </c>
      <c r="O94" s="177">
        <f>IF(N94="","",N94/(1+'General inputs'!$H$32)^C94)</f>
        <v>0</v>
      </c>
      <c r="Q94" s="81">
        <f>'Reduction amount'!F67*SUM($E$67:E94)</f>
        <v>1885447.3483694599</v>
      </c>
      <c r="R94" s="76">
        <f>IF(OR(LEFT(D94,4)*1&lt;LEFT('General inputs'!$I$16,4)*1,LEFT(D94,4)*1&gt;LEFT('General inputs'!$I$16,4)+'General inputs'!$H$38-1),"",Q94/(1+'General inputs'!$H$34)^C94)</f>
        <v>620849.01596065063</v>
      </c>
      <c r="T94" s="81">
        <f>('Reduction amount'!H67+'Reduction amount'!I67)*SUM($E$67:E94)</f>
        <v>859826.31969443616</v>
      </c>
      <c r="U94" s="76">
        <f>IF(OR(LEFT(D94,4)*1&lt;LEFT('General inputs'!$I$16,4)*1,LEFT(D94,4)*1&gt;LEFT('General inputs'!$I$16,4)+'General inputs'!$H$38-1),"",T94/(1+'General inputs'!$H$34)^C94)</f>
        <v>283127.67521246854</v>
      </c>
      <c r="V94" s="47"/>
      <c r="W94" s="31"/>
      <c r="X94" s="31"/>
    </row>
    <row r="95" spans="2:24">
      <c r="B95" s="46"/>
      <c r="C95" s="26">
        <f>IF(D95='General inputs'!$I$16,0,IF(D95&lt;'General inputs'!$I$16,C96-1,C94+1))</f>
        <v>28</v>
      </c>
      <c r="D95" s="26" t="str">
        <f t="shared" si="1"/>
        <v>2050-51</v>
      </c>
      <c r="E95" s="76">
        <f>IF(LEFT(D95,4)*1&gt;LEFT('General inputs'!$I$16,4)+'General inputs'!$H$38-1,"",'ET inputs'!D67)</f>
        <v>155.2565264487057</v>
      </c>
      <c r="F95" s="76">
        <f>IF(LEFT(D95,4)*1&gt;LEFT('General inputs'!$I$16,4)+'General inputs'!$H$38-1,"",E95/(1+'General inputs'!$H$30)^C95)</f>
        <v>67.85901848871859</v>
      </c>
      <c r="G95" s="76">
        <f>IF(LEFT(D95,4)*1&gt;LEFT('General inputs'!$I$16,4)+'General inputs'!$H$38-1,"",E95/(1+'General inputs'!$H$32)^C95)</f>
        <v>49.062958708623057</v>
      </c>
      <c r="H95" s="76">
        <f>IF(LEFT(D95,4)*1&lt;LEFT('General inputs'!$I$16,4)*1,"",IF(LEFT(D95,4)*1&gt;LEFT('General inputs'!$I$16,4)+'General inputs'!$H$38-1,"",E95/(1+'General inputs'!$H$34)^C95))</f>
        <v>49.062958708623057</v>
      </c>
      <c r="J95" s="93"/>
      <c r="K95" s="93"/>
      <c r="L95" s="76" t="str">
        <f>IF(LEFT(D95,4)*1&gt;LEFT('General inputs'!$I$18,4)*1,"",SUMIF('Post-1996 commissioned assets'!$F$128:$F$567,$D95,'Post-1996 commissioned assets'!$P$128:$P$567))</f>
        <v/>
      </c>
      <c r="M95" s="76" t="str">
        <f>IF(L95="","",L95/(1+'General inputs'!$H$32)^C95)</f>
        <v/>
      </c>
      <c r="N95" s="177">
        <f>IF(LEFT(D95,4)*1&lt;LEFT('General inputs'!$I$18,4)*1+1,"",SUMIF('Uncommissioned assets'!$F$22:$F$28,$D95,'Uncommissioned assets'!$P$22:$P$28))</f>
        <v>0</v>
      </c>
      <c r="O95" s="177">
        <f>IF(N95="","",N95/(1+'General inputs'!$H$32)^C95)</f>
        <v>0</v>
      </c>
      <c r="Q95" s="81">
        <f>'Reduction amount'!F68*SUM($E$67:E95)</f>
        <v>1960591.5071706334</v>
      </c>
      <c r="R95" s="76">
        <f>IF(OR(LEFT(D95,4)*1&lt;LEFT('General inputs'!$I$16,4)*1,LEFT(D95,4)*1&gt;LEFT('General inputs'!$I$16,4)+'General inputs'!$H$38-1),"",Q95/(1+'General inputs'!$H$34)^C95)</f>
        <v>619570.86353191268</v>
      </c>
      <c r="T95" s="81">
        <f>('Reduction amount'!H68+'Reduction amount'!I68)*SUM($E$67:E95)</f>
        <v>892190.66002961155</v>
      </c>
      <c r="U95" s="76">
        <f>IF(OR(LEFT(D95,4)*1&lt;LEFT('General inputs'!$I$16,4)*1,LEFT(D95,4)*1&gt;LEFT('General inputs'!$I$16,4)+'General inputs'!$H$38-1),"",T95/(1+'General inputs'!$H$34)^C95)</f>
        <v>281943.14605971851</v>
      </c>
      <c r="V95" s="47"/>
      <c r="W95" s="31"/>
      <c r="X95" s="31"/>
    </row>
    <row r="96" spans="2:24">
      <c r="B96" s="46"/>
      <c r="C96" s="26">
        <f>IF(D96='General inputs'!$I$16,0,IF(D96&lt;'General inputs'!$I$16,C97-1,C95+1))</f>
        <v>29</v>
      </c>
      <c r="D96" s="26" t="str">
        <f t="shared" si="1"/>
        <v>2051-52</v>
      </c>
      <c r="E96" s="76">
        <f>IF(LEFT(D96,4)*1&gt;LEFT('General inputs'!$I$16,4)+'General inputs'!$H$38-1,"",'ET inputs'!D68)</f>
        <v>156.45634888510176</v>
      </c>
      <c r="F96" s="76">
        <f>IF(LEFT(D96,4)*1&gt;LEFT('General inputs'!$I$16,4)+'General inputs'!$H$38-1,"",E96/(1+'General inputs'!$H$30)^C96)</f>
        <v>66.391682508349149</v>
      </c>
      <c r="G96" s="76">
        <f>IF(LEFT(D96,4)*1&gt;LEFT('General inputs'!$I$16,4)+'General inputs'!$H$38-1,"",E96/(1+'General inputs'!$H$32)^C96)</f>
        <v>47.449248803765293</v>
      </c>
      <c r="H96" s="76">
        <f>IF(LEFT(D96,4)*1&lt;LEFT('General inputs'!$I$16,4)*1,"",IF(LEFT(D96,4)*1&gt;LEFT('General inputs'!$I$16,4)+'General inputs'!$H$38-1,"",E96/(1+'General inputs'!$H$34)^C96))</f>
        <v>47.449248803765293</v>
      </c>
      <c r="J96" s="93"/>
      <c r="K96" s="93"/>
      <c r="L96" s="76" t="str">
        <f>IF(LEFT(D96,4)*1&gt;LEFT('General inputs'!$I$18,4)*1,"",SUMIF('Post-1996 commissioned assets'!$F$128:$F$567,$D96,'Post-1996 commissioned assets'!$P$128:$P$567))</f>
        <v/>
      </c>
      <c r="M96" s="76" t="str">
        <f>IF(L96="","",L96/(1+'General inputs'!$H$32)^C96)</f>
        <v/>
      </c>
      <c r="N96" s="177">
        <f>IF(LEFT(D96,4)*1&lt;LEFT('General inputs'!$I$18,4)*1+1,"",SUMIF('Uncommissioned assets'!$F$22:$F$28,$D96,'Uncommissioned assets'!$P$22:$P$28))</f>
        <v>0</v>
      </c>
      <c r="O96" s="177">
        <f>IF(N96="","",N96/(1+'General inputs'!$H$32)^C96)</f>
        <v>0</v>
      </c>
      <c r="Q96" s="81">
        <f>'Reduction amount'!F69*SUM($E$67:E96)</f>
        <v>2036316.3800310227</v>
      </c>
      <c r="R96" s="76">
        <f>IF(OR(LEFT(D96,4)*1&lt;LEFT('General inputs'!$I$16,4)*1,LEFT(D96,4)*1&gt;LEFT('General inputs'!$I$16,4)+'General inputs'!$H$38-1),"",Q96/(1+'General inputs'!$H$34)^C96)</f>
        <v>617563.19412919192</v>
      </c>
      <c r="T96" s="81">
        <f>('Reduction amount'!H69+'Reduction amount'!I69)*SUM($E$67:E96)</f>
        <v>924714.82885747612</v>
      </c>
      <c r="U96" s="76">
        <f>IF(OR(LEFT(D96,4)*1&lt;LEFT('General inputs'!$I$16,4)*1,LEFT(D96,4)*1&gt;LEFT('General inputs'!$I$16,4)+'General inputs'!$H$38-1),"",T96/(1+'General inputs'!$H$34)^C96)</f>
        <v>280442.59181333694</v>
      </c>
      <c r="V96" s="47"/>
      <c r="W96" s="31"/>
      <c r="X96" s="31"/>
    </row>
    <row r="97" spans="2:2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assets'!$F$128:$F$567,$D97,'Post-1996 commissioned assets'!$P$128:$P$567))</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assets'!$F$128:$F$567,$D98,'Post-1996 commissioned assets'!$P$128:$P$567))</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assets'!$F$128:$F$567,$D99,'Post-1996 commissioned assets'!$P$128:$P$567))</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assets'!$F$128:$F$567,$D100,'Post-1996 commissioned assets'!$P$128:$P$567))</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assets'!$F$128:$F$567,$D101,'Post-1996 commissioned assets'!$P$128:$P$567))</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assets'!$F$128:$F$567,$D102,'Post-1996 commissioned assets'!$P$128:$P$567))</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assets'!$F$128:$F$567,$D103,'Post-1996 commissioned assets'!$P$128:$P$567))</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assets'!$F$128:$F$567,$D104,'Post-1996 commissioned assets'!$P$128:$P$567))</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assets'!$F$128:$F$567,$D105,'Post-1996 commissioned assets'!$P$128:$P$567))</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assets'!$F$128:$F$567,$D106,'Post-1996 commissioned assets'!$P$128:$P$567))</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assets'!$F$128:$F$567,$D107,'Post-1996 commissioned assets'!$P$128:$P$567))</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assets'!$F$128:$F$567,$D108,'Post-1996 commissioned assets'!$P$128:$P$567))</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assets'!$F$128:$F$567,$D109,'Post-1996 commissioned assets'!$P$128:$P$567))</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assets'!$F$128:$F$567,$D110,'Post-1996 commissioned assets'!$P$128:$P$567))</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assets'!$F$128:$F$567,$D111,'Post-1996 commissioned assets'!$P$128:$P$567))</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assets'!$F$128:$F$567,$D112,'Post-1996 commissioned assets'!$P$128:$P$567))</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assets'!$F$128:$F$567,$D113,'Post-1996 commissioned assets'!$P$128:$P$567))</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assets'!$F$128:$F$567,$D114,'Post-1996 commissioned assets'!$P$128:$P$567))</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assets'!$F$128:$F$567,$D115,'Post-1996 commissioned assets'!$P$128:$P$567))</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assets'!$F$128:$F$567,$D116,'Post-1996 commissioned assets'!$P$128:$P$567))</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assets'!$F$128:$F$567,$D117,'Post-1996 commissioned assets'!$P$128:$P$567))</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assets'!$F$128:$F$567,$D118,'Post-1996 commissioned assets'!$P$128:$P$567))</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assets'!$F$128:$F$567,$D119,'Post-1996 commissioned assets'!$P$128:$P$567))</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assets'!$F$128:$F$567,$D120,'Post-1996 commissioned assets'!$P$128:$P$567))</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assets'!$F$128:$F$567,$D121,'Post-1996 commissioned assets'!$P$128:$P$567))</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assets'!$F$128:$F$567,$D122,'Post-1996 commissioned assets'!$P$128:$P$567))</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assets'!$F$128:$F$567,$D123,'Post-1996 commissioned assets'!$P$128:$P$567))</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assets'!$F$128:$F$567,$D124,'Post-1996 commissioned assets'!$P$128:$P$567))</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assets'!$F$128:$F$567,$D125,'Post-1996 commissioned assets'!$P$128:$P$567))</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assets'!$F$128:$F$567,$D126,'Post-1996 commissioned assets'!$P$128:$P$567))</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assets'!$F$128:$F$567,$D127,'Post-1996 commissioned assets'!$P$128:$P$567))</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assets'!$F$128:$F$567,$D128,'Post-1996 commissioned assets'!$P$128:$P$567))</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assets'!$F$128:$F$567,$D129,'Post-1996 commissioned assets'!$P$128:$P$567))</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assets'!$F$128:$F$567,$D130,'Post-1996 commissioned assets'!$P$128:$P$567))</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12" priority="5" operator="containsText" text="data">
      <formula>NOT(ISERROR(SEARCH("data",Q37)))</formula>
    </cfRule>
  </conditionalFormatting>
  <conditionalFormatting sqref="T37">
    <cfRule type="containsText" dxfId="11"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H14" sqref="H14"/>
    </sheetView>
  </sheetViews>
  <sheetFormatPr defaultRowHeight="11.5"/>
  <cols>
    <col min="1" max="3" width="2.69921875" customWidth="1"/>
    <col min="4" max="6" width="15.69921875" customWidth="1"/>
    <col min="7" max="7" width="18.8984375" customWidth="1"/>
    <col min="8" max="14" width="15.69921875" customWidth="1"/>
  </cols>
  <sheetData>
    <row r="3" spans="3:13" ht="20">
      <c r="C3" s="50" t="s">
        <v>57</v>
      </c>
    </row>
    <row r="5" spans="3:13" ht="15.5">
      <c r="C5" s="2" t="s">
        <v>124</v>
      </c>
      <c r="H5" s="256" t="s">
        <v>128</v>
      </c>
      <c r="I5" s="257"/>
      <c r="L5" s="6" t="str">
        <f>"Do not delete - data validation for option at "&amp;ADDRESS(ROW(H5),COLUMN(H5))</f>
        <v>Do not delete - data validation for option at $H$5</v>
      </c>
    </row>
    <row r="6" spans="3:13">
      <c r="L6" t="s">
        <v>125</v>
      </c>
      <c r="M6" t="s">
        <v>126</v>
      </c>
    </row>
    <row r="7" spans="3:13" ht="15.5">
      <c r="C7" s="2" t="s">
        <v>75</v>
      </c>
      <c r="H7" s="258" t="s">
        <v>281</v>
      </c>
      <c r="I7" s="257"/>
      <c r="L7" s="36" t="s">
        <v>127</v>
      </c>
      <c r="M7" s="109">
        <v>0</v>
      </c>
    </row>
    <row r="8" spans="3:13">
      <c r="L8" s="37" t="s">
        <v>128</v>
      </c>
      <c r="M8" s="110">
        <v>0.03</v>
      </c>
    </row>
    <row r="9" spans="3:13" ht="15.5">
      <c r="C9" s="2" t="s">
        <v>138</v>
      </c>
      <c r="H9" s="258" t="s">
        <v>280</v>
      </c>
      <c r="I9" s="257"/>
      <c r="L9" s="38" t="s">
        <v>129</v>
      </c>
      <c r="M9" s="111">
        <v>0.03</v>
      </c>
    </row>
    <row r="11" spans="3:13" ht="15.5">
      <c r="C11" s="2" t="s">
        <v>137</v>
      </c>
      <c r="H11" s="258" t="s">
        <v>139</v>
      </c>
      <c r="I11" s="257"/>
    </row>
    <row r="12" spans="3:13">
      <c r="L12" s="6" t="str">
        <f>"Do not delete - data validation for options at "&amp;ADDRESS(ROW(H11),COLUMN(H11))</f>
        <v>Do not delete - data validation for options at $H$11</v>
      </c>
    </row>
    <row r="13" spans="3:13">
      <c r="L13" s="36" t="s">
        <v>139</v>
      </c>
    </row>
    <row r="14" spans="3:13" ht="15.5">
      <c r="C14" s="2" t="s">
        <v>86</v>
      </c>
      <c r="I14" s="88" t="s">
        <v>40</v>
      </c>
      <c r="L14" s="37" t="s">
        <v>140</v>
      </c>
    </row>
    <row r="15" spans="3:13">
      <c r="L15" s="38" t="s">
        <v>141</v>
      </c>
    </row>
    <row r="16" spans="3:13">
      <c r="D16" s="6" t="s">
        <v>219</v>
      </c>
      <c r="I16" s="42" t="s">
        <v>44</v>
      </c>
    </row>
    <row r="17" spans="3:12">
      <c r="D17" s="6"/>
    </row>
    <row r="18" spans="3:1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c r="L19" s="139" t="s">
        <v>15</v>
      </c>
    </row>
    <row r="20" spans="3:12">
      <c r="L20" s="37" t="s">
        <v>99</v>
      </c>
    </row>
    <row r="21" spans="3:12">
      <c r="D21" s="6" t="s">
        <v>39</v>
      </c>
      <c r="L21" s="37" t="s">
        <v>42</v>
      </c>
    </row>
    <row r="22" spans="3:12">
      <c r="L22" s="37" t="s">
        <v>43</v>
      </c>
    </row>
    <row r="23" spans="3:12">
      <c r="D23" s="57" t="s">
        <v>55</v>
      </c>
      <c r="H23" s="58">
        <v>25569</v>
      </c>
      <c r="L23" s="37" t="s">
        <v>44</v>
      </c>
    </row>
    <row r="24" spans="3:12">
      <c r="D24" s="57" t="s">
        <v>56</v>
      </c>
      <c r="H24" s="58">
        <v>35064</v>
      </c>
      <c r="L24" s="37" t="s">
        <v>45</v>
      </c>
    </row>
    <row r="25" spans="3:12">
      <c r="L25" s="37" t="s">
        <v>46</v>
      </c>
    </row>
    <row r="26" spans="3:12">
      <c r="L26" s="37" t="s">
        <v>47</v>
      </c>
    </row>
    <row r="27" spans="3:12">
      <c r="L27" s="37" t="s">
        <v>48</v>
      </c>
    </row>
    <row r="28" spans="3:12" ht="15.5">
      <c r="C28" s="2" t="s">
        <v>85</v>
      </c>
      <c r="L28" s="37" t="s">
        <v>49</v>
      </c>
    </row>
    <row r="29" spans="3:12">
      <c r="L29" s="37" t="s">
        <v>50</v>
      </c>
    </row>
    <row r="30" spans="3:12">
      <c r="D30" s="6" t="s">
        <v>111</v>
      </c>
      <c r="H30" s="60">
        <f>INDEX($M$7:$M$12,MATCH($H$5,$L$7:$L$12))</f>
        <v>0.03</v>
      </c>
      <c r="L30" s="37" t="s">
        <v>51</v>
      </c>
    </row>
    <row r="31" spans="3:12" ht="12" customHeight="1">
      <c r="C31" s="2"/>
      <c r="D31" s="6"/>
      <c r="H31" s="29"/>
      <c r="L31" s="38" t="s">
        <v>52</v>
      </c>
    </row>
    <row r="32" spans="3:12" ht="12" customHeight="1">
      <c r="C32" s="2"/>
      <c r="D32" s="5" t="s">
        <v>112</v>
      </c>
      <c r="H32" s="141">
        <v>4.2000000000000003E-2</v>
      </c>
    </row>
    <row r="33" spans="3:12" ht="12" customHeight="1">
      <c r="D33" s="6"/>
      <c r="H33" s="29"/>
    </row>
    <row r="34" spans="3:12" ht="12" customHeight="1">
      <c r="D34" s="5" t="s">
        <v>92</v>
      </c>
      <c r="H34" s="141">
        <v>4.2000000000000003E-2</v>
      </c>
    </row>
    <row r="35" spans="3:12" ht="12" customHeight="1">
      <c r="C35" s="2"/>
    </row>
    <row r="36" spans="3:12" ht="12" customHeight="1">
      <c r="C36" s="2"/>
      <c r="D36" s="6" t="s">
        <v>113</v>
      </c>
      <c r="H36" s="55">
        <v>181</v>
      </c>
      <c r="L36" s="6" t="str">
        <f>"Do not delete - data validation for option at "&amp;ADDRESS(ROW(H42),COLUMN(H42))</f>
        <v>Do not delete - data validation for option at $H$42</v>
      </c>
    </row>
    <row r="37" spans="3:12" ht="12" customHeight="1">
      <c r="C37" s="2"/>
      <c r="L37" s="36" t="s">
        <v>27</v>
      </c>
    </row>
    <row r="38" spans="3:12" ht="12" customHeight="1">
      <c r="C38" s="2"/>
      <c r="D38" s="6" t="s">
        <v>23</v>
      </c>
      <c r="H38" s="61">
        <v>30</v>
      </c>
      <c r="L38" s="37" t="s">
        <v>28</v>
      </c>
    </row>
    <row r="39" spans="3:12" ht="12" customHeight="1">
      <c r="C39" s="2"/>
      <c r="L39" s="38" t="s">
        <v>29</v>
      </c>
    </row>
    <row r="40" spans="3:12" ht="12" customHeight="1">
      <c r="D40" s="6" t="s">
        <v>41</v>
      </c>
      <c r="I40" s="42" t="s">
        <v>42</v>
      </c>
    </row>
    <row r="42" spans="3:12">
      <c r="D42" s="6" t="s">
        <v>26</v>
      </c>
      <c r="H42" s="140" t="s">
        <v>27</v>
      </c>
    </row>
    <row r="43" spans="3:12">
      <c r="D43" s="6"/>
    </row>
    <row r="47" spans="3:12" ht="15.5">
      <c r="C47" s="2"/>
    </row>
    <row r="49" spans="6:6">
      <c r="F49" s="27"/>
    </row>
    <row r="50" spans="6:6">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1157"/>
  <sheetViews>
    <sheetView showGridLines="0" zoomScaleNormal="100" workbookViewId="0">
      <pane ySplit="21" topLeftCell="A1141" activePane="bottomLeft" state="frozen"/>
      <selection activeCell="A22" sqref="A22"/>
      <selection pane="bottomLeft" activeCell="N22" sqref="N22:N1150"/>
    </sheetView>
  </sheetViews>
  <sheetFormatPr defaultColWidth="28" defaultRowHeight="11.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15.69921875" customWidth="1"/>
    <col min="9" max="9" width="15.69921875" style="179"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c r="E1" s="27"/>
    </row>
    <row r="2" spans="3:9">
      <c r="E2" s="27"/>
    </row>
    <row r="3" spans="3:9" ht="20">
      <c r="C3" s="50" t="s">
        <v>201</v>
      </c>
    </row>
    <row r="6" spans="3:9">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c r="C7" s="104" t="str">
        <f ca="1">"Hyperlink to the '"&amp;MID(CELL("filename",'Asset exclusions'!A1),FIND("]",CELL("filename",'Asset exclusions'!A1))+1,255)&amp;"' worksheet:"</f>
        <v>Hyperlink to the 'Asset exclusions' worksheet:</v>
      </c>
      <c r="E7" s="134" t="s">
        <v>187</v>
      </c>
      <c r="I7" s="180"/>
    </row>
    <row r="8" spans="3:9">
      <c r="C8" s="104"/>
      <c r="E8" s="134"/>
      <c r="I8" s="180"/>
    </row>
    <row r="9" spans="3:9">
      <c r="C9" s="104" t="s">
        <v>242</v>
      </c>
      <c r="E9" s="134"/>
      <c r="I9" s="180"/>
    </row>
    <row r="10" spans="3:9">
      <c r="C10" s="104" t="s">
        <v>245</v>
      </c>
      <c r="E10" s="134"/>
      <c r="I10" s="180"/>
    </row>
    <row r="11" spans="3:9">
      <c r="C11" s="104" t="s">
        <v>244</v>
      </c>
      <c r="E11" s="134"/>
      <c r="I11" s="180"/>
    </row>
    <row r="12" spans="3:9">
      <c r="C12" s="104" t="s">
        <v>243</v>
      </c>
      <c r="E12" s="134"/>
      <c r="I12" s="180"/>
    </row>
    <row r="13" spans="3:9">
      <c r="H13" s="27"/>
      <c r="I13" s="180"/>
    </row>
    <row r="14" spans="3:9">
      <c r="C14" s="6" t="s">
        <v>54</v>
      </c>
      <c r="H14" s="27"/>
      <c r="I14" s="180"/>
    </row>
    <row r="15" spans="3:9">
      <c r="C15" s="57" t="s">
        <v>58</v>
      </c>
      <c r="E15" s="82">
        <f>'General inputs'!$H$23</f>
        <v>25569</v>
      </c>
      <c r="H15" s="27"/>
      <c r="I15" s="180"/>
    </row>
    <row r="16" spans="3:9">
      <c r="C16" s="57" t="s">
        <v>59</v>
      </c>
      <c r="E16" s="83">
        <f>'General inputs'!$H$24</f>
        <v>35064</v>
      </c>
      <c r="H16" s="27"/>
      <c r="I16" s="180"/>
    </row>
    <row r="17" spans="3:18">
      <c r="I17" s="180"/>
      <c r="J17" s="223"/>
    </row>
    <row r="18" spans="3:18" ht="15.5">
      <c r="C18" s="2" t="s">
        <v>207</v>
      </c>
      <c r="I18" s="180"/>
    </row>
    <row r="19" spans="3:18">
      <c r="I19" s="180"/>
    </row>
    <row r="20" spans="3:18">
      <c r="C20" s="6" t="s">
        <v>16</v>
      </c>
      <c r="H20" s="6" t="s">
        <v>17</v>
      </c>
      <c r="I20" s="181"/>
      <c r="L20" s="6" t="s">
        <v>18</v>
      </c>
      <c r="Q20" s="214" t="s">
        <v>277</v>
      </c>
    </row>
    <row r="21" spans="3:18" ht="46">
      <c r="C21" s="142" t="s">
        <v>13</v>
      </c>
      <c r="D21" s="24" t="s">
        <v>12</v>
      </c>
      <c r="E21" s="142" t="s">
        <v>14</v>
      </c>
      <c r="F21" s="24" t="s">
        <v>24</v>
      </c>
      <c r="H21" s="221"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t="s">
        <v>282</v>
      </c>
      <c r="E22" s="162">
        <v>25569</v>
      </c>
      <c r="F22" s="163" t="str">
        <f>IF(E22="","-",IF(OR(E22&lt;$E$15,E22&gt;$E$16),"ERROR - date outside of range","Date check - OK"))</f>
        <v>Date check - OK</v>
      </c>
      <c r="G22" s="68"/>
      <c r="H22" s="162" t="s">
        <v>280</v>
      </c>
      <c r="I22" s="173">
        <v>21853.086195380012</v>
      </c>
      <c r="J22" s="168">
        <f>IFERROR(MIN('MP Calculations'!$E$30/I22,1),"-")</f>
        <v>0.32927792945511891</v>
      </c>
      <c r="K22" s="68"/>
      <c r="L22" s="158">
        <v>387.29681599999998</v>
      </c>
      <c r="M22" s="183" t="s">
        <v>293</v>
      </c>
      <c r="N22" s="183">
        <v>237.97403299999999</v>
      </c>
      <c r="O22" s="186">
        <f>IF(N22="","-",L22*N22)</f>
        <v>92166.585271578922</v>
      </c>
      <c r="P22" s="186">
        <f t="shared" ref="P22" si="0">IF(O22="-","-",IF(OR(E22&lt;$E$15,E22&gt;$E$16),0,O22*J22))</f>
        <v>30348.422363174166</v>
      </c>
      <c r="Q22" s="215">
        <f>IF(P22="-",0,P22/(1+'General inputs'!$H$30)^'MP Calculations'!$C$40)</f>
        <v>67412.616931718207</v>
      </c>
      <c r="R22" s="201"/>
    </row>
    <row r="23" spans="3:18">
      <c r="C23" s="159"/>
      <c r="D23" s="165" t="s">
        <v>282</v>
      </c>
      <c r="E23" s="162">
        <v>25569</v>
      </c>
      <c r="F23" s="166" t="str">
        <f t="shared" ref="F23:F86" si="1">IF(E23="","-",IF(OR(E23&lt;$E$15,E23&gt;$E$16),"ERROR - date outside of range","Date check - OK"))</f>
        <v>Date check - OK</v>
      </c>
      <c r="G23" s="68"/>
      <c r="H23" s="162" t="s">
        <v>280</v>
      </c>
      <c r="I23" s="173">
        <v>21853.086195380012</v>
      </c>
      <c r="J23" s="168">
        <f>IFERROR(MIN('MP Calculations'!$E$30/I23,1),"-")</f>
        <v>0.32927792945511891</v>
      </c>
      <c r="K23" s="68"/>
      <c r="L23" s="159">
        <v>342.97601600000002</v>
      </c>
      <c r="M23" s="184" t="s">
        <v>293</v>
      </c>
      <c r="N23" s="184">
        <v>237.97403299999999</v>
      </c>
      <c r="O23" s="186">
        <f t="shared" ref="O23:O86" si="2">IF(N23="","-",L23*N23)</f>
        <v>81619.385749792535</v>
      </c>
      <c r="P23" s="186">
        <f t="shared" ref="P23:P86" si="3">IF(O23="-","-",IF(OR(E23&lt;$E$15,E23&gt;$E$16),0,O23*J23))</f>
        <v>26875.462343090323</v>
      </c>
      <c r="Q23" s="215">
        <f>IF(P23="-",0,P23/(1+'General inputs'!$H$30)^'MP Calculations'!$C$40)</f>
        <v>59698.169022321264</v>
      </c>
      <c r="R23" s="201"/>
    </row>
    <row r="24" spans="3:18">
      <c r="C24" s="159"/>
      <c r="D24" s="165" t="s">
        <v>283</v>
      </c>
      <c r="E24" s="162">
        <v>25569</v>
      </c>
      <c r="F24" s="166" t="str">
        <f t="shared" si="1"/>
        <v>Date check - OK</v>
      </c>
      <c r="G24" s="68"/>
      <c r="H24" s="162" t="s">
        <v>280</v>
      </c>
      <c r="I24" s="173">
        <v>21853.086195380012</v>
      </c>
      <c r="J24" s="168">
        <f>IFERROR(MIN('MP Calculations'!$E$30/I24,1),"-")</f>
        <v>0.32927792945511891</v>
      </c>
      <c r="K24" s="12"/>
      <c r="L24" s="159">
        <v>2.2987340000000001</v>
      </c>
      <c r="M24" s="187" t="s">
        <v>293</v>
      </c>
      <c r="N24" s="187">
        <v>192.78728599999999</v>
      </c>
      <c r="O24" s="186">
        <f t="shared" si="2"/>
        <v>443.16668909592397</v>
      </c>
      <c r="P24" s="186">
        <f t="shared" si="3"/>
        <v>145.92500978898627</v>
      </c>
      <c r="Q24" s="215">
        <f>IF(P24="-",0,P24/(1+'General inputs'!$H$30)^'MP Calculations'!$C$40)</f>
        <v>324.14161988199254</v>
      </c>
      <c r="R24" s="201"/>
    </row>
    <row r="25" spans="3:18">
      <c r="C25" s="159"/>
      <c r="D25" s="165" t="s">
        <v>283</v>
      </c>
      <c r="E25" s="162">
        <v>25569</v>
      </c>
      <c r="F25" s="166" t="str">
        <f t="shared" si="1"/>
        <v>Date check - OK</v>
      </c>
      <c r="G25" s="68"/>
      <c r="H25" s="162" t="s">
        <v>280</v>
      </c>
      <c r="I25" s="173">
        <v>21853.086195380012</v>
      </c>
      <c r="J25" s="168">
        <f>IFERROR(MIN('MP Calculations'!$E$30/I25,1),"-")</f>
        <v>0.32927792945511891</v>
      </c>
      <c r="K25" s="12"/>
      <c r="L25" s="159">
        <v>3.801164</v>
      </c>
      <c r="M25" s="187" t="s">
        <v>293</v>
      </c>
      <c r="N25" s="187">
        <v>192.78728599999999</v>
      </c>
      <c r="O25" s="186">
        <f t="shared" si="2"/>
        <v>732.816091200904</v>
      </c>
      <c r="P25" s="186">
        <f t="shared" si="3"/>
        <v>241.30016518202726</v>
      </c>
      <c r="Q25" s="215">
        <f>IF(P25="-",0,P25/(1+'General inputs'!$H$30)^'MP Calculations'!$C$40)</f>
        <v>535.99740396109962</v>
      </c>
      <c r="R25" s="201"/>
    </row>
    <row r="26" spans="3:18">
      <c r="C26" s="159"/>
      <c r="D26" s="165" t="s">
        <v>282</v>
      </c>
      <c r="E26" s="162">
        <v>25569</v>
      </c>
      <c r="F26" s="166" t="str">
        <f t="shared" si="1"/>
        <v>Date check - OK</v>
      </c>
      <c r="G26" s="68"/>
      <c r="H26" s="162" t="s">
        <v>280</v>
      </c>
      <c r="I26" s="173">
        <v>21853.086195380012</v>
      </c>
      <c r="J26" s="168">
        <f>IFERROR(MIN('MP Calculations'!$E$30/I26,1),"-")</f>
        <v>0.32927792945511891</v>
      </c>
      <c r="K26" s="12"/>
      <c r="L26" s="159">
        <v>2.3476699999999999</v>
      </c>
      <c r="M26" s="187" t="s">
        <v>293</v>
      </c>
      <c r="N26" s="187">
        <v>237.97403299999999</v>
      </c>
      <c r="O26" s="186">
        <f t="shared" si="2"/>
        <v>558.68449805310991</v>
      </c>
      <c r="P26" s="186">
        <f t="shared" si="3"/>
        <v>183.96247473760044</v>
      </c>
      <c r="Q26" s="215">
        <f>IF(P26="-",0,P26/(1+'General inputs'!$H$30)^'MP Calculations'!$C$40)</f>
        <v>408.63382257210935</v>
      </c>
      <c r="R26" s="201"/>
    </row>
    <row r="27" spans="3:18">
      <c r="C27" s="159"/>
      <c r="D27" s="165" t="s">
        <v>284</v>
      </c>
      <c r="E27" s="162">
        <v>25569</v>
      </c>
      <c r="F27" s="166" t="str">
        <f t="shared" si="1"/>
        <v>Date check - OK</v>
      </c>
      <c r="G27" s="68"/>
      <c r="H27" s="162" t="s">
        <v>280</v>
      </c>
      <c r="I27" s="173">
        <v>21853.086195380012</v>
      </c>
      <c r="J27" s="168">
        <f>IFERROR(MIN('MP Calculations'!$E$30/I27,1),"-")</f>
        <v>0.32927792945511891</v>
      </c>
      <c r="K27" s="12"/>
      <c r="L27" s="159">
        <v>2.2908849999999998</v>
      </c>
      <c r="M27" s="187" t="s">
        <v>293</v>
      </c>
      <c r="N27" s="187">
        <v>315.45229399999999</v>
      </c>
      <c r="O27" s="186">
        <f t="shared" si="2"/>
        <v>722.66492854018998</v>
      </c>
      <c r="P27" s="186">
        <f t="shared" si="3"/>
        <v>237.95761135954521</v>
      </c>
      <c r="Q27" s="215">
        <f>IF(P27="-",0,P27/(1+'General inputs'!$H$30)^'MP Calculations'!$C$40)</f>
        <v>528.57262590469372</v>
      </c>
      <c r="R27" s="201"/>
    </row>
    <row r="28" spans="3:18">
      <c r="C28" s="159"/>
      <c r="D28" s="165" t="s">
        <v>284</v>
      </c>
      <c r="E28" s="162">
        <v>25569</v>
      </c>
      <c r="F28" s="166" t="str">
        <f t="shared" si="1"/>
        <v>Date check - OK</v>
      </c>
      <c r="G28" s="68"/>
      <c r="H28" s="162" t="s">
        <v>280</v>
      </c>
      <c r="I28" s="173">
        <v>21853.086195380012</v>
      </c>
      <c r="J28" s="168">
        <f>IFERROR(MIN('MP Calculations'!$E$30/I28,1),"-")</f>
        <v>0.32927792945511891</v>
      </c>
      <c r="K28" s="12"/>
      <c r="L28" s="159">
        <v>2.5528680000000001</v>
      </c>
      <c r="M28" s="187" t="s">
        <v>293</v>
      </c>
      <c r="N28" s="187">
        <v>315.45229399999999</v>
      </c>
      <c r="O28" s="186">
        <f t="shared" si="2"/>
        <v>805.30806687919198</v>
      </c>
      <c r="P28" s="186">
        <f t="shared" si="3"/>
        <v>265.17017283548478</v>
      </c>
      <c r="Q28" s="215">
        <f>IF(P28="-",0,P28/(1+'General inputs'!$H$30)^'MP Calculations'!$C$40)</f>
        <v>589.01958952460029</v>
      </c>
      <c r="R28" s="201"/>
    </row>
    <row r="29" spans="3:18">
      <c r="C29" s="159"/>
      <c r="D29" s="165" t="s">
        <v>282</v>
      </c>
      <c r="E29" s="162">
        <v>25569</v>
      </c>
      <c r="F29" s="166" t="str">
        <f t="shared" si="1"/>
        <v>Date check - OK</v>
      </c>
      <c r="G29" s="68"/>
      <c r="H29" s="162" t="s">
        <v>280</v>
      </c>
      <c r="I29" s="173">
        <v>21853.086195380012</v>
      </c>
      <c r="J29" s="168">
        <f>IFERROR(MIN('MP Calculations'!$E$30/I29,1),"-")</f>
        <v>0.32927792945511891</v>
      </c>
      <c r="K29" s="12"/>
      <c r="L29" s="159">
        <v>3.041458</v>
      </c>
      <c r="M29" s="187" t="s">
        <v>293</v>
      </c>
      <c r="N29" s="187">
        <v>237.97403299999999</v>
      </c>
      <c r="O29" s="186">
        <f t="shared" si="2"/>
        <v>723.788026460114</v>
      </c>
      <c r="P29" s="186">
        <f t="shared" si="3"/>
        <v>238.32742271719314</v>
      </c>
      <c r="Q29" s="215">
        <f>IF(P29="-",0,P29/(1+'General inputs'!$H$30)^'MP Calculations'!$C$40)</f>
        <v>529.39408380757209</v>
      </c>
      <c r="R29" s="201"/>
    </row>
    <row r="30" spans="3:18">
      <c r="C30" s="159"/>
      <c r="D30" s="165" t="s">
        <v>282</v>
      </c>
      <c r="E30" s="162">
        <v>25569</v>
      </c>
      <c r="F30" s="166" t="str">
        <f t="shared" si="1"/>
        <v>Date check - OK</v>
      </c>
      <c r="G30" s="68"/>
      <c r="H30" s="162" t="s">
        <v>280</v>
      </c>
      <c r="I30" s="173">
        <v>21853.086195380012</v>
      </c>
      <c r="J30" s="168">
        <f>IFERROR(MIN('MP Calculations'!$E$30/I30,1),"-")</f>
        <v>0.32927792945511891</v>
      </c>
      <c r="K30" s="12"/>
      <c r="L30" s="159">
        <v>94.379287000000005</v>
      </c>
      <c r="M30" s="187" t="s">
        <v>293</v>
      </c>
      <c r="N30" s="187">
        <v>237.97403299999999</v>
      </c>
      <c r="O30" s="186">
        <f t="shared" si="2"/>
        <v>22459.819559054471</v>
      </c>
      <c r="P30" s="186">
        <f t="shared" si="3"/>
        <v>7395.5228803410382</v>
      </c>
      <c r="Q30" s="215">
        <f>IF(P30="-",0,P30/(1+'General inputs'!$H$30)^'MP Calculations'!$C$40)</f>
        <v>16427.593664544078</v>
      </c>
    </row>
    <row r="31" spans="3:18">
      <c r="C31" s="159"/>
      <c r="D31" s="165" t="s">
        <v>284</v>
      </c>
      <c r="E31" s="162">
        <v>25569</v>
      </c>
      <c r="F31" s="166" t="str">
        <f t="shared" si="1"/>
        <v>Date check - OK</v>
      </c>
      <c r="G31" s="68"/>
      <c r="H31" s="162" t="s">
        <v>280</v>
      </c>
      <c r="I31" s="173">
        <v>21853.086195380012</v>
      </c>
      <c r="J31" s="168">
        <f>IFERROR(MIN('MP Calculations'!$E$30/I31,1),"-")</f>
        <v>0.32927792945511891</v>
      </c>
      <c r="K31" s="12"/>
      <c r="L31" s="159">
        <v>2.4118050000000002</v>
      </c>
      <c r="M31" s="187" t="s">
        <v>293</v>
      </c>
      <c r="N31" s="187">
        <v>315.45229399999999</v>
      </c>
      <c r="O31" s="186">
        <f t="shared" si="2"/>
        <v>760.80941993067006</v>
      </c>
      <c r="P31" s="186">
        <f t="shared" si="3"/>
        <v>250.51775050472111</v>
      </c>
      <c r="Q31" s="215">
        <f>IF(P31="-",0,P31/(1+'General inputs'!$H$30)^'MP Calculations'!$C$40)</f>
        <v>556.47232489630426</v>
      </c>
    </row>
    <row r="32" spans="3:18">
      <c r="C32" s="159"/>
      <c r="D32" s="165" t="s">
        <v>282</v>
      </c>
      <c r="E32" s="162">
        <v>25569</v>
      </c>
      <c r="F32" s="166" t="str">
        <f t="shared" si="1"/>
        <v>Date check - OK</v>
      </c>
      <c r="G32" s="68"/>
      <c r="H32" s="162" t="s">
        <v>280</v>
      </c>
      <c r="I32" s="173">
        <v>21853.086195380012</v>
      </c>
      <c r="J32" s="168">
        <f>IFERROR(MIN('MP Calculations'!$E$30/I32,1),"-")</f>
        <v>0.32927792945511891</v>
      </c>
      <c r="K32" s="12"/>
      <c r="L32" s="159">
        <v>2.2761480000000001</v>
      </c>
      <c r="M32" s="187" t="s">
        <v>293</v>
      </c>
      <c r="N32" s="187">
        <v>237.97403299999999</v>
      </c>
      <c r="O32" s="186">
        <f t="shared" si="2"/>
        <v>541.66411926488399</v>
      </c>
      <c r="P32" s="186">
        <f t="shared" si="3"/>
        <v>178.35803965167159</v>
      </c>
      <c r="Q32" s="215">
        <f>IF(P32="-",0,P32/(1+'General inputs'!$H$30)^'MP Calculations'!$C$40)</f>
        <v>396.18475253330394</v>
      </c>
    </row>
    <row r="33" spans="3:17">
      <c r="C33" s="159"/>
      <c r="D33" s="165" t="s">
        <v>282</v>
      </c>
      <c r="E33" s="162">
        <v>25569</v>
      </c>
      <c r="F33" s="166" t="str">
        <f t="shared" si="1"/>
        <v>Date check - OK</v>
      </c>
      <c r="G33" s="68"/>
      <c r="H33" s="162" t="s">
        <v>280</v>
      </c>
      <c r="I33" s="173">
        <v>21853.086195380012</v>
      </c>
      <c r="J33" s="168">
        <f>IFERROR(MIN('MP Calculations'!$E$30/I33,1),"-")</f>
        <v>0.32927792945511891</v>
      </c>
      <c r="K33" s="12"/>
      <c r="L33" s="159">
        <v>3.4969899999999998</v>
      </c>
      <c r="M33" s="187" t="s">
        <v>293</v>
      </c>
      <c r="N33" s="187">
        <v>237.97403299999999</v>
      </c>
      <c r="O33" s="186">
        <f t="shared" si="2"/>
        <v>832.19281366066991</v>
      </c>
      <c r="P33" s="186">
        <f t="shared" si="3"/>
        <v>274.02272658961499</v>
      </c>
      <c r="Q33" s="215">
        <f>IF(P33="-",0,P33/(1+'General inputs'!$H$30)^'MP Calculations'!$C$40)</f>
        <v>608.68366984986847</v>
      </c>
    </row>
    <row r="34" spans="3:17">
      <c r="C34" s="159"/>
      <c r="D34" s="165" t="s">
        <v>282</v>
      </c>
      <c r="E34" s="162">
        <v>25569</v>
      </c>
      <c r="F34" s="166" t="str">
        <f t="shared" si="1"/>
        <v>Date check - OK</v>
      </c>
      <c r="G34" s="68"/>
      <c r="H34" s="162" t="s">
        <v>280</v>
      </c>
      <c r="I34" s="173">
        <v>21853.086195380012</v>
      </c>
      <c r="J34" s="168">
        <f>IFERROR(MIN('MP Calculations'!$E$30/I34,1),"-")</f>
        <v>0.32927792945511891</v>
      </c>
      <c r="K34" s="12"/>
      <c r="L34" s="159">
        <v>165.894398</v>
      </c>
      <c r="M34" s="187" t="s">
        <v>293</v>
      </c>
      <c r="N34" s="187">
        <v>237.97403299999999</v>
      </c>
      <c r="O34" s="186">
        <f t="shared" si="2"/>
        <v>39478.558944167133</v>
      </c>
      <c r="P34" s="186">
        <f t="shared" si="3"/>
        <v>12999.418147007218</v>
      </c>
      <c r="Q34" s="215">
        <f>IF(P34="-",0,P34/(1+'General inputs'!$H$30)^'MP Calculations'!$C$40)</f>
        <v>28875.464608756298</v>
      </c>
    </row>
    <row r="35" spans="3:17">
      <c r="C35" s="159"/>
      <c r="D35" s="165" t="s">
        <v>282</v>
      </c>
      <c r="E35" s="162">
        <v>25569</v>
      </c>
      <c r="F35" s="166" t="str">
        <f t="shared" si="1"/>
        <v>Date check - OK</v>
      </c>
      <c r="G35" s="68"/>
      <c r="H35" s="162" t="s">
        <v>280</v>
      </c>
      <c r="I35" s="173">
        <v>21853.086195380012</v>
      </c>
      <c r="J35" s="168">
        <f>IFERROR(MIN('MP Calculations'!$E$30/I35,1),"-")</f>
        <v>0.32927792945511891</v>
      </c>
      <c r="K35" s="12"/>
      <c r="L35" s="159">
        <v>32.413941999999999</v>
      </c>
      <c r="M35" s="187" t="s">
        <v>293</v>
      </c>
      <c r="N35" s="187">
        <v>237.97403299999999</v>
      </c>
      <c r="O35" s="186">
        <f t="shared" si="2"/>
        <v>7713.6765031680852</v>
      </c>
      <c r="P35" s="186">
        <f t="shared" si="3"/>
        <v>2539.9434274497889</v>
      </c>
      <c r="Q35" s="215">
        <f>IF(P35="-",0,P35/(1+'General inputs'!$H$30)^'MP Calculations'!$C$40)</f>
        <v>5641.9484101643939</v>
      </c>
    </row>
    <row r="36" spans="3:17">
      <c r="C36" s="159"/>
      <c r="D36" s="165" t="s">
        <v>282</v>
      </c>
      <c r="E36" s="162">
        <v>25569</v>
      </c>
      <c r="F36" s="166" t="str">
        <f t="shared" si="1"/>
        <v>Date check - OK</v>
      </c>
      <c r="G36" s="68"/>
      <c r="H36" s="162" t="s">
        <v>280</v>
      </c>
      <c r="I36" s="173">
        <v>21853.086195380012</v>
      </c>
      <c r="J36" s="168">
        <f>IFERROR(MIN('MP Calculations'!$E$30/I36,1),"-")</f>
        <v>0.32927792945511891</v>
      </c>
      <c r="K36" s="12"/>
      <c r="L36" s="159">
        <v>36.493155999999999</v>
      </c>
      <c r="M36" s="187" t="s">
        <v>293</v>
      </c>
      <c r="N36" s="187">
        <v>237.97403299999999</v>
      </c>
      <c r="O36" s="186">
        <f t="shared" si="2"/>
        <v>8684.4235102181483</v>
      </c>
      <c r="P36" s="186">
        <f t="shared" si="3"/>
        <v>2859.5889919559877</v>
      </c>
      <c r="Q36" s="215">
        <f>IF(P36="-",0,P36/(1+'General inputs'!$H$30)^'MP Calculations'!$C$40)</f>
        <v>6351.9735882812793</v>
      </c>
    </row>
    <row r="37" spans="3:17">
      <c r="C37" s="159"/>
      <c r="D37" s="165" t="s">
        <v>284</v>
      </c>
      <c r="E37" s="162">
        <v>25777</v>
      </c>
      <c r="F37" s="166" t="str">
        <f t="shared" si="1"/>
        <v>Date check - OK</v>
      </c>
      <c r="G37" s="68"/>
      <c r="H37" s="162" t="s">
        <v>280</v>
      </c>
      <c r="I37" s="173">
        <v>21853.086195380012</v>
      </c>
      <c r="J37" s="168">
        <f>IFERROR(MIN('MP Calculations'!$E$30/I37,1),"-")</f>
        <v>0.32927792945511891</v>
      </c>
      <c r="K37" s="12"/>
      <c r="L37" s="159">
        <v>125.44422299999999</v>
      </c>
      <c r="M37" s="187" t="s">
        <v>293</v>
      </c>
      <c r="N37" s="187">
        <v>315.45229399999999</v>
      </c>
      <c r="O37" s="186">
        <f t="shared" si="2"/>
        <v>39571.667914397556</v>
      </c>
      <c r="P37" s="186">
        <f t="shared" si="3"/>
        <v>13030.076875938392</v>
      </c>
      <c r="Q37" s="215">
        <f>IF(P37="-",0,P37/(1+'General inputs'!$H$30)^'MP Calculations'!$C$40)</f>
        <v>28943.566506255869</v>
      </c>
    </row>
    <row r="38" spans="3:17">
      <c r="C38" s="159"/>
      <c r="D38" s="165" t="s">
        <v>284</v>
      </c>
      <c r="E38" s="162">
        <v>25777</v>
      </c>
      <c r="F38" s="166" t="str">
        <f t="shared" si="1"/>
        <v>Date check - OK</v>
      </c>
      <c r="G38" s="68"/>
      <c r="H38" s="162" t="s">
        <v>280</v>
      </c>
      <c r="I38" s="173">
        <v>21853.086195380012</v>
      </c>
      <c r="J38" s="168">
        <f>IFERROR(MIN('MP Calculations'!$E$30/I38,1),"-")</f>
        <v>0.32927792945511891</v>
      </c>
      <c r="K38" s="12"/>
      <c r="L38" s="159">
        <v>95.236299000000002</v>
      </c>
      <c r="M38" s="187" t="s">
        <v>293</v>
      </c>
      <c r="N38" s="187">
        <v>315.45229399999999</v>
      </c>
      <c r="O38" s="186">
        <f t="shared" si="2"/>
        <v>30042.508991619907</v>
      </c>
      <c r="P38" s="186">
        <f t="shared" si="3"/>
        <v>9892.3351563973956</v>
      </c>
      <c r="Q38" s="215">
        <f>IF(P38="-",0,P38/(1+'General inputs'!$H$30)^'MP Calculations'!$C$40)</f>
        <v>21973.735322320659</v>
      </c>
    </row>
    <row r="39" spans="3:17">
      <c r="C39" s="159"/>
      <c r="D39" s="165" t="s">
        <v>283</v>
      </c>
      <c r="E39" s="162">
        <v>25934</v>
      </c>
      <c r="F39" s="166" t="str">
        <f t="shared" si="1"/>
        <v>Date check - OK</v>
      </c>
      <c r="G39" s="68"/>
      <c r="H39" s="162" t="s">
        <v>280</v>
      </c>
      <c r="I39" s="173">
        <v>21853.086195380012</v>
      </c>
      <c r="J39" s="168">
        <f>IFERROR(MIN('MP Calculations'!$E$30/I39,1),"-")</f>
        <v>0.32927792945511891</v>
      </c>
      <c r="K39" s="12"/>
      <c r="L39" s="159">
        <v>4.0981259999999997</v>
      </c>
      <c r="M39" s="187" t="s">
        <v>293</v>
      </c>
      <c r="N39" s="187">
        <v>192.78728599999999</v>
      </c>
      <c r="O39" s="186">
        <f t="shared" si="2"/>
        <v>790.06658922603594</v>
      </c>
      <c r="P39" s="186">
        <f t="shared" si="3"/>
        <v>260.1514906320171</v>
      </c>
      <c r="Q39" s="215">
        <f>IF(P39="-",0,P39/(1+'General inputs'!$H$30)^'MP Calculations'!$C$40)</f>
        <v>577.87164592358693</v>
      </c>
    </row>
    <row r="40" spans="3:17">
      <c r="C40" s="159"/>
      <c r="D40" s="165" t="s">
        <v>283</v>
      </c>
      <c r="E40" s="162">
        <v>25934</v>
      </c>
      <c r="F40" s="166" t="str">
        <f t="shared" si="1"/>
        <v>Date check - OK</v>
      </c>
      <c r="G40" s="68"/>
      <c r="H40" s="162" t="s">
        <v>280</v>
      </c>
      <c r="I40" s="173">
        <v>21853.086195380012</v>
      </c>
      <c r="J40" s="168">
        <f>IFERROR(MIN('MP Calculations'!$E$30/I40,1),"-")</f>
        <v>0.32927792945511891</v>
      </c>
      <c r="K40" s="12"/>
      <c r="L40" s="159">
        <v>42.368279999999999</v>
      </c>
      <c r="M40" s="187" t="s">
        <v>293</v>
      </c>
      <c r="N40" s="187">
        <v>192.78728599999999</v>
      </c>
      <c r="O40" s="186">
        <f t="shared" si="2"/>
        <v>8168.0657136880791</v>
      </c>
      <c r="P40" s="186">
        <f t="shared" si="3"/>
        <v>2689.5637658565588</v>
      </c>
      <c r="Q40" s="215">
        <f>IF(P40="-",0,P40/(1+'General inputs'!$H$30)^'MP Calculations'!$C$40)</f>
        <v>5974.2984228770383</v>
      </c>
    </row>
    <row r="41" spans="3:17">
      <c r="C41" s="159"/>
      <c r="D41" s="165" t="s">
        <v>283</v>
      </c>
      <c r="E41" s="162">
        <v>25934</v>
      </c>
      <c r="F41" s="166" t="str">
        <f t="shared" si="1"/>
        <v>Date check - OK</v>
      </c>
      <c r="G41" s="68"/>
      <c r="H41" s="162" t="s">
        <v>280</v>
      </c>
      <c r="I41" s="173">
        <v>21853.086195380012</v>
      </c>
      <c r="J41" s="168">
        <f>IFERROR(MIN('MP Calculations'!$E$30/I41,1),"-")</f>
        <v>0.32927792945511891</v>
      </c>
      <c r="K41" s="12"/>
      <c r="L41" s="159">
        <v>10.294152</v>
      </c>
      <c r="M41" s="187" t="s">
        <v>293</v>
      </c>
      <c r="N41" s="187">
        <v>192.78728599999999</v>
      </c>
      <c r="O41" s="186">
        <f t="shared" si="2"/>
        <v>1984.5816257514721</v>
      </c>
      <c r="P41" s="186">
        <f t="shared" si="3"/>
        <v>653.47892856211843</v>
      </c>
      <c r="Q41" s="215">
        <f>IF(P41="-",0,P41/(1+'General inputs'!$H$30)^'MP Calculations'!$C$40)</f>
        <v>1451.5655593867987</v>
      </c>
    </row>
    <row r="42" spans="3:17">
      <c r="C42" s="159"/>
      <c r="D42" s="165" t="s">
        <v>283</v>
      </c>
      <c r="E42" s="162">
        <v>25934</v>
      </c>
      <c r="F42" s="166" t="str">
        <f t="shared" si="1"/>
        <v>Date check - OK</v>
      </c>
      <c r="G42" s="68"/>
      <c r="H42" s="162" t="s">
        <v>280</v>
      </c>
      <c r="I42" s="173">
        <v>21853.086195380012</v>
      </c>
      <c r="J42" s="168">
        <f>IFERROR(MIN('MP Calculations'!$E$30/I42,1),"-")</f>
        <v>0.32927792945511891</v>
      </c>
      <c r="K42" s="12"/>
      <c r="L42" s="159">
        <v>6.7492660000000004</v>
      </c>
      <c r="M42" s="187" t="s">
        <v>293</v>
      </c>
      <c r="N42" s="187">
        <v>192.78728599999999</v>
      </c>
      <c r="O42" s="186">
        <f t="shared" si="2"/>
        <v>1301.172674632076</v>
      </c>
      <c r="P42" s="186">
        <f t="shared" si="3"/>
        <v>428.44744416642914</v>
      </c>
      <c r="Q42" s="215">
        <f>IF(P42="-",0,P42/(1+'General inputs'!$H$30)^'MP Calculations'!$C$40)</f>
        <v>951.70559719152209</v>
      </c>
    </row>
    <row r="43" spans="3:17">
      <c r="C43" s="159"/>
      <c r="D43" s="165" t="s">
        <v>283</v>
      </c>
      <c r="E43" s="162">
        <v>25934</v>
      </c>
      <c r="F43" s="166" t="str">
        <f t="shared" si="1"/>
        <v>Date check - OK</v>
      </c>
      <c r="G43" s="68"/>
      <c r="H43" s="162" t="s">
        <v>280</v>
      </c>
      <c r="I43" s="173">
        <v>21853.086195380012</v>
      </c>
      <c r="J43" s="168">
        <f>IFERROR(MIN('MP Calculations'!$E$30/I43,1),"-")</f>
        <v>0.32927792945511891</v>
      </c>
      <c r="K43" s="12"/>
      <c r="L43" s="159">
        <v>0.70005799999999996</v>
      </c>
      <c r="M43" s="187" t="s">
        <v>293</v>
      </c>
      <c r="N43" s="187">
        <v>192.78728599999999</v>
      </c>
      <c r="O43" s="186">
        <f t="shared" si="2"/>
        <v>134.96228186258799</v>
      </c>
      <c r="P43" s="186">
        <f t="shared" si="3"/>
        <v>44.440100726251124</v>
      </c>
      <c r="Q43" s="215">
        <f>IF(P43="-",0,P43/(1+'General inputs'!$H$30)^'MP Calculations'!$C$40)</f>
        <v>98.714307149651901</v>
      </c>
    </row>
    <row r="44" spans="3:17">
      <c r="C44" s="159"/>
      <c r="D44" s="165" t="s">
        <v>283</v>
      </c>
      <c r="E44" s="162">
        <v>25934</v>
      </c>
      <c r="F44" s="166" t="str">
        <f t="shared" si="1"/>
        <v>Date check - OK</v>
      </c>
      <c r="G44" s="68"/>
      <c r="H44" s="162" t="s">
        <v>280</v>
      </c>
      <c r="I44" s="173">
        <v>21853.086195380012</v>
      </c>
      <c r="J44" s="168">
        <f>IFERROR(MIN('MP Calculations'!$E$30/I44,1),"-")</f>
        <v>0.32927792945511891</v>
      </c>
      <c r="K44" s="12"/>
      <c r="L44" s="159">
        <v>15.69327</v>
      </c>
      <c r="M44" s="187" t="s">
        <v>293</v>
      </c>
      <c r="N44" s="187">
        <v>192.78728599999999</v>
      </c>
      <c r="O44" s="186">
        <f t="shared" si="2"/>
        <v>3025.4629317652198</v>
      </c>
      <c r="P44" s="186">
        <f t="shared" si="3"/>
        <v>996.21816981486529</v>
      </c>
      <c r="Q44" s="215">
        <f>IF(P44="-",0,P44/(1+'General inputs'!$H$30)^'MP Calculations'!$C$40)</f>
        <v>2212.8884677589826</v>
      </c>
    </row>
    <row r="45" spans="3:17">
      <c r="C45" s="159"/>
      <c r="D45" s="165" t="s">
        <v>283</v>
      </c>
      <c r="E45" s="162">
        <v>25934</v>
      </c>
      <c r="F45" s="166" t="str">
        <f t="shared" si="1"/>
        <v>Date check - OK</v>
      </c>
      <c r="G45" s="68"/>
      <c r="H45" s="162" t="s">
        <v>280</v>
      </c>
      <c r="I45" s="173">
        <v>21853.086195380012</v>
      </c>
      <c r="J45" s="168">
        <f>IFERROR(MIN('MP Calculations'!$E$30/I45,1),"-")</f>
        <v>0.32927792945511891</v>
      </c>
      <c r="K45" s="12"/>
      <c r="L45" s="159">
        <v>10.739451000000001</v>
      </c>
      <c r="M45" s="187" t="s">
        <v>293</v>
      </c>
      <c r="N45" s="187">
        <v>192.78728599999999</v>
      </c>
      <c r="O45" s="186">
        <f t="shared" si="2"/>
        <v>2070.429611419986</v>
      </c>
      <c r="P45" s="186">
        <f t="shared" si="3"/>
        <v>681.74677553093943</v>
      </c>
      <c r="Q45" s="215">
        <f>IF(P45="-",0,P45/(1+'General inputs'!$H$30)^'MP Calculations'!$C$40)</f>
        <v>1514.3566170697804</v>
      </c>
    </row>
    <row r="46" spans="3:17">
      <c r="C46" s="159"/>
      <c r="D46" s="165" t="s">
        <v>283</v>
      </c>
      <c r="E46" s="162">
        <v>25934</v>
      </c>
      <c r="F46" s="166" t="str">
        <f t="shared" si="1"/>
        <v>Date check - OK</v>
      </c>
      <c r="G46" s="68"/>
      <c r="H46" s="162" t="s">
        <v>280</v>
      </c>
      <c r="I46" s="173">
        <v>21853.086195380012</v>
      </c>
      <c r="J46" s="168">
        <f>IFERROR(MIN('MP Calculations'!$E$30/I46,1),"-")</f>
        <v>0.32927792945511891</v>
      </c>
      <c r="K46" s="12"/>
      <c r="L46" s="159">
        <v>13.345665</v>
      </c>
      <c r="M46" s="187" t="s">
        <v>293</v>
      </c>
      <c r="N46" s="187">
        <v>192.78728599999999</v>
      </c>
      <c r="O46" s="186">
        <f t="shared" si="2"/>
        <v>2572.87453521519</v>
      </c>
      <c r="P46" s="186">
        <f t="shared" si="3"/>
        <v>847.19079970345922</v>
      </c>
      <c r="Q46" s="215">
        <f>IF(P46="-",0,P46/(1+'General inputs'!$H$30)^'MP Calculations'!$C$40)</f>
        <v>1881.8556090014818</v>
      </c>
    </row>
    <row r="47" spans="3:17">
      <c r="C47" s="159"/>
      <c r="D47" s="165" t="s">
        <v>283</v>
      </c>
      <c r="E47" s="162">
        <v>25934</v>
      </c>
      <c r="F47" s="166" t="str">
        <f t="shared" si="1"/>
        <v>Date check - OK</v>
      </c>
      <c r="G47" s="68"/>
      <c r="H47" s="162" t="s">
        <v>280</v>
      </c>
      <c r="I47" s="173">
        <v>21853.086195380012</v>
      </c>
      <c r="J47" s="168">
        <f>IFERROR(MIN('MP Calculations'!$E$30/I47,1),"-")</f>
        <v>0.32927792945511891</v>
      </c>
      <c r="K47" s="12"/>
      <c r="L47" s="159">
        <v>38.943069000000001</v>
      </c>
      <c r="M47" s="187" t="s">
        <v>293</v>
      </c>
      <c r="N47" s="187">
        <v>192.78728599999999</v>
      </c>
      <c r="O47" s="186">
        <f t="shared" si="2"/>
        <v>7507.7285810207341</v>
      </c>
      <c r="P47" s="186">
        <f t="shared" si="3"/>
        <v>2472.1293220695252</v>
      </c>
      <c r="Q47" s="215">
        <f>IF(P47="-",0,P47/(1+'General inputs'!$H$30)^'MP Calculations'!$C$40)</f>
        <v>5491.3136834606385</v>
      </c>
    </row>
    <row r="48" spans="3:17">
      <c r="C48" s="159"/>
      <c r="D48" s="165" t="s">
        <v>283</v>
      </c>
      <c r="E48" s="162">
        <v>25934</v>
      </c>
      <c r="F48" s="166" t="str">
        <f t="shared" si="1"/>
        <v>Date check - OK</v>
      </c>
      <c r="G48" s="68"/>
      <c r="H48" s="162" t="s">
        <v>280</v>
      </c>
      <c r="I48" s="173">
        <v>21853.086195380012</v>
      </c>
      <c r="J48" s="168">
        <f>IFERROR(MIN('MP Calculations'!$E$30/I48,1),"-")</f>
        <v>0.32927792945511891</v>
      </c>
      <c r="K48" s="12"/>
      <c r="L48" s="159">
        <v>0.90848499999999999</v>
      </c>
      <c r="M48" s="187" t="s">
        <v>293</v>
      </c>
      <c r="N48" s="187">
        <v>192.78728599999999</v>
      </c>
      <c r="O48" s="186">
        <f t="shared" si="2"/>
        <v>175.14435752170999</v>
      </c>
      <c r="P48" s="186">
        <f t="shared" si="3"/>
        <v>57.671171400495751</v>
      </c>
      <c r="Q48" s="215">
        <f>IF(P48="-",0,P48/(1+'General inputs'!$H$30)^'MP Calculations'!$C$40)</f>
        <v>128.1043389702732</v>
      </c>
    </row>
    <row r="49" spans="3:17">
      <c r="C49" s="159"/>
      <c r="D49" s="165" t="s">
        <v>283</v>
      </c>
      <c r="E49" s="162">
        <v>25934</v>
      </c>
      <c r="F49" s="166" t="str">
        <f t="shared" si="1"/>
        <v>Date check - OK</v>
      </c>
      <c r="G49" s="68"/>
      <c r="H49" s="162" t="s">
        <v>280</v>
      </c>
      <c r="I49" s="173">
        <v>21853.086195380012</v>
      </c>
      <c r="J49" s="168">
        <f>IFERROR(MIN('MP Calculations'!$E$30/I49,1),"-")</f>
        <v>0.32927792945511891</v>
      </c>
      <c r="K49" s="12"/>
      <c r="L49" s="159">
        <v>1.3692850000000001</v>
      </c>
      <c r="M49" s="187" t="s">
        <v>293</v>
      </c>
      <c r="N49" s="187">
        <v>192.78728599999999</v>
      </c>
      <c r="O49" s="186">
        <f t="shared" si="2"/>
        <v>263.98073891051001</v>
      </c>
      <c r="P49" s="186">
        <f t="shared" si="3"/>
        <v>86.923031124485078</v>
      </c>
      <c r="Q49" s="215">
        <f>IF(P49="-",0,P49/(1+'General inputs'!$H$30)^'MP Calculations'!$C$40)</f>
        <v>193.08117336765113</v>
      </c>
    </row>
    <row r="50" spans="3:17">
      <c r="C50" s="159"/>
      <c r="D50" s="165" t="s">
        <v>283</v>
      </c>
      <c r="E50" s="162">
        <v>25934</v>
      </c>
      <c r="F50" s="166" t="str">
        <f t="shared" si="1"/>
        <v>Date check - OK</v>
      </c>
      <c r="G50" s="68"/>
      <c r="H50" s="162" t="s">
        <v>280</v>
      </c>
      <c r="I50" s="173">
        <v>21853.086195380012</v>
      </c>
      <c r="J50" s="168">
        <f>IFERROR(MIN('MP Calculations'!$E$30/I50,1),"-")</f>
        <v>0.32927792945511891</v>
      </c>
      <c r="K50" s="12"/>
      <c r="L50" s="159">
        <v>54.061304999999997</v>
      </c>
      <c r="M50" s="187" t="s">
        <v>293</v>
      </c>
      <c r="N50" s="187">
        <v>192.78728599999999</v>
      </c>
      <c r="O50" s="186">
        <f t="shared" si="2"/>
        <v>10422.332268568229</v>
      </c>
      <c r="P50" s="186">
        <f t="shared" si="3"/>
        <v>3431.8439894874186</v>
      </c>
      <c r="Q50" s="215">
        <f>IF(P50="-",0,P50/(1+'General inputs'!$H$30)^'MP Calculations'!$C$40)</f>
        <v>7623.1173226804231</v>
      </c>
    </row>
    <row r="51" spans="3:17">
      <c r="C51" s="159"/>
      <c r="D51" s="165" t="s">
        <v>283</v>
      </c>
      <c r="E51" s="162">
        <v>25934</v>
      </c>
      <c r="F51" s="166" t="str">
        <f t="shared" si="1"/>
        <v>Date check - OK</v>
      </c>
      <c r="G51" s="68"/>
      <c r="H51" s="162" t="s">
        <v>280</v>
      </c>
      <c r="I51" s="173">
        <v>21853.086195380012</v>
      </c>
      <c r="J51" s="168">
        <f>IFERROR(MIN('MP Calculations'!$E$30/I51,1),"-")</f>
        <v>0.32927792945511891</v>
      </c>
      <c r="K51" s="12"/>
      <c r="L51" s="159">
        <v>1.6191930000000001</v>
      </c>
      <c r="M51" s="187" t="s">
        <v>293</v>
      </c>
      <c r="N51" s="187">
        <v>192.78728599999999</v>
      </c>
      <c r="O51" s="186">
        <f t="shared" si="2"/>
        <v>312.15982398019798</v>
      </c>
      <c r="P51" s="186">
        <f t="shared" si="3"/>
        <v>102.78734049927397</v>
      </c>
      <c r="Q51" s="215">
        <f>IF(P51="-",0,P51/(1+'General inputs'!$H$30)^'MP Calculations'!$C$40)</f>
        <v>228.32038936283325</v>
      </c>
    </row>
    <row r="52" spans="3:17">
      <c r="C52" s="159"/>
      <c r="D52" s="165" t="s">
        <v>283</v>
      </c>
      <c r="E52" s="162">
        <v>25934</v>
      </c>
      <c r="F52" s="166" t="str">
        <f t="shared" si="1"/>
        <v>Date check - OK</v>
      </c>
      <c r="G52" s="68"/>
      <c r="H52" s="162" t="s">
        <v>280</v>
      </c>
      <c r="I52" s="173">
        <v>21853.086195380012</v>
      </c>
      <c r="J52" s="168">
        <f>IFERROR(MIN('MP Calculations'!$E$30/I52,1),"-")</f>
        <v>0.32927792945511891</v>
      </c>
      <c r="K52" s="12"/>
      <c r="L52" s="159">
        <v>5.3398349999999999</v>
      </c>
      <c r="M52" s="187" t="s">
        <v>293</v>
      </c>
      <c r="N52" s="187">
        <v>192.78728599999999</v>
      </c>
      <c r="O52" s="186">
        <f t="shared" si="2"/>
        <v>1029.45229733781</v>
      </c>
      <c r="P52" s="186">
        <f t="shared" si="3"/>
        <v>338.97592094020951</v>
      </c>
      <c r="Q52" s="215">
        <f>IF(P52="-",0,P52/(1+'General inputs'!$H$30)^'MP Calculations'!$C$40)</f>
        <v>752.96348633750563</v>
      </c>
    </row>
    <row r="53" spans="3:17">
      <c r="C53" s="159"/>
      <c r="D53" s="165" t="s">
        <v>283</v>
      </c>
      <c r="E53" s="162">
        <v>25934</v>
      </c>
      <c r="F53" s="166" t="str">
        <f t="shared" si="1"/>
        <v>Date check - OK</v>
      </c>
      <c r="G53" s="68"/>
      <c r="H53" s="162" t="s">
        <v>280</v>
      </c>
      <c r="I53" s="173">
        <v>21853.086195380012</v>
      </c>
      <c r="J53" s="168">
        <f>IFERROR(MIN('MP Calculations'!$E$30/I53,1),"-")</f>
        <v>0.32927792945511891</v>
      </c>
      <c r="K53" s="12"/>
      <c r="L53" s="159">
        <v>43.295220999999998</v>
      </c>
      <c r="M53" s="187" t="s">
        <v>293</v>
      </c>
      <c r="N53" s="187">
        <v>192.78728599999999</v>
      </c>
      <c r="O53" s="186">
        <f t="shared" si="2"/>
        <v>8346.7681533602063</v>
      </c>
      <c r="P53" s="186">
        <f t="shared" si="3"/>
        <v>2748.4065351803752</v>
      </c>
      <c r="Q53" s="215">
        <f>IF(P53="-",0,P53/(1+'General inputs'!$H$30)^'MP Calculations'!$C$40)</f>
        <v>6105.0052194333321</v>
      </c>
    </row>
    <row r="54" spans="3:17">
      <c r="C54" s="159"/>
      <c r="D54" s="165" t="s">
        <v>283</v>
      </c>
      <c r="E54" s="162">
        <v>25934</v>
      </c>
      <c r="F54" s="166" t="str">
        <f t="shared" si="1"/>
        <v>Date check - OK</v>
      </c>
      <c r="G54" s="68"/>
      <c r="H54" s="162" t="s">
        <v>280</v>
      </c>
      <c r="I54" s="173">
        <v>21853.086195380012</v>
      </c>
      <c r="J54" s="168">
        <f>IFERROR(MIN('MP Calculations'!$E$30/I54,1),"-")</f>
        <v>0.32927792945511891</v>
      </c>
      <c r="K54" s="12"/>
      <c r="L54" s="159">
        <v>12.218686</v>
      </c>
      <c r="M54" s="187" t="s">
        <v>293</v>
      </c>
      <c r="N54" s="187">
        <v>192.78728599999999</v>
      </c>
      <c r="O54" s="186">
        <f t="shared" si="2"/>
        <v>2355.6073124261961</v>
      </c>
      <c r="P54" s="186">
        <f t="shared" si="3"/>
        <v>775.64949844503531</v>
      </c>
      <c r="Q54" s="215">
        <f>IF(P54="-",0,P54/(1+'General inputs'!$H$30)^'MP Calculations'!$C$40)</f>
        <v>1722.9417030719624</v>
      </c>
    </row>
    <row r="55" spans="3:17">
      <c r="C55" s="159"/>
      <c r="D55" s="165" t="s">
        <v>283</v>
      </c>
      <c r="E55" s="162">
        <v>25934</v>
      </c>
      <c r="F55" s="166" t="str">
        <f t="shared" si="1"/>
        <v>Date check - OK</v>
      </c>
      <c r="G55" s="68"/>
      <c r="H55" s="162" t="s">
        <v>280</v>
      </c>
      <c r="I55" s="173">
        <v>21853.086195380012</v>
      </c>
      <c r="J55" s="168">
        <f>IFERROR(MIN('MP Calculations'!$E$30/I55,1),"-")</f>
        <v>0.32927792945511891</v>
      </c>
      <c r="K55" s="12"/>
      <c r="L55" s="159">
        <v>46.001058999999998</v>
      </c>
      <c r="M55" s="187" t="s">
        <v>293</v>
      </c>
      <c r="N55" s="187">
        <v>192.78728599999999</v>
      </c>
      <c r="O55" s="186">
        <f t="shared" si="2"/>
        <v>8868.4193177358738</v>
      </c>
      <c r="P55" s="186">
        <f t="shared" si="3"/>
        <v>2920.1747504838468</v>
      </c>
      <c r="Q55" s="215">
        <f>IF(P55="-",0,P55/(1+'General inputs'!$H$30)^'MP Calculations'!$C$40)</f>
        <v>6486.5520675933412</v>
      </c>
    </row>
    <row r="56" spans="3:17">
      <c r="C56" s="159"/>
      <c r="D56" s="165" t="s">
        <v>283</v>
      </c>
      <c r="E56" s="162">
        <v>25934</v>
      </c>
      <c r="F56" s="166" t="str">
        <f t="shared" si="1"/>
        <v>Date check - OK</v>
      </c>
      <c r="G56" s="68"/>
      <c r="H56" s="162" t="s">
        <v>280</v>
      </c>
      <c r="I56" s="173">
        <v>21853.086195380012</v>
      </c>
      <c r="J56" s="168">
        <f>IFERROR(MIN('MP Calculations'!$E$30/I56,1),"-")</f>
        <v>0.32927792945511891</v>
      </c>
      <c r="K56" s="12"/>
      <c r="L56" s="159">
        <v>49.410195000000002</v>
      </c>
      <c r="M56" s="187" t="s">
        <v>293</v>
      </c>
      <c r="N56" s="187">
        <v>192.78728599999999</v>
      </c>
      <c r="O56" s="186">
        <f t="shared" si="2"/>
        <v>9525.6573947807701</v>
      </c>
      <c r="P56" s="186">
        <f t="shared" si="3"/>
        <v>3136.5887436522544</v>
      </c>
      <c r="Q56" s="215">
        <f>IF(P56="-",0,P56/(1+'General inputs'!$H$30)^'MP Calculations'!$C$40)</f>
        <v>6967.2700912698592</v>
      </c>
    </row>
    <row r="57" spans="3:17">
      <c r="C57" s="159"/>
      <c r="D57" s="165" t="s">
        <v>283</v>
      </c>
      <c r="E57" s="162">
        <v>25934</v>
      </c>
      <c r="F57" s="166" t="str">
        <f t="shared" si="1"/>
        <v>Date check - OK</v>
      </c>
      <c r="G57" s="68"/>
      <c r="H57" s="162" t="s">
        <v>280</v>
      </c>
      <c r="I57" s="173">
        <v>21853.086195380012</v>
      </c>
      <c r="J57" s="168">
        <f>IFERROR(MIN('MP Calculations'!$E$30/I57,1),"-")</f>
        <v>0.32927792945511891</v>
      </c>
      <c r="K57" s="12"/>
      <c r="L57" s="159">
        <v>1.5012570000000001</v>
      </c>
      <c r="M57" s="187" t="s">
        <v>293</v>
      </c>
      <c r="N57" s="187">
        <v>192.78728599999999</v>
      </c>
      <c r="O57" s="186">
        <f t="shared" si="2"/>
        <v>289.42326261850201</v>
      </c>
      <c r="P57" s="186">
        <f t="shared" si="3"/>
        <v>95.300692651165463</v>
      </c>
      <c r="Q57" s="215">
        <f>IF(P57="-",0,P57/(1+'General inputs'!$H$30)^'MP Calculations'!$C$40)</f>
        <v>211.69038080925435</v>
      </c>
    </row>
    <row r="58" spans="3:17">
      <c r="C58" s="159"/>
      <c r="D58" s="165" t="s">
        <v>283</v>
      </c>
      <c r="E58" s="162">
        <v>25934</v>
      </c>
      <c r="F58" s="166" t="str">
        <f t="shared" si="1"/>
        <v>Date check - OK</v>
      </c>
      <c r="G58" s="68"/>
      <c r="H58" s="162" t="s">
        <v>280</v>
      </c>
      <c r="I58" s="173">
        <v>21853.086195380012</v>
      </c>
      <c r="J58" s="168">
        <f>IFERROR(MIN('MP Calculations'!$E$30/I58,1),"-")</f>
        <v>0.32927792945511891</v>
      </c>
      <c r="K58" s="12"/>
      <c r="L58" s="159">
        <v>71.286732999999998</v>
      </c>
      <c r="M58" s="187" t="s">
        <v>293</v>
      </c>
      <c r="N58" s="187">
        <v>192.78728599999999</v>
      </c>
      <c r="O58" s="186">
        <f t="shared" si="2"/>
        <v>13743.175782876637</v>
      </c>
      <c r="P58" s="186">
        <f t="shared" si="3"/>
        <v>4525.3244659233515</v>
      </c>
      <c r="Q58" s="215">
        <f>IF(P58="-",0,P58/(1+'General inputs'!$H$30)^'MP Calculations'!$C$40)</f>
        <v>10052.053482793177</v>
      </c>
    </row>
    <row r="59" spans="3:17">
      <c r="C59" s="159"/>
      <c r="D59" s="165" t="s">
        <v>283</v>
      </c>
      <c r="E59" s="162">
        <v>25934</v>
      </c>
      <c r="F59" s="166" t="str">
        <f t="shared" si="1"/>
        <v>Date check - OK</v>
      </c>
      <c r="G59" s="68"/>
      <c r="H59" s="162" t="s">
        <v>280</v>
      </c>
      <c r="I59" s="173">
        <v>21853.086195380012</v>
      </c>
      <c r="J59" s="168">
        <f>IFERROR(MIN('MP Calculations'!$E$30/I59,1),"-")</f>
        <v>0.32927792945511891</v>
      </c>
      <c r="K59" s="12"/>
      <c r="L59" s="159">
        <v>0.78296399999999999</v>
      </c>
      <c r="M59" s="187" t="s">
        <v>293</v>
      </c>
      <c r="N59" s="187">
        <v>192.78728599999999</v>
      </c>
      <c r="O59" s="186">
        <f t="shared" si="2"/>
        <v>150.94550459570399</v>
      </c>
      <c r="P59" s="186">
        <f t="shared" si="3"/>
        <v>49.70302321383155</v>
      </c>
      <c r="Q59" s="215">
        <f>IF(P59="-",0,P59/(1+'General inputs'!$H$30)^'MP Calculations'!$C$40)</f>
        <v>110.40477900848224</v>
      </c>
    </row>
    <row r="60" spans="3:17">
      <c r="C60" s="159"/>
      <c r="D60" s="165" t="s">
        <v>283</v>
      </c>
      <c r="E60" s="162">
        <v>25934</v>
      </c>
      <c r="F60" s="166" t="str">
        <f t="shared" si="1"/>
        <v>Date check - OK</v>
      </c>
      <c r="G60" s="68"/>
      <c r="H60" s="162" t="s">
        <v>280</v>
      </c>
      <c r="I60" s="173">
        <v>21853.086195380012</v>
      </c>
      <c r="J60" s="168">
        <f>IFERROR(MIN('MP Calculations'!$E$30/I60,1),"-")</f>
        <v>0.32927792945511891</v>
      </c>
      <c r="K60" s="12"/>
      <c r="L60" s="159">
        <v>9.5455520000000007</v>
      </c>
      <c r="M60" s="187" t="s">
        <v>293</v>
      </c>
      <c r="N60" s="187">
        <v>192.78728599999999</v>
      </c>
      <c r="O60" s="186">
        <f t="shared" si="2"/>
        <v>1840.2610634518721</v>
      </c>
      <c r="P60" s="186">
        <f t="shared" si="3"/>
        <v>605.9573526303077</v>
      </c>
      <c r="Q60" s="215">
        <f>IF(P60="-",0,P60/(1+'General inputs'!$H$30)^'MP Calculations'!$C$40)</f>
        <v>1346.0064052421003</v>
      </c>
    </row>
    <row r="61" spans="3:17">
      <c r="C61" s="159"/>
      <c r="D61" s="165" t="s">
        <v>285</v>
      </c>
      <c r="E61" s="162">
        <v>26114</v>
      </c>
      <c r="F61" s="166" t="str">
        <f t="shared" si="1"/>
        <v>Date check - OK</v>
      </c>
      <c r="G61" s="68"/>
      <c r="H61" s="162" t="s">
        <v>280</v>
      </c>
      <c r="I61" s="173">
        <v>21853.086195380012</v>
      </c>
      <c r="J61" s="168">
        <f>IFERROR(MIN('MP Calculations'!$E$30/I61,1),"-")</f>
        <v>0.32927792945511891</v>
      </c>
      <c r="K61" s="12"/>
      <c r="L61" s="159">
        <v>1</v>
      </c>
      <c r="M61" s="187" t="s">
        <v>294</v>
      </c>
      <c r="N61" s="187">
        <v>136449.16719499999</v>
      </c>
      <c r="O61" s="186">
        <f t="shared" si="2"/>
        <v>136449.16719499999</v>
      </c>
      <c r="P61" s="186">
        <f t="shared" si="3"/>
        <v>44929.699249844933</v>
      </c>
      <c r="Q61" s="215">
        <f>IF(P61="-",0,P61/(1+'General inputs'!$H$30)^'MP Calculations'!$C$40)</f>
        <v>99801.846967254212</v>
      </c>
    </row>
    <row r="62" spans="3:17">
      <c r="C62" s="159"/>
      <c r="D62" s="165" t="s">
        <v>286</v>
      </c>
      <c r="E62" s="162">
        <v>26114</v>
      </c>
      <c r="F62" s="166" t="str">
        <f t="shared" si="1"/>
        <v>Date check - OK</v>
      </c>
      <c r="G62" s="68"/>
      <c r="H62" s="162" t="s">
        <v>280</v>
      </c>
      <c r="I62" s="173">
        <v>21853.086195380012</v>
      </c>
      <c r="J62" s="168">
        <f>IFERROR(MIN('MP Calculations'!$E$30/I62,1),"-")</f>
        <v>0.32927792945511891</v>
      </c>
      <c r="K62" s="12"/>
      <c r="L62" s="159">
        <v>1</v>
      </c>
      <c r="M62" s="187" t="s">
        <v>294</v>
      </c>
      <c r="N62" s="187">
        <v>14564.465396</v>
      </c>
      <c r="O62" s="186">
        <f t="shared" si="2"/>
        <v>14564.465396</v>
      </c>
      <c r="P62" s="186">
        <f t="shared" si="3"/>
        <v>4795.7570092156084</v>
      </c>
      <c r="Q62" s="215">
        <f>IF(P62="-",0,P62/(1+'General inputs'!$H$30)^'MP Calculations'!$C$40)</f>
        <v>10652.762317956642</v>
      </c>
    </row>
    <row r="63" spans="3:17">
      <c r="C63" s="159"/>
      <c r="D63" s="165" t="s">
        <v>284</v>
      </c>
      <c r="E63" s="162">
        <v>26299</v>
      </c>
      <c r="F63" s="166" t="str">
        <f t="shared" si="1"/>
        <v>Date check - OK</v>
      </c>
      <c r="G63" s="68"/>
      <c r="H63" s="162" t="s">
        <v>280</v>
      </c>
      <c r="I63" s="173">
        <v>21853.086195380012</v>
      </c>
      <c r="J63" s="168">
        <f>IFERROR(MIN('MP Calculations'!$E$30/I63,1),"-")</f>
        <v>0.32927792945511891</v>
      </c>
      <c r="K63" s="12"/>
      <c r="L63" s="159">
        <v>5.349335</v>
      </c>
      <c r="M63" s="187" t="s">
        <v>293</v>
      </c>
      <c r="N63" s="187">
        <v>315.45229399999999</v>
      </c>
      <c r="O63" s="186">
        <f t="shared" si="2"/>
        <v>1687.45999712449</v>
      </c>
      <c r="P63" s="186">
        <f t="shared" si="3"/>
        <v>555.64333389149294</v>
      </c>
      <c r="Q63" s="215">
        <f>IF(P63="-",0,P63/(1+'General inputs'!$H$30)^'MP Calculations'!$C$40)</f>
        <v>1234.2444285915203</v>
      </c>
    </row>
    <row r="64" spans="3:17">
      <c r="C64" s="159"/>
      <c r="D64" s="165" t="s">
        <v>284</v>
      </c>
      <c r="E64" s="162">
        <v>26299</v>
      </c>
      <c r="F64" s="166" t="str">
        <f t="shared" si="1"/>
        <v>Date check - OK</v>
      </c>
      <c r="G64" s="68"/>
      <c r="H64" s="162" t="s">
        <v>280</v>
      </c>
      <c r="I64" s="173">
        <v>21853.086195380012</v>
      </c>
      <c r="J64" s="168">
        <f>IFERROR(MIN('MP Calculations'!$E$30/I64,1),"-")</f>
        <v>0.32927792945511891</v>
      </c>
      <c r="K64" s="12"/>
      <c r="L64" s="159">
        <v>6.6653149999999997</v>
      </c>
      <c r="M64" s="187" t="s">
        <v>293</v>
      </c>
      <c r="N64" s="187">
        <v>315.45229399999999</v>
      </c>
      <c r="O64" s="186">
        <f t="shared" si="2"/>
        <v>2102.5889069826098</v>
      </c>
      <c r="P64" s="186">
        <f t="shared" si="3"/>
        <v>692.33612178653539</v>
      </c>
      <c r="Q64" s="215">
        <f>IF(P64="-",0,P64/(1+'General inputs'!$H$30)^'MP Calculations'!$C$40)</f>
        <v>1537.8786154835113</v>
      </c>
    </row>
    <row r="65" spans="3:17">
      <c r="C65" s="159"/>
      <c r="D65" s="165" t="s">
        <v>283</v>
      </c>
      <c r="E65" s="162">
        <v>26299</v>
      </c>
      <c r="F65" s="166" t="str">
        <f t="shared" si="1"/>
        <v>Date check - OK</v>
      </c>
      <c r="G65" s="68"/>
      <c r="H65" s="162" t="s">
        <v>280</v>
      </c>
      <c r="I65" s="173">
        <v>21853.086195380012</v>
      </c>
      <c r="J65" s="168">
        <f>IFERROR(MIN('MP Calculations'!$E$30/I65,1),"-")</f>
        <v>0.32927792945511891</v>
      </c>
      <c r="K65" s="12"/>
      <c r="L65" s="159">
        <v>1.608301</v>
      </c>
      <c r="M65" s="187" t="s">
        <v>293</v>
      </c>
      <c r="N65" s="187">
        <v>192.78728599999999</v>
      </c>
      <c r="O65" s="186">
        <f t="shared" si="2"/>
        <v>310.05998486108598</v>
      </c>
      <c r="P65" s="186">
        <f t="shared" si="3"/>
        <v>102.09590982194391</v>
      </c>
      <c r="Q65" s="215">
        <f>IF(P65="-",0,P65/(1+'General inputs'!$H$30)^'MP Calculations'!$C$40)</f>
        <v>226.78452200116607</v>
      </c>
    </row>
    <row r="66" spans="3:17">
      <c r="C66" s="159"/>
      <c r="D66" s="165" t="s">
        <v>283</v>
      </c>
      <c r="E66" s="162">
        <v>26299</v>
      </c>
      <c r="F66" s="166" t="str">
        <f t="shared" si="1"/>
        <v>Date check - OK</v>
      </c>
      <c r="G66" s="68"/>
      <c r="H66" s="162" t="s">
        <v>280</v>
      </c>
      <c r="I66" s="173">
        <v>21853.086195380012</v>
      </c>
      <c r="J66" s="168">
        <f>IFERROR(MIN('MP Calculations'!$E$30/I66,1),"-")</f>
        <v>0.32927792945511891</v>
      </c>
      <c r="K66" s="12"/>
      <c r="L66" s="159">
        <v>1.7232829999999999</v>
      </c>
      <c r="M66" s="187" t="s">
        <v>293</v>
      </c>
      <c r="N66" s="187">
        <v>192.78728599999999</v>
      </c>
      <c r="O66" s="186">
        <f t="shared" si="2"/>
        <v>332.22705257993795</v>
      </c>
      <c r="P66" s="186">
        <f t="shared" si="3"/>
        <v>109.39503598249888</v>
      </c>
      <c r="Q66" s="215">
        <f>IF(P66="-",0,P66/(1+'General inputs'!$H$30)^'MP Calculations'!$C$40)</f>
        <v>242.99799069187634</v>
      </c>
    </row>
    <row r="67" spans="3:17">
      <c r="C67" s="159"/>
      <c r="D67" s="165" t="s">
        <v>284</v>
      </c>
      <c r="E67" s="162">
        <v>26299</v>
      </c>
      <c r="F67" s="166" t="str">
        <f t="shared" si="1"/>
        <v>Date check - OK</v>
      </c>
      <c r="G67" s="68"/>
      <c r="H67" s="162" t="s">
        <v>280</v>
      </c>
      <c r="I67" s="173">
        <v>21853.086195380012</v>
      </c>
      <c r="J67" s="168">
        <f>IFERROR(MIN('MP Calculations'!$E$30/I67,1),"-")</f>
        <v>0.32927792945511891</v>
      </c>
      <c r="K67" s="12"/>
      <c r="L67" s="159">
        <v>3.1909999999999998</v>
      </c>
      <c r="M67" s="187" t="s">
        <v>293</v>
      </c>
      <c r="N67" s="187">
        <v>315.45229399999999</v>
      </c>
      <c r="O67" s="186">
        <f t="shared" si="2"/>
        <v>1006.6082701539999</v>
      </c>
      <c r="P67" s="186">
        <f t="shared" si="3"/>
        <v>331.45388696870805</v>
      </c>
      <c r="Q67" s="215">
        <f>IF(P67="-",0,P67/(1+'General inputs'!$H$30)^'MP Calculations'!$C$40)</f>
        <v>736.25487497708423</v>
      </c>
    </row>
    <row r="68" spans="3:17">
      <c r="C68" s="159"/>
      <c r="D68" s="165" t="s">
        <v>284</v>
      </c>
      <c r="E68" s="162">
        <v>26299</v>
      </c>
      <c r="F68" s="166" t="str">
        <f t="shared" si="1"/>
        <v>Date check - OK</v>
      </c>
      <c r="G68" s="68"/>
      <c r="H68" s="162" t="s">
        <v>280</v>
      </c>
      <c r="I68" s="173">
        <v>21853.086195380012</v>
      </c>
      <c r="J68" s="168">
        <f>IFERROR(MIN('MP Calculations'!$E$30/I68,1),"-")</f>
        <v>0.32927792945511891</v>
      </c>
      <c r="K68" s="12"/>
      <c r="L68" s="159">
        <v>0.80100000000000005</v>
      </c>
      <c r="M68" s="187" t="s">
        <v>293</v>
      </c>
      <c r="N68" s="187">
        <v>315.45229399999999</v>
      </c>
      <c r="O68" s="186">
        <f t="shared" si="2"/>
        <v>252.67728749400001</v>
      </c>
      <c r="P68" s="186">
        <f t="shared" si="3"/>
        <v>83.201054046360142</v>
      </c>
      <c r="Q68" s="215">
        <f>IF(P68="-",0,P68/(1+'General inputs'!$H$30)^'MP Calculations'!$C$40)</f>
        <v>184.81358660502809</v>
      </c>
    </row>
    <row r="69" spans="3:17">
      <c r="C69" s="159"/>
      <c r="D69" s="165" t="s">
        <v>284</v>
      </c>
      <c r="E69" s="162">
        <v>26299</v>
      </c>
      <c r="F69" s="166" t="str">
        <f t="shared" si="1"/>
        <v>Date check - OK</v>
      </c>
      <c r="G69" s="68"/>
      <c r="H69" s="162" t="s">
        <v>280</v>
      </c>
      <c r="I69" s="173">
        <v>21853.086195380012</v>
      </c>
      <c r="J69" s="168">
        <f>IFERROR(MIN('MP Calculations'!$E$30/I69,1),"-")</f>
        <v>0.32927792945511891</v>
      </c>
      <c r="K69" s="12"/>
      <c r="L69" s="159">
        <v>1.4658819999999999</v>
      </c>
      <c r="M69" s="187" t="s">
        <v>293</v>
      </c>
      <c r="N69" s="187">
        <v>315.45229399999999</v>
      </c>
      <c r="O69" s="186">
        <f t="shared" si="2"/>
        <v>462.41583963330794</v>
      </c>
      <c r="P69" s="186">
        <f t="shared" si="3"/>
        <v>152.26333022170596</v>
      </c>
      <c r="Q69" s="215">
        <f>IF(P69="-",0,P69/(1+'General inputs'!$H$30)^'MP Calculations'!$C$40)</f>
        <v>338.22086137297345</v>
      </c>
    </row>
    <row r="70" spans="3:17">
      <c r="C70" s="159"/>
      <c r="D70" s="165" t="s">
        <v>284</v>
      </c>
      <c r="E70" s="162">
        <v>26299</v>
      </c>
      <c r="F70" s="166" t="str">
        <f t="shared" si="1"/>
        <v>Date check - OK</v>
      </c>
      <c r="G70" s="68"/>
      <c r="H70" s="162" t="s">
        <v>280</v>
      </c>
      <c r="I70" s="173">
        <v>21853.086195380012</v>
      </c>
      <c r="J70" s="168">
        <f>IFERROR(MIN('MP Calculations'!$E$30/I70,1),"-")</f>
        <v>0.32927792945511891</v>
      </c>
      <c r="K70" s="12"/>
      <c r="L70" s="159">
        <v>0.83499999999999996</v>
      </c>
      <c r="M70" s="187" t="s">
        <v>293</v>
      </c>
      <c r="N70" s="187">
        <v>315.45229399999999</v>
      </c>
      <c r="O70" s="186">
        <f t="shared" si="2"/>
        <v>263.40266549</v>
      </c>
      <c r="P70" s="186">
        <f t="shared" si="3"/>
        <v>86.73268430550651</v>
      </c>
      <c r="Q70" s="215">
        <f>IF(P70="-",0,P70/(1+'General inputs'!$H$30)^'MP Calculations'!$C$40)</f>
        <v>192.6583580714088</v>
      </c>
    </row>
    <row r="71" spans="3:17">
      <c r="C71" s="159"/>
      <c r="D71" s="165" t="s">
        <v>284</v>
      </c>
      <c r="E71" s="162">
        <v>26299</v>
      </c>
      <c r="F71" s="166" t="str">
        <f t="shared" si="1"/>
        <v>Date check - OK</v>
      </c>
      <c r="G71" s="68"/>
      <c r="H71" s="162" t="s">
        <v>280</v>
      </c>
      <c r="I71" s="173">
        <v>21853.086195380012</v>
      </c>
      <c r="J71" s="168">
        <f>IFERROR(MIN('MP Calculations'!$E$30/I71,1),"-")</f>
        <v>0.32927792945511891</v>
      </c>
      <c r="K71" s="12"/>
      <c r="L71" s="159">
        <v>0.51618799999999998</v>
      </c>
      <c r="M71" s="187" t="s">
        <v>293</v>
      </c>
      <c r="N71" s="187">
        <v>315.45229399999999</v>
      </c>
      <c r="O71" s="186">
        <f t="shared" si="2"/>
        <v>162.832688735272</v>
      </c>
      <c r="P71" s="186">
        <f t="shared" si="3"/>
        <v>53.61721059436023</v>
      </c>
      <c r="Q71" s="215">
        <f>IF(P71="-",0,P71/(1+'General inputs'!$H$30)^'MP Calculations'!$C$40)</f>
        <v>119.09932040259204</v>
      </c>
    </row>
    <row r="72" spans="3:17">
      <c r="C72" s="159"/>
      <c r="D72" s="165" t="s">
        <v>283</v>
      </c>
      <c r="E72" s="162">
        <v>26299</v>
      </c>
      <c r="F72" s="166" t="str">
        <f t="shared" si="1"/>
        <v>Date check - OK</v>
      </c>
      <c r="G72" s="68"/>
      <c r="H72" s="162" t="s">
        <v>280</v>
      </c>
      <c r="I72" s="173">
        <v>21853.086195380012</v>
      </c>
      <c r="J72" s="168">
        <f>IFERROR(MIN('MP Calculations'!$E$30/I72,1),"-")</f>
        <v>0.32927792945511891</v>
      </c>
      <c r="K72" s="12"/>
      <c r="L72" s="159">
        <v>1.3480129999999999</v>
      </c>
      <c r="M72" s="187" t="s">
        <v>293</v>
      </c>
      <c r="N72" s="187">
        <v>192.78728599999999</v>
      </c>
      <c r="O72" s="186">
        <f t="shared" si="2"/>
        <v>259.87976776271796</v>
      </c>
      <c r="P72" s="186">
        <f t="shared" si="3"/>
        <v>85.572671836184924</v>
      </c>
      <c r="Q72" s="215">
        <f>IF(P72="-",0,P72/(1+'General inputs'!$H$30)^'MP Calculations'!$C$40)</f>
        <v>190.08163512698047</v>
      </c>
    </row>
    <row r="73" spans="3:17">
      <c r="C73" s="159"/>
      <c r="D73" s="165" t="s">
        <v>283</v>
      </c>
      <c r="E73" s="162">
        <v>26299</v>
      </c>
      <c r="F73" s="166" t="str">
        <f t="shared" si="1"/>
        <v>Date check - OK</v>
      </c>
      <c r="G73" s="68"/>
      <c r="H73" s="162" t="s">
        <v>280</v>
      </c>
      <c r="I73" s="173">
        <v>21853.086195380012</v>
      </c>
      <c r="J73" s="168">
        <f>IFERROR(MIN('MP Calculations'!$E$30/I73,1),"-")</f>
        <v>0.32927792945511891</v>
      </c>
      <c r="K73" s="12"/>
      <c r="L73" s="159">
        <v>3.5321630000000002</v>
      </c>
      <c r="M73" s="187" t="s">
        <v>293</v>
      </c>
      <c r="N73" s="187">
        <v>192.78728599999999</v>
      </c>
      <c r="O73" s="186">
        <f t="shared" si="2"/>
        <v>680.956118479618</v>
      </c>
      <c r="P73" s="186">
        <f t="shared" si="3"/>
        <v>224.22382074276325</v>
      </c>
      <c r="Q73" s="215">
        <f>IF(P73="-",0,P73/(1+'General inputs'!$H$30)^'MP Calculations'!$C$40)</f>
        <v>498.06590780283341</v>
      </c>
    </row>
    <row r="74" spans="3:17">
      <c r="C74" s="159"/>
      <c r="D74" s="165" t="s">
        <v>284</v>
      </c>
      <c r="E74" s="162">
        <v>26299</v>
      </c>
      <c r="F74" s="166" t="str">
        <f t="shared" si="1"/>
        <v>Date check - OK</v>
      </c>
      <c r="G74" s="68"/>
      <c r="H74" s="162" t="s">
        <v>280</v>
      </c>
      <c r="I74" s="173">
        <v>21853.086195380012</v>
      </c>
      <c r="J74" s="168">
        <f>IFERROR(MIN('MP Calculations'!$E$30/I74,1),"-")</f>
        <v>0.32927792945511891</v>
      </c>
      <c r="K74" s="12"/>
      <c r="L74" s="159">
        <v>8.9236880000000003</v>
      </c>
      <c r="M74" s="187" t="s">
        <v>293</v>
      </c>
      <c r="N74" s="187">
        <v>315.45229399999999</v>
      </c>
      <c r="O74" s="186">
        <f t="shared" si="2"/>
        <v>2814.9978505402719</v>
      </c>
      <c r="P74" s="186">
        <f t="shared" si="3"/>
        <v>926.91666364651098</v>
      </c>
      <c r="Q74" s="215">
        <f>IF(P74="-",0,P74/(1+'General inputs'!$H$30)^'MP Calculations'!$C$40)</f>
        <v>2058.9497940377646</v>
      </c>
    </row>
    <row r="75" spans="3:17">
      <c r="C75" s="159"/>
      <c r="D75" s="165" t="s">
        <v>283</v>
      </c>
      <c r="E75" s="162">
        <v>26299</v>
      </c>
      <c r="F75" s="166" t="str">
        <f t="shared" si="1"/>
        <v>Date check - OK</v>
      </c>
      <c r="G75" s="68"/>
      <c r="H75" s="162" t="s">
        <v>280</v>
      </c>
      <c r="I75" s="173">
        <v>21853.086195380012</v>
      </c>
      <c r="J75" s="168">
        <f>IFERROR(MIN('MP Calculations'!$E$30/I75,1),"-")</f>
        <v>0.32927792945511891</v>
      </c>
      <c r="K75" s="12"/>
      <c r="L75" s="159">
        <v>1.6497090000000001</v>
      </c>
      <c r="M75" s="187" t="s">
        <v>293</v>
      </c>
      <c r="N75" s="187">
        <v>192.78728599999999</v>
      </c>
      <c r="O75" s="186">
        <f t="shared" si="2"/>
        <v>318.04292079977398</v>
      </c>
      <c r="P75" s="186">
        <f t="shared" si="3"/>
        <v>104.72451443880794</v>
      </c>
      <c r="Q75" s="215">
        <f>IF(P75="-",0,P75/(1+'General inputs'!$H$30)^'MP Calculations'!$C$40)</f>
        <v>232.6234125365971</v>
      </c>
    </row>
    <row r="76" spans="3:17">
      <c r="C76" s="159"/>
      <c r="D76" s="165" t="s">
        <v>283</v>
      </c>
      <c r="E76" s="162">
        <v>26299</v>
      </c>
      <c r="F76" s="166" t="str">
        <f t="shared" si="1"/>
        <v>Date check - OK</v>
      </c>
      <c r="G76" s="68"/>
      <c r="H76" s="162" t="s">
        <v>280</v>
      </c>
      <c r="I76" s="173">
        <v>21853.086195380012</v>
      </c>
      <c r="J76" s="168">
        <f>IFERROR(MIN('MP Calculations'!$E$30/I76,1),"-")</f>
        <v>0.32927792945511891</v>
      </c>
      <c r="K76" s="12"/>
      <c r="L76" s="159">
        <v>2.5335130000000001</v>
      </c>
      <c r="M76" s="187" t="s">
        <v>293</v>
      </c>
      <c r="N76" s="187">
        <v>192.78728599999999</v>
      </c>
      <c r="O76" s="186">
        <f t="shared" si="2"/>
        <v>488.42909531571803</v>
      </c>
      <c r="P76" s="186">
        <f t="shared" si="3"/>
        <v>160.82892119119654</v>
      </c>
      <c r="Q76" s="215">
        <f>IF(P76="-",0,P76/(1+'General inputs'!$H$30)^'MP Calculations'!$C$40)</f>
        <v>357.24751441971387</v>
      </c>
    </row>
    <row r="77" spans="3:17">
      <c r="C77" s="159"/>
      <c r="D77" s="165" t="s">
        <v>284</v>
      </c>
      <c r="E77" s="162">
        <v>26299</v>
      </c>
      <c r="F77" s="166" t="str">
        <f t="shared" si="1"/>
        <v>Date check - OK</v>
      </c>
      <c r="G77" s="68"/>
      <c r="H77" s="162" t="s">
        <v>280</v>
      </c>
      <c r="I77" s="173">
        <v>21853.086195380012</v>
      </c>
      <c r="J77" s="168">
        <f>IFERROR(MIN('MP Calculations'!$E$30/I77,1),"-")</f>
        <v>0.32927792945511891</v>
      </c>
      <c r="K77" s="12"/>
      <c r="L77" s="159">
        <v>8.6889280000000007</v>
      </c>
      <c r="M77" s="187" t="s">
        <v>293</v>
      </c>
      <c r="N77" s="187">
        <v>315.45229399999999</v>
      </c>
      <c r="O77" s="186">
        <f t="shared" si="2"/>
        <v>2740.9422700008322</v>
      </c>
      <c r="P77" s="186">
        <f t="shared" si="3"/>
        <v>902.53179542188752</v>
      </c>
      <c r="Q77" s="215">
        <f>IF(P77="-",0,P77/(1+'General inputs'!$H$30)^'MP Calculations'!$C$40)</f>
        <v>2004.7839543481316</v>
      </c>
    </row>
    <row r="78" spans="3:17">
      <c r="C78" s="159"/>
      <c r="D78" s="165" t="s">
        <v>284</v>
      </c>
      <c r="E78" s="162">
        <v>26299</v>
      </c>
      <c r="F78" s="166" t="str">
        <f t="shared" si="1"/>
        <v>Date check - OK</v>
      </c>
      <c r="G78" s="68"/>
      <c r="H78" s="162" t="s">
        <v>280</v>
      </c>
      <c r="I78" s="173">
        <v>21853.086195380012</v>
      </c>
      <c r="J78" s="168">
        <f>IFERROR(MIN('MP Calculations'!$E$30/I78,1),"-")</f>
        <v>0.32927792945511891</v>
      </c>
      <c r="K78" s="12"/>
      <c r="L78" s="159">
        <v>1.5337620000000001</v>
      </c>
      <c r="M78" s="187" t="s">
        <v>293</v>
      </c>
      <c r="N78" s="187">
        <v>315.45229399999999</v>
      </c>
      <c r="O78" s="186">
        <f t="shared" si="2"/>
        <v>483.828741350028</v>
      </c>
      <c r="P78" s="186">
        <f t="shared" si="3"/>
        <v>159.31412616261349</v>
      </c>
      <c r="Q78" s="215">
        <f>IF(P78="-",0,P78/(1+'General inputs'!$H$30)^'MP Calculations'!$C$40)</f>
        <v>353.88271687703002</v>
      </c>
    </row>
    <row r="79" spans="3:17">
      <c r="C79" s="159"/>
      <c r="D79" s="165" t="s">
        <v>283</v>
      </c>
      <c r="E79" s="162">
        <v>26299</v>
      </c>
      <c r="F79" s="166" t="str">
        <f t="shared" si="1"/>
        <v>Date check - OK</v>
      </c>
      <c r="G79" s="68"/>
      <c r="H79" s="162" t="s">
        <v>280</v>
      </c>
      <c r="I79" s="173">
        <v>21853.086195380012</v>
      </c>
      <c r="J79" s="168">
        <f>IFERROR(MIN('MP Calculations'!$E$30/I79,1),"-")</f>
        <v>0.32927792945511891</v>
      </c>
      <c r="K79" s="12"/>
      <c r="L79" s="159">
        <v>1.0998680000000001</v>
      </c>
      <c r="M79" s="187" t="s">
        <v>293</v>
      </c>
      <c r="N79" s="187">
        <v>192.78728599999999</v>
      </c>
      <c r="O79" s="186">
        <f t="shared" si="2"/>
        <v>212.04056667824801</v>
      </c>
      <c r="P79" s="186">
        <f t="shared" si="3"/>
        <v>69.82027875630358</v>
      </c>
      <c r="Q79" s="215">
        <f>IF(P79="-",0,P79/(1+'General inputs'!$H$30)^'MP Calculations'!$C$40)</f>
        <v>155.09101756722063</v>
      </c>
    </row>
    <row r="80" spans="3:17">
      <c r="C80" s="159"/>
      <c r="D80" s="165" t="s">
        <v>284</v>
      </c>
      <c r="E80" s="162">
        <v>26299</v>
      </c>
      <c r="F80" s="166" t="str">
        <f t="shared" si="1"/>
        <v>Date check - OK</v>
      </c>
      <c r="G80" s="68"/>
      <c r="H80" s="162" t="s">
        <v>280</v>
      </c>
      <c r="I80" s="173">
        <v>21853.086195380012</v>
      </c>
      <c r="J80" s="168">
        <f>IFERROR(MIN('MP Calculations'!$E$30/I80,1),"-")</f>
        <v>0.32927792945511891</v>
      </c>
      <c r="K80" s="12"/>
      <c r="L80" s="159">
        <v>2.8420779999999999</v>
      </c>
      <c r="M80" s="187" t="s">
        <v>293</v>
      </c>
      <c r="N80" s="187">
        <v>315.45229399999999</v>
      </c>
      <c r="O80" s="186">
        <f t="shared" si="2"/>
        <v>896.54002482693193</v>
      </c>
      <c r="P80" s="186">
        <f t="shared" si="3"/>
        <v>295.21084304865303</v>
      </c>
      <c r="Q80" s="215">
        <f>IF(P80="-",0,P80/(1+'General inputs'!$H$30)^'MP Calculations'!$C$40)</f>
        <v>655.7485999890697</v>
      </c>
    </row>
    <row r="81" spans="3:17">
      <c r="C81" s="159"/>
      <c r="D81" s="165" t="s">
        <v>284</v>
      </c>
      <c r="E81" s="162">
        <v>26299</v>
      </c>
      <c r="F81" s="166" t="str">
        <f t="shared" si="1"/>
        <v>Date check - OK</v>
      </c>
      <c r="G81" s="68"/>
      <c r="H81" s="162" t="s">
        <v>280</v>
      </c>
      <c r="I81" s="173">
        <v>21853.086195380012</v>
      </c>
      <c r="J81" s="168">
        <f>IFERROR(MIN('MP Calculations'!$E$30/I81,1),"-")</f>
        <v>0.32927792945511891</v>
      </c>
      <c r="K81" s="12"/>
      <c r="L81" s="159">
        <v>2.5851630000000001</v>
      </c>
      <c r="M81" s="187" t="s">
        <v>293</v>
      </c>
      <c r="N81" s="187">
        <v>315.45229399999999</v>
      </c>
      <c r="O81" s="186">
        <f t="shared" si="2"/>
        <v>815.49559871392205</v>
      </c>
      <c r="P81" s="186">
        <f t="shared" si="3"/>
        <v>268.52470222428281</v>
      </c>
      <c r="Q81" s="215">
        <f>IF(P81="-",0,P81/(1+'General inputs'!$H$30)^'MP Calculations'!$C$40)</f>
        <v>596.4709687747993</v>
      </c>
    </row>
    <row r="82" spans="3:17">
      <c r="C82" s="159"/>
      <c r="D82" s="165" t="s">
        <v>283</v>
      </c>
      <c r="E82" s="162">
        <v>26299</v>
      </c>
      <c r="F82" s="166" t="str">
        <f t="shared" si="1"/>
        <v>Date check - OK</v>
      </c>
      <c r="G82" s="68"/>
      <c r="H82" s="162" t="s">
        <v>280</v>
      </c>
      <c r="I82" s="173">
        <v>21853.086195380012</v>
      </c>
      <c r="J82" s="168">
        <f>IFERROR(MIN('MP Calculations'!$E$30/I82,1),"-")</f>
        <v>0.32927792945511891</v>
      </c>
      <c r="K82" s="12"/>
      <c r="L82" s="159">
        <v>2.7410589999999999</v>
      </c>
      <c r="M82" s="187" t="s">
        <v>293</v>
      </c>
      <c r="N82" s="187">
        <v>192.78728599999999</v>
      </c>
      <c r="O82" s="186">
        <f t="shared" si="2"/>
        <v>528.44132537587393</v>
      </c>
      <c r="P82" s="186">
        <f t="shared" si="3"/>
        <v>174.00406545828656</v>
      </c>
      <c r="Q82" s="215">
        <f>IF(P82="-",0,P82/(1+'General inputs'!$H$30)^'MP Calculations'!$C$40)</f>
        <v>386.51331752700162</v>
      </c>
    </row>
    <row r="83" spans="3:17">
      <c r="C83" s="159"/>
      <c r="D83" s="165" t="s">
        <v>283</v>
      </c>
      <c r="E83" s="162">
        <v>26299</v>
      </c>
      <c r="F83" s="166" t="str">
        <f t="shared" si="1"/>
        <v>Date check - OK</v>
      </c>
      <c r="G83" s="68"/>
      <c r="H83" s="162" t="s">
        <v>280</v>
      </c>
      <c r="I83" s="173">
        <v>21853.086195380012</v>
      </c>
      <c r="J83" s="168">
        <f>IFERROR(MIN('MP Calculations'!$E$30/I83,1),"-")</f>
        <v>0.32927792945511891</v>
      </c>
      <c r="K83" s="12"/>
      <c r="L83" s="159">
        <v>9.2601530000000007</v>
      </c>
      <c r="M83" s="187" t="s">
        <v>293</v>
      </c>
      <c r="N83" s="187">
        <v>192.78728599999999</v>
      </c>
      <c r="O83" s="186">
        <f t="shared" si="2"/>
        <v>1785.239764814758</v>
      </c>
      <c r="P83" s="186">
        <f t="shared" si="3"/>
        <v>587.84005333914695</v>
      </c>
      <c r="Q83" s="215">
        <f>IF(P83="-",0,P83/(1+'General inputs'!$H$30)^'MP Calculations'!$C$40)</f>
        <v>1305.7626475160209</v>
      </c>
    </row>
    <row r="84" spans="3:17">
      <c r="C84" s="159"/>
      <c r="D84" s="165" t="s">
        <v>283</v>
      </c>
      <c r="E84" s="162">
        <v>26299</v>
      </c>
      <c r="F84" s="166" t="str">
        <f t="shared" si="1"/>
        <v>Date check - OK</v>
      </c>
      <c r="G84" s="68"/>
      <c r="H84" s="162" t="s">
        <v>280</v>
      </c>
      <c r="I84" s="173">
        <v>21853.086195380012</v>
      </c>
      <c r="J84" s="168">
        <f>IFERROR(MIN('MP Calculations'!$E$30/I84,1),"-")</f>
        <v>0.32927792945511891</v>
      </c>
      <c r="K84" s="12"/>
      <c r="L84" s="159">
        <v>55.221035999999998</v>
      </c>
      <c r="M84" s="187" t="s">
        <v>293</v>
      </c>
      <c r="N84" s="187">
        <v>192.78728599999999</v>
      </c>
      <c r="O84" s="186">
        <f t="shared" si="2"/>
        <v>10645.913660548295</v>
      </c>
      <c r="P84" s="186">
        <f t="shared" si="3"/>
        <v>3505.4644073033082</v>
      </c>
      <c r="Q84" s="215">
        <f>IF(P84="-",0,P84/(1+'General inputs'!$H$30)^'MP Calculations'!$C$40)</f>
        <v>7786.64954736034</v>
      </c>
    </row>
    <row r="85" spans="3:17">
      <c r="C85" s="159"/>
      <c r="D85" s="165" t="s">
        <v>283</v>
      </c>
      <c r="E85" s="162">
        <v>26299</v>
      </c>
      <c r="F85" s="166" t="str">
        <f t="shared" si="1"/>
        <v>Date check - OK</v>
      </c>
      <c r="G85" s="68"/>
      <c r="H85" s="162" t="s">
        <v>280</v>
      </c>
      <c r="I85" s="173">
        <v>21853.086195380012</v>
      </c>
      <c r="J85" s="168">
        <f>IFERROR(MIN('MP Calculations'!$E$30/I85,1),"-")</f>
        <v>0.32927792945511891</v>
      </c>
      <c r="K85" s="12"/>
      <c r="L85" s="159">
        <v>27.108799999999999</v>
      </c>
      <c r="M85" s="187" t="s">
        <v>293</v>
      </c>
      <c r="N85" s="187">
        <v>192.78728599999999</v>
      </c>
      <c r="O85" s="186">
        <f t="shared" si="2"/>
        <v>5226.2319787167999</v>
      </c>
      <c r="P85" s="186">
        <f t="shared" si="3"/>
        <v>1720.8828448039969</v>
      </c>
      <c r="Q85" s="215">
        <f>IF(P85="-",0,P85/(1+'General inputs'!$H$30)^'MP Calculations'!$C$40)</f>
        <v>3822.5781430374104</v>
      </c>
    </row>
    <row r="86" spans="3:17">
      <c r="C86" s="159"/>
      <c r="D86" s="165" t="s">
        <v>283</v>
      </c>
      <c r="E86" s="162">
        <v>26299</v>
      </c>
      <c r="F86" s="166" t="str">
        <f t="shared" si="1"/>
        <v>Date check - OK</v>
      </c>
      <c r="G86" s="68"/>
      <c r="H86" s="162" t="s">
        <v>280</v>
      </c>
      <c r="I86" s="173">
        <v>21853.086195380012</v>
      </c>
      <c r="J86" s="168">
        <f>IFERROR(MIN('MP Calculations'!$E$30/I86,1),"-")</f>
        <v>0.32927792945511891</v>
      </c>
      <c r="K86" s="12"/>
      <c r="L86" s="159">
        <v>4.1397430000000002</v>
      </c>
      <c r="M86" s="187" t="s">
        <v>293</v>
      </c>
      <c r="N86" s="187">
        <v>192.78728599999999</v>
      </c>
      <c r="O86" s="186">
        <f t="shared" si="2"/>
        <v>798.08981770749801</v>
      </c>
      <c r="P86" s="186">
        <f t="shared" si="3"/>
        <v>262.79336269393826</v>
      </c>
      <c r="Q86" s="215">
        <f>IF(P86="-",0,P86/(1+'General inputs'!$H$30)^'MP Calculations'!$C$40)</f>
        <v>583.74000728885528</v>
      </c>
    </row>
    <row r="87" spans="3:17">
      <c r="C87" s="159"/>
      <c r="D87" s="165" t="s">
        <v>283</v>
      </c>
      <c r="E87" s="162">
        <v>26299</v>
      </c>
      <c r="F87" s="166" t="str">
        <f t="shared" ref="F87:F150" si="4">IF(E87="","-",IF(OR(E87&lt;$E$15,E87&gt;$E$16),"ERROR - date outside of range","Date check - OK"))</f>
        <v>Date check - OK</v>
      </c>
      <c r="G87" s="68"/>
      <c r="H87" s="162" t="s">
        <v>280</v>
      </c>
      <c r="I87" s="173">
        <v>21853.086195380012</v>
      </c>
      <c r="J87" s="168">
        <f>IFERROR(MIN('MP Calculations'!$E$30/I87,1),"-")</f>
        <v>0.32927792945511891</v>
      </c>
      <c r="K87" s="12"/>
      <c r="L87" s="159">
        <v>58.496062000000002</v>
      </c>
      <c r="M87" s="187" t="s">
        <v>293</v>
      </c>
      <c r="N87" s="187">
        <v>192.78728599999999</v>
      </c>
      <c r="O87" s="186">
        <f t="shared" ref="O87:O150" si="5">IF(N87="","-",L87*N87)</f>
        <v>11277.297034667732</v>
      </c>
      <c r="P87" s="186">
        <f t="shared" ref="P87:P150" si="6">IF(O87="-","-",IF(OR(E87&lt;$E$15,E87&gt;$E$16),0,O87*J87))</f>
        <v>3713.3650174257432</v>
      </c>
      <c r="Q87" s="215">
        <f>IF(P87="-",0,P87/(1+'General inputs'!$H$30)^'MP Calculations'!$C$40)</f>
        <v>8248.4568868766328</v>
      </c>
    </row>
    <row r="88" spans="3:17">
      <c r="C88" s="159"/>
      <c r="D88" s="165" t="s">
        <v>283</v>
      </c>
      <c r="E88" s="162">
        <v>26299</v>
      </c>
      <c r="F88" s="166" t="str">
        <f t="shared" si="4"/>
        <v>Date check - OK</v>
      </c>
      <c r="G88" s="68"/>
      <c r="H88" s="162" t="s">
        <v>280</v>
      </c>
      <c r="I88" s="173">
        <v>21853.086195380012</v>
      </c>
      <c r="J88" s="168">
        <f>IFERROR(MIN('MP Calculations'!$E$30/I88,1),"-")</f>
        <v>0.32927792945511891</v>
      </c>
      <c r="K88" s="12"/>
      <c r="L88" s="159">
        <v>16.533884</v>
      </c>
      <c r="M88" s="187" t="s">
        <v>293</v>
      </c>
      <c r="N88" s="187">
        <v>192.78728599999999</v>
      </c>
      <c r="O88" s="186">
        <f t="shared" si="5"/>
        <v>3187.5226233988242</v>
      </c>
      <c r="P88" s="186">
        <f t="shared" si="6"/>
        <v>1049.5808495241135</v>
      </c>
      <c r="Q88" s="215">
        <f>IF(P88="-",0,P88/(1+'General inputs'!$H$30)^'MP Calculations'!$C$40)</f>
        <v>2331.4224015048972</v>
      </c>
    </row>
    <row r="89" spans="3:17">
      <c r="C89" s="159"/>
      <c r="D89" s="165" t="s">
        <v>283</v>
      </c>
      <c r="E89" s="162">
        <v>26299</v>
      </c>
      <c r="F89" s="166" t="str">
        <f t="shared" si="4"/>
        <v>Date check - OK</v>
      </c>
      <c r="G89" s="68"/>
      <c r="H89" s="162" t="s">
        <v>280</v>
      </c>
      <c r="I89" s="173">
        <v>21853.086195380012</v>
      </c>
      <c r="J89" s="168">
        <f>IFERROR(MIN('MP Calculations'!$E$30/I89,1),"-")</f>
        <v>0.32927792945511891</v>
      </c>
      <c r="K89" s="12"/>
      <c r="L89" s="159">
        <v>4.8673409999999997</v>
      </c>
      <c r="M89" s="187" t="s">
        <v>293</v>
      </c>
      <c r="N89" s="187">
        <v>192.78728599999999</v>
      </c>
      <c r="O89" s="186">
        <f t="shared" si="5"/>
        <v>938.36146142652592</v>
      </c>
      <c r="P89" s="186">
        <f t="shared" si="6"/>
        <v>308.98171909900589</v>
      </c>
      <c r="Q89" s="215">
        <f>IF(P89="-",0,P89/(1+'General inputs'!$H$30)^'MP Calculations'!$C$40)</f>
        <v>686.33769555678793</v>
      </c>
    </row>
    <row r="90" spans="3:17">
      <c r="C90" s="159"/>
      <c r="D90" s="165" t="s">
        <v>283</v>
      </c>
      <c r="E90" s="162">
        <v>26299</v>
      </c>
      <c r="F90" s="166" t="str">
        <f t="shared" si="4"/>
        <v>Date check - OK</v>
      </c>
      <c r="G90" s="68"/>
      <c r="H90" s="162" t="s">
        <v>280</v>
      </c>
      <c r="I90" s="173">
        <v>21853.086195380012</v>
      </c>
      <c r="J90" s="168">
        <f>IFERROR(MIN('MP Calculations'!$E$30/I90,1),"-")</f>
        <v>0.32927792945511891</v>
      </c>
      <c r="K90" s="12"/>
      <c r="L90" s="159">
        <v>0.61066900000000002</v>
      </c>
      <c r="M90" s="187" t="s">
        <v>293</v>
      </c>
      <c r="N90" s="187">
        <v>192.78728599999999</v>
      </c>
      <c r="O90" s="186">
        <f t="shared" si="5"/>
        <v>117.729219154334</v>
      </c>
      <c r="P90" s="186">
        <f t="shared" si="6"/>
        <v>38.765633519507027</v>
      </c>
      <c r="Q90" s="215">
        <f>IF(P90="-",0,P90/(1+'General inputs'!$H$30)^'MP Calculations'!$C$40)</f>
        <v>86.10967553084285</v>
      </c>
    </row>
    <row r="91" spans="3:17">
      <c r="C91" s="159"/>
      <c r="D91" s="165" t="s">
        <v>283</v>
      </c>
      <c r="E91" s="162">
        <v>26299</v>
      </c>
      <c r="F91" s="166" t="str">
        <f t="shared" si="4"/>
        <v>Date check - OK</v>
      </c>
      <c r="G91" s="68"/>
      <c r="H91" s="162" t="s">
        <v>280</v>
      </c>
      <c r="I91" s="173">
        <v>21853.086195380012</v>
      </c>
      <c r="J91" s="168">
        <f>IFERROR(MIN('MP Calculations'!$E$30/I91,1),"-")</f>
        <v>0.32927792945511891</v>
      </c>
      <c r="K91" s="12"/>
      <c r="L91" s="159">
        <v>67.332149000000001</v>
      </c>
      <c r="M91" s="187" t="s">
        <v>293</v>
      </c>
      <c r="N91" s="187">
        <v>192.78728599999999</v>
      </c>
      <c r="O91" s="186">
        <f t="shared" si="5"/>
        <v>12980.782266257615</v>
      </c>
      <c r="P91" s="186">
        <f t="shared" si="6"/>
        <v>4274.2851073410338</v>
      </c>
      <c r="Q91" s="215">
        <f>IF(P91="-",0,P91/(1+'General inputs'!$H$30)^'MP Calculations'!$C$40)</f>
        <v>9494.4225156088905</v>
      </c>
    </row>
    <row r="92" spans="3:17">
      <c r="C92" s="159"/>
      <c r="D92" s="165" t="s">
        <v>283</v>
      </c>
      <c r="E92" s="162">
        <v>26299</v>
      </c>
      <c r="F92" s="166" t="str">
        <f t="shared" si="4"/>
        <v>Date check - OK</v>
      </c>
      <c r="G92" s="68"/>
      <c r="H92" s="162" t="s">
        <v>280</v>
      </c>
      <c r="I92" s="173">
        <v>21853.086195380012</v>
      </c>
      <c r="J92" s="168">
        <f>IFERROR(MIN('MP Calculations'!$E$30/I92,1),"-")</f>
        <v>0.32927792945511891</v>
      </c>
      <c r="K92" s="12"/>
      <c r="L92" s="159">
        <v>64.584416000000004</v>
      </c>
      <c r="M92" s="187" t="s">
        <v>293</v>
      </c>
      <c r="N92" s="187">
        <v>192.78728599999999</v>
      </c>
      <c r="O92" s="186">
        <f t="shared" si="5"/>
        <v>12451.054278534977</v>
      </c>
      <c r="P92" s="186">
        <f t="shared" si="6"/>
        <v>4099.8573723692971</v>
      </c>
      <c r="Q92" s="215">
        <f>IF(P92="-",0,P92/(1+'General inputs'!$H$30)^'MP Calculations'!$C$40)</f>
        <v>9106.9681056496665</v>
      </c>
    </row>
    <row r="93" spans="3:17">
      <c r="C93" s="159"/>
      <c r="D93" s="165" t="s">
        <v>283</v>
      </c>
      <c r="E93" s="162">
        <v>26299</v>
      </c>
      <c r="F93" s="166" t="str">
        <f t="shared" si="4"/>
        <v>Date check - OK</v>
      </c>
      <c r="G93" s="68"/>
      <c r="H93" s="162" t="s">
        <v>280</v>
      </c>
      <c r="I93" s="173">
        <v>21853.086195380012</v>
      </c>
      <c r="J93" s="168">
        <f>IFERROR(MIN('MP Calculations'!$E$30/I93,1),"-")</f>
        <v>0.32927792945511891</v>
      </c>
      <c r="K93" s="12"/>
      <c r="L93" s="159">
        <v>21.303594</v>
      </c>
      <c r="M93" s="187" t="s">
        <v>293</v>
      </c>
      <c r="N93" s="187">
        <v>192.78728599999999</v>
      </c>
      <c r="O93" s="186">
        <f t="shared" si="5"/>
        <v>4107.0620693058836</v>
      </c>
      <c r="P93" s="186">
        <f t="shared" si="6"/>
        <v>1352.3648943246974</v>
      </c>
      <c r="Q93" s="215">
        <f>IF(P93="-",0,P93/(1+'General inputs'!$H$30)^'MP Calculations'!$C$40)</f>
        <v>3003.9932712824957</v>
      </c>
    </row>
    <row r="94" spans="3:17">
      <c r="C94" s="159"/>
      <c r="D94" s="165" t="s">
        <v>283</v>
      </c>
      <c r="E94" s="162">
        <v>26299</v>
      </c>
      <c r="F94" s="166" t="str">
        <f t="shared" si="4"/>
        <v>Date check - OK</v>
      </c>
      <c r="G94" s="68"/>
      <c r="H94" s="162" t="s">
        <v>280</v>
      </c>
      <c r="I94" s="173">
        <v>21853.086195380012</v>
      </c>
      <c r="J94" s="168">
        <f>IFERROR(MIN('MP Calculations'!$E$30/I94,1),"-")</f>
        <v>0.32927792945511891</v>
      </c>
      <c r="K94" s="12"/>
      <c r="L94" s="159">
        <v>11.693516000000001</v>
      </c>
      <c r="M94" s="187" t="s">
        <v>293</v>
      </c>
      <c r="N94" s="187">
        <v>192.78728599999999</v>
      </c>
      <c r="O94" s="186">
        <f t="shared" si="5"/>
        <v>2254.3612134375762</v>
      </c>
      <c r="P94" s="186">
        <f t="shared" si="6"/>
        <v>742.31139260465454</v>
      </c>
      <c r="Q94" s="215">
        <f>IF(P94="-",0,P94/(1+'General inputs'!$H$30)^'MP Calculations'!$C$40)</f>
        <v>1648.8881351021903</v>
      </c>
    </row>
    <row r="95" spans="3:17">
      <c r="C95" s="159"/>
      <c r="D95" s="165" t="s">
        <v>283</v>
      </c>
      <c r="E95" s="162">
        <v>26299</v>
      </c>
      <c r="F95" s="166" t="str">
        <f t="shared" si="4"/>
        <v>Date check - OK</v>
      </c>
      <c r="G95" s="68"/>
      <c r="H95" s="162" t="s">
        <v>280</v>
      </c>
      <c r="I95" s="173">
        <v>21853.086195380012</v>
      </c>
      <c r="J95" s="168">
        <f>IFERROR(MIN('MP Calculations'!$E$30/I95,1),"-")</f>
        <v>0.32927792945511891</v>
      </c>
      <c r="K95" s="12"/>
      <c r="L95" s="159">
        <v>61.534627999999998</v>
      </c>
      <c r="M95" s="187" t="s">
        <v>293</v>
      </c>
      <c r="N95" s="187">
        <v>192.78728599999999</v>
      </c>
      <c r="O95" s="186">
        <f t="shared" si="5"/>
        <v>11863.093927139607</v>
      </c>
      <c r="P95" s="186">
        <f t="shared" si="6"/>
        <v>3906.255005260125</v>
      </c>
      <c r="Q95" s="215">
        <f>IF(P95="-",0,P95/(1+'General inputs'!$H$30)^'MP Calculations'!$C$40)</f>
        <v>8676.9212961377052</v>
      </c>
    </row>
    <row r="96" spans="3:17">
      <c r="C96" s="159"/>
      <c r="D96" s="165" t="s">
        <v>283</v>
      </c>
      <c r="E96" s="162">
        <v>26299</v>
      </c>
      <c r="F96" s="166" t="str">
        <f t="shared" si="4"/>
        <v>Date check - OK</v>
      </c>
      <c r="G96" s="68"/>
      <c r="H96" s="162" t="s">
        <v>280</v>
      </c>
      <c r="I96" s="173">
        <v>21853.086195380012</v>
      </c>
      <c r="J96" s="168">
        <f>IFERROR(MIN('MP Calculations'!$E$30/I96,1),"-")</f>
        <v>0.32927792945511891</v>
      </c>
      <c r="K96" s="12"/>
      <c r="L96" s="159">
        <v>0.21152099999999999</v>
      </c>
      <c r="M96" s="187" t="s">
        <v>293</v>
      </c>
      <c r="N96" s="187">
        <v>192.78728599999999</v>
      </c>
      <c r="O96" s="186">
        <f t="shared" si="5"/>
        <v>40.778559522005999</v>
      </c>
      <c r="P96" s="186">
        <f t="shared" si="6"/>
        <v>13.427479645568459</v>
      </c>
      <c r="Q96" s="215">
        <f>IF(P96="-",0,P96/(1+'General inputs'!$H$30)^'MP Calculations'!$C$40)</f>
        <v>29.826312909218267</v>
      </c>
    </row>
    <row r="97" spans="3:17">
      <c r="C97" s="159"/>
      <c r="D97" s="165" t="s">
        <v>283</v>
      </c>
      <c r="E97" s="162">
        <v>26299</v>
      </c>
      <c r="F97" s="166" t="str">
        <f t="shared" si="4"/>
        <v>Date check - OK</v>
      </c>
      <c r="G97" s="68"/>
      <c r="H97" s="162" t="s">
        <v>280</v>
      </c>
      <c r="I97" s="173">
        <v>21853.086195380012</v>
      </c>
      <c r="J97" s="168">
        <f>IFERROR(MIN('MP Calculations'!$E$30/I97,1),"-")</f>
        <v>0.32927792945511891</v>
      </c>
      <c r="K97" s="12"/>
      <c r="L97" s="159">
        <v>4.498831</v>
      </c>
      <c r="M97" s="187" t="s">
        <v>293</v>
      </c>
      <c r="N97" s="187">
        <v>192.78728599999999</v>
      </c>
      <c r="O97" s="186">
        <f t="shared" si="5"/>
        <v>867.317418662666</v>
      </c>
      <c r="P97" s="186">
        <f t="shared" si="6"/>
        <v>285.58848379760116</v>
      </c>
      <c r="Q97" s="215">
        <f>IF(P97="-",0,P97/(1+'General inputs'!$H$30)^'MP Calculations'!$C$40)</f>
        <v>634.374559177062</v>
      </c>
    </row>
    <row r="98" spans="3:17">
      <c r="C98" s="159"/>
      <c r="D98" s="165" t="s">
        <v>283</v>
      </c>
      <c r="E98" s="162">
        <v>26299</v>
      </c>
      <c r="F98" s="166" t="str">
        <f t="shared" si="4"/>
        <v>Date check - OK</v>
      </c>
      <c r="G98" s="68"/>
      <c r="H98" s="162" t="s">
        <v>280</v>
      </c>
      <c r="I98" s="173">
        <v>21853.086195380012</v>
      </c>
      <c r="J98" s="168">
        <f>IFERROR(MIN('MP Calculations'!$E$30/I98,1),"-")</f>
        <v>0.32927792945511891</v>
      </c>
      <c r="K98" s="12"/>
      <c r="L98" s="159">
        <v>0.69894699999999998</v>
      </c>
      <c r="M98" s="187" t="s">
        <v>293</v>
      </c>
      <c r="N98" s="187">
        <v>192.78728599999999</v>
      </c>
      <c r="O98" s="186">
        <f t="shared" si="5"/>
        <v>134.74809518784198</v>
      </c>
      <c r="P98" s="186">
        <f t="shared" si="6"/>
        <v>44.369573781473882</v>
      </c>
      <c r="Q98" s="215">
        <f>IF(P98="-",0,P98/(1+'General inputs'!$H$30)^'MP Calculations'!$C$40)</f>
        <v>98.557646422621758</v>
      </c>
    </row>
    <row r="99" spans="3:17">
      <c r="C99" s="159"/>
      <c r="D99" s="165" t="s">
        <v>282</v>
      </c>
      <c r="E99" s="162">
        <v>26299</v>
      </c>
      <c r="F99" s="166" t="str">
        <f t="shared" si="4"/>
        <v>Date check - OK</v>
      </c>
      <c r="G99" s="68"/>
      <c r="H99" s="162" t="s">
        <v>280</v>
      </c>
      <c r="I99" s="173">
        <v>21853.086195380012</v>
      </c>
      <c r="J99" s="168">
        <f>IFERROR(MIN('MP Calculations'!$E$30/I99,1),"-")</f>
        <v>0.32927792945511891</v>
      </c>
      <c r="K99" s="12"/>
      <c r="L99" s="159">
        <v>107.834489</v>
      </c>
      <c r="M99" s="187" t="s">
        <v>293</v>
      </c>
      <c r="N99" s="187">
        <v>237.97403299999999</v>
      </c>
      <c r="O99" s="186">
        <f t="shared" si="5"/>
        <v>25661.808243824136</v>
      </c>
      <c r="P99" s="186">
        <f t="shared" si="6"/>
        <v>8449.8670846007135</v>
      </c>
      <c r="Q99" s="215">
        <f>IF(P99="-",0,P99/(1+'General inputs'!$H$30)^'MP Calculations'!$C$40)</f>
        <v>18769.59685355271</v>
      </c>
    </row>
    <row r="100" spans="3:17">
      <c r="C100" s="159"/>
      <c r="D100" s="165" t="s">
        <v>282</v>
      </c>
      <c r="E100" s="162">
        <v>26299</v>
      </c>
      <c r="F100" s="166" t="str">
        <f t="shared" si="4"/>
        <v>Date check - OK</v>
      </c>
      <c r="G100" s="68"/>
      <c r="H100" s="162" t="s">
        <v>280</v>
      </c>
      <c r="I100" s="173">
        <v>21853.086195380012</v>
      </c>
      <c r="J100" s="168">
        <f>IFERROR(MIN('MP Calculations'!$E$30/I100,1),"-")</f>
        <v>0.32927792945511891</v>
      </c>
      <c r="K100" s="12"/>
      <c r="L100" s="159">
        <v>1.602501</v>
      </c>
      <c r="M100" s="187" t="s">
        <v>293</v>
      </c>
      <c r="N100" s="187">
        <v>237.97403299999999</v>
      </c>
      <c r="O100" s="186">
        <f t="shared" si="5"/>
        <v>381.35362585653297</v>
      </c>
      <c r="P100" s="186">
        <f t="shared" si="6"/>
        <v>125.57133231224128</v>
      </c>
      <c r="Q100" s="215">
        <f>IF(P100="-",0,P100/(1+'General inputs'!$H$30)^'MP Calculations'!$C$40)</f>
        <v>278.93021987997798</v>
      </c>
    </row>
    <row r="101" spans="3:17">
      <c r="C101" s="159"/>
      <c r="D101" s="165" t="s">
        <v>283</v>
      </c>
      <c r="E101" s="162">
        <v>26299</v>
      </c>
      <c r="F101" s="166" t="str">
        <f t="shared" si="4"/>
        <v>Date check - OK</v>
      </c>
      <c r="G101" s="68"/>
      <c r="H101" s="162" t="s">
        <v>280</v>
      </c>
      <c r="I101" s="173">
        <v>21853.086195380012</v>
      </c>
      <c r="J101" s="168">
        <f>IFERROR(MIN('MP Calculations'!$E$30/I101,1),"-")</f>
        <v>0.32927792945511891</v>
      </c>
      <c r="K101" s="12"/>
      <c r="L101" s="159">
        <v>61.218291000000001</v>
      </c>
      <c r="M101" s="187" t="s">
        <v>293</v>
      </c>
      <c r="N101" s="187">
        <v>192.78728599999999</v>
      </c>
      <c r="O101" s="186">
        <f t="shared" si="5"/>
        <v>11802.108175448226</v>
      </c>
      <c r="P101" s="186">
        <f t="shared" si="6"/>
        <v>3886.173743216923</v>
      </c>
      <c r="Q101" s="215">
        <f>IF(P101="-",0,P101/(1+'General inputs'!$H$30)^'MP Calculations'!$C$40)</f>
        <v>8632.3150095431683</v>
      </c>
    </row>
    <row r="102" spans="3:17">
      <c r="C102" s="159"/>
      <c r="D102" s="165" t="s">
        <v>282</v>
      </c>
      <c r="E102" s="162">
        <v>26299</v>
      </c>
      <c r="F102" s="166" t="str">
        <f t="shared" si="4"/>
        <v>Date check - OK</v>
      </c>
      <c r="G102" s="68"/>
      <c r="H102" s="162" t="s">
        <v>280</v>
      </c>
      <c r="I102" s="173">
        <v>21853.086195380012</v>
      </c>
      <c r="J102" s="168">
        <f>IFERROR(MIN('MP Calculations'!$E$30/I102,1),"-")</f>
        <v>0.32927792945511891</v>
      </c>
      <c r="K102" s="12"/>
      <c r="L102" s="159">
        <v>7.2494329999999998</v>
      </c>
      <c r="M102" s="187" t="s">
        <v>293</v>
      </c>
      <c r="N102" s="187">
        <v>237.97403299999999</v>
      </c>
      <c r="O102" s="186">
        <f t="shared" si="5"/>
        <v>1725.176807973289</v>
      </c>
      <c r="P102" s="186">
        <f t="shared" si="6"/>
        <v>568.06264727343591</v>
      </c>
      <c r="Q102" s="215">
        <f>IF(P102="-",0,P102/(1+'General inputs'!$H$30)^'MP Calculations'!$C$40)</f>
        <v>1261.8313128635605</v>
      </c>
    </row>
    <row r="103" spans="3:17">
      <c r="C103" s="159"/>
      <c r="D103" s="165" t="s">
        <v>282</v>
      </c>
      <c r="E103" s="162">
        <v>26299</v>
      </c>
      <c r="F103" s="166" t="str">
        <f t="shared" si="4"/>
        <v>Date check - OK</v>
      </c>
      <c r="G103" s="68"/>
      <c r="H103" s="162" t="s">
        <v>280</v>
      </c>
      <c r="I103" s="173">
        <v>21853.086195380012</v>
      </c>
      <c r="J103" s="168">
        <f>IFERROR(MIN('MP Calculations'!$E$30/I103,1),"-")</f>
        <v>0.32927792945511891</v>
      </c>
      <c r="K103" s="12"/>
      <c r="L103" s="159">
        <v>75.204667999999998</v>
      </c>
      <c r="M103" s="187" t="s">
        <v>293</v>
      </c>
      <c r="N103" s="187">
        <v>237.97403299999999</v>
      </c>
      <c r="O103" s="186">
        <f t="shared" si="5"/>
        <v>17896.758144386044</v>
      </c>
      <c r="P103" s="186">
        <f t="shared" si="6"/>
        <v>5893.007465742472</v>
      </c>
      <c r="Q103" s="215">
        <f>IF(P103="-",0,P103/(1+'General inputs'!$H$30)^'MP Calculations'!$C$40)</f>
        <v>13090.072693396598</v>
      </c>
    </row>
    <row r="104" spans="3:17">
      <c r="C104" s="159"/>
      <c r="D104" s="165" t="s">
        <v>282</v>
      </c>
      <c r="E104" s="162">
        <v>26299</v>
      </c>
      <c r="F104" s="166" t="str">
        <f t="shared" si="4"/>
        <v>Date check - OK</v>
      </c>
      <c r="G104" s="68"/>
      <c r="H104" s="162" t="s">
        <v>280</v>
      </c>
      <c r="I104" s="173">
        <v>21853.086195380012</v>
      </c>
      <c r="J104" s="168">
        <f>IFERROR(MIN('MP Calculations'!$E$30/I104,1),"-")</f>
        <v>0.32927792945511891</v>
      </c>
      <c r="K104" s="12"/>
      <c r="L104" s="159">
        <v>24.587838999999999</v>
      </c>
      <c r="M104" s="187" t="s">
        <v>293</v>
      </c>
      <c r="N104" s="187">
        <v>237.97403299999999</v>
      </c>
      <c r="O104" s="186">
        <f t="shared" si="5"/>
        <v>5851.2672095846865</v>
      </c>
      <c r="P104" s="186">
        <f t="shared" si="6"/>
        <v>1926.693151460677</v>
      </c>
      <c r="Q104" s="215">
        <f>IF(P104="-",0,P104/(1+'General inputs'!$H$30)^'MP Calculations'!$C$40)</f>
        <v>4279.7423144469158</v>
      </c>
    </row>
    <row r="105" spans="3:17">
      <c r="C105" s="159"/>
      <c r="D105" s="165" t="s">
        <v>283</v>
      </c>
      <c r="E105" s="162">
        <v>26299</v>
      </c>
      <c r="F105" s="166" t="str">
        <f t="shared" si="4"/>
        <v>Date check - OK</v>
      </c>
      <c r="G105" s="68"/>
      <c r="H105" s="162" t="s">
        <v>280</v>
      </c>
      <c r="I105" s="173">
        <v>21853.086195380012</v>
      </c>
      <c r="J105" s="168">
        <f>IFERROR(MIN('MP Calculations'!$E$30/I105,1),"-")</f>
        <v>0.32927792945511891</v>
      </c>
      <c r="K105" s="12"/>
      <c r="L105" s="159">
        <v>3.6984840000000001</v>
      </c>
      <c r="M105" s="187" t="s">
        <v>293</v>
      </c>
      <c r="N105" s="187">
        <v>192.78728599999999</v>
      </c>
      <c r="O105" s="186">
        <f t="shared" si="5"/>
        <v>713.02069267442403</v>
      </c>
      <c r="P105" s="186">
        <f t="shared" si="6"/>
        <v>234.78197734248903</v>
      </c>
      <c r="Q105" s="215">
        <f>IF(P105="-",0,P105/(1+'General inputs'!$H$30)^'MP Calculations'!$C$40)</f>
        <v>521.51862497689228</v>
      </c>
    </row>
    <row r="106" spans="3:17">
      <c r="C106" s="159"/>
      <c r="D106" s="165" t="s">
        <v>282</v>
      </c>
      <c r="E106" s="162">
        <v>26299</v>
      </c>
      <c r="F106" s="166" t="str">
        <f t="shared" si="4"/>
        <v>Date check - OK</v>
      </c>
      <c r="G106" s="68"/>
      <c r="H106" s="162" t="s">
        <v>280</v>
      </c>
      <c r="I106" s="173">
        <v>21853.086195380012</v>
      </c>
      <c r="J106" s="168">
        <f>IFERROR(MIN('MP Calculations'!$E$30/I106,1),"-")</f>
        <v>0.32927792945511891</v>
      </c>
      <c r="K106" s="12"/>
      <c r="L106" s="159">
        <v>64.105463</v>
      </c>
      <c r="M106" s="187" t="s">
        <v>293</v>
      </c>
      <c r="N106" s="187">
        <v>237.97403299999999</v>
      </c>
      <c r="O106" s="186">
        <f t="shared" si="5"/>
        <v>15255.435567442279</v>
      </c>
      <c r="P106" s="186">
        <f t="shared" si="6"/>
        <v>5023.2782365833709</v>
      </c>
      <c r="Q106" s="215">
        <f>IF(P106="-",0,P106/(1+'General inputs'!$H$30)^'MP Calculations'!$C$40)</f>
        <v>11158.152718842481</v>
      </c>
    </row>
    <row r="107" spans="3:17">
      <c r="C107" s="159"/>
      <c r="D107" s="165" t="s">
        <v>283</v>
      </c>
      <c r="E107" s="162">
        <v>26299</v>
      </c>
      <c r="F107" s="166" t="str">
        <f t="shared" si="4"/>
        <v>Date check - OK</v>
      </c>
      <c r="G107" s="68"/>
      <c r="H107" s="162" t="s">
        <v>280</v>
      </c>
      <c r="I107" s="173">
        <v>21853.086195380012</v>
      </c>
      <c r="J107" s="168">
        <f>IFERROR(MIN('MP Calculations'!$E$30/I107,1),"-")</f>
        <v>0.32927792945511891</v>
      </c>
      <c r="K107" s="12"/>
      <c r="L107" s="159">
        <v>57.594372</v>
      </c>
      <c r="M107" s="187" t="s">
        <v>293</v>
      </c>
      <c r="N107" s="187">
        <v>192.78728599999999</v>
      </c>
      <c r="O107" s="186">
        <f t="shared" si="5"/>
        <v>11103.462666754393</v>
      </c>
      <c r="P107" s="186">
        <f t="shared" si="6"/>
        <v>3656.1251966910995</v>
      </c>
      <c r="Q107" s="215">
        <f>IF(P107="-",0,P107/(1+'General inputs'!$H$30)^'MP Calculations'!$C$40)</f>
        <v>8121.3107023979619</v>
      </c>
    </row>
    <row r="108" spans="3:17">
      <c r="C108" s="159"/>
      <c r="D108" s="165" t="s">
        <v>283</v>
      </c>
      <c r="E108" s="162">
        <v>26299</v>
      </c>
      <c r="F108" s="166" t="str">
        <f t="shared" si="4"/>
        <v>Date check - OK</v>
      </c>
      <c r="G108" s="68"/>
      <c r="H108" s="162" t="s">
        <v>280</v>
      </c>
      <c r="I108" s="173">
        <v>21853.086195380012</v>
      </c>
      <c r="J108" s="168">
        <f>IFERROR(MIN('MP Calculations'!$E$30/I108,1),"-")</f>
        <v>0.32927792945511891</v>
      </c>
      <c r="K108" s="12"/>
      <c r="L108" s="159">
        <v>1.730078</v>
      </c>
      <c r="M108" s="187" t="s">
        <v>293</v>
      </c>
      <c r="N108" s="187">
        <v>192.78728599999999</v>
      </c>
      <c r="O108" s="186">
        <f t="shared" si="5"/>
        <v>333.53704218830796</v>
      </c>
      <c r="P108" s="186">
        <f t="shared" si="6"/>
        <v>109.82638664835069</v>
      </c>
      <c r="Q108" s="215">
        <f>IF(P108="-",0,P108/(1+'General inputs'!$H$30)^'MP Calculations'!$C$40)</f>
        <v>243.95614518347833</v>
      </c>
    </row>
    <row r="109" spans="3:17">
      <c r="C109" s="159"/>
      <c r="D109" s="165" t="s">
        <v>282</v>
      </c>
      <c r="E109" s="162">
        <v>26299</v>
      </c>
      <c r="F109" s="166" t="str">
        <f t="shared" si="4"/>
        <v>Date check - OK</v>
      </c>
      <c r="G109" s="68"/>
      <c r="H109" s="162" t="s">
        <v>280</v>
      </c>
      <c r="I109" s="173">
        <v>21853.086195380012</v>
      </c>
      <c r="J109" s="168">
        <f>IFERROR(MIN('MP Calculations'!$E$30/I109,1),"-")</f>
        <v>0.32927792945511891</v>
      </c>
      <c r="K109" s="12"/>
      <c r="L109" s="159">
        <v>95.347995999999995</v>
      </c>
      <c r="M109" s="187" t="s">
        <v>293</v>
      </c>
      <c r="N109" s="187">
        <v>237.97403299999999</v>
      </c>
      <c r="O109" s="186">
        <f t="shared" si="5"/>
        <v>22690.347146587865</v>
      </c>
      <c r="P109" s="186">
        <f t="shared" si="6"/>
        <v>7471.4305270463174</v>
      </c>
      <c r="Q109" s="215">
        <f>IF(P109="-",0,P109/(1+'General inputs'!$H$30)^'MP Calculations'!$C$40)</f>
        <v>16596.206485609218</v>
      </c>
    </row>
    <row r="110" spans="3:17">
      <c r="C110" s="159"/>
      <c r="D110" s="165" t="s">
        <v>283</v>
      </c>
      <c r="E110" s="162">
        <v>26299</v>
      </c>
      <c r="F110" s="166" t="str">
        <f t="shared" si="4"/>
        <v>Date check - OK</v>
      </c>
      <c r="G110" s="68"/>
      <c r="H110" s="162" t="s">
        <v>280</v>
      </c>
      <c r="I110" s="173">
        <v>21853.086195380012</v>
      </c>
      <c r="J110" s="168">
        <f>IFERROR(MIN('MP Calculations'!$E$30/I110,1),"-")</f>
        <v>0.32927792945511891</v>
      </c>
      <c r="K110" s="12"/>
      <c r="L110" s="159">
        <v>51.152585000000002</v>
      </c>
      <c r="M110" s="187" t="s">
        <v>293</v>
      </c>
      <c r="N110" s="187">
        <v>192.78728599999999</v>
      </c>
      <c r="O110" s="186">
        <f t="shared" si="5"/>
        <v>9861.5680340343097</v>
      </c>
      <c r="P110" s="186">
        <f t="shared" si="6"/>
        <v>3247.1967034276049</v>
      </c>
      <c r="Q110" s="215">
        <f>IF(P110="-",0,P110/(1+'General inputs'!$H$30)^'MP Calculations'!$C$40)</f>
        <v>7212.9623362473922</v>
      </c>
    </row>
    <row r="111" spans="3:17">
      <c r="C111" s="159"/>
      <c r="D111" s="165" t="s">
        <v>282</v>
      </c>
      <c r="E111" s="162">
        <v>26299</v>
      </c>
      <c r="F111" s="166" t="str">
        <f t="shared" si="4"/>
        <v>Date check - OK</v>
      </c>
      <c r="G111" s="68"/>
      <c r="H111" s="162" t="s">
        <v>280</v>
      </c>
      <c r="I111" s="173">
        <v>21853.086195380012</v>
      </c>
      <c r="J111" s="168">
        <f>IFERROR(MIN('MP Calculations'!$E$30/I111,1),"-")</f>
        <v>0.32927792945511891</v>
      </c>
      <c r="K111" s="12"/>
      <c r="L111" s="159">
        <v>68.172965000000005</v>
      </c>
      <c r="M111" s="187" t="s">
        <v>293</v>
      </c>
      <c r="N111" s="187">
        <v>237.97403299999999</v>
      </c>
      <c r="O111" s="186">
        <f t="shared" si="5"/>
        <v>16223.395422617845</v>
      </c>
      <c r="P111" s="186">
        <f t="shared" si="6"/>
        <v>5342.0060534912582</v>
      </c>
      <c r="Q111" s="215">
        <f>IF(P111="-",0,P111/(1+'General inputs'!$H$30)^'MP Calculations'!$C$40)</f>
        <v>11866.139314309348</v>
      </c>
    </row>
    <row r="112" spans="3:17">
      <c r="C112" s="159"/>
      <c r="D112" s="165" t="s">
        <v>282</v>
      </c>
      <c r="E112" s="162">
        <v>26299</v>
      </c>
      <c r="F112" s="166" t="str">
        <f t="shared" si="4"/>
        <v>Date check - OK</v>
      </c>
      <c r="G112" s="68"/>
      <c r="H112" s="162" t="s">
        <v>280</v>
      </c>
      <c r="I112" s="173">
        <v>21853.086195380012</v>
      </c>
      <c r="J112" s="168">
        <f>IFERROR(MIN('MP Calculations'!$E$30/I112,1),"-")</f>
        <v>0.32927792945511891</v>
      </c>
      <c r="K112" s="12"/>
      <c r="L112" s="159">
        <v>5.4998469999999999</v>
      </c>
      <c r="M112" s="187" t="s">
        <v>293</v>
      </c>
      <c r="N112" s="187">
        <v>237.97403299999999</v>
      </c>
      <c r="O112" s="186">
        <f t="shared" si="5"/>
        <v>1308.820771472951</v>
      </c>
      <c r="P112" s="186">
        <f t="shared" si="6"/>
        <v>430.96579365846469</v>
      </c>
      <c r="Q112" s="215">
        <f>IF(P112="-",0,P112/(1+'General inputs'!$H$30)^'MP Calculations'!$C$40)</f>
        <v>957.29957923036386</v>
      </c>
    </row>
    <row r="113" spans="3:17">
      <c r="C113" s="159"/>
      <c r="D113" s="165" t="s">
        <v>282</v>
      </c>
      <c r="E113" s="162">
        <v>26299</v>
      </c>
      <c r="F113" s="166" t="str">
        <f t="shared" si="4"/>
        <v>Date check - OK</v>
      </c>
      <c r="G113" s="68"/>
      <c r="H113" s="162" t="s">
        <v>280</v>
      </c>
      <c r="I113" s="173">
        <v>21853.086195380012</v>
      </c>
      <c r="J113" s="168">
        <f>IFERROR(MIN('MP Calculations'!$E$30/I113,1),"-")</f>
        <v>0.32927792945511891</v>
      </c>
      <c r="K113" s="12"/>
      <c r="L113" s="159">
        <v>99.240847000000002</v>
      </c>
      <c r="M113" s="187" t="s">
        <v>293</v>
      </c>
      <c r="N113" s="187">
        <v>237.97403299999999</v>
      </c>
      <c r="O113" s="186">
        <f t="shared" si="5"/>
        <v>23616.74459892595</v>
      </c>
      <c r="P113" s="186">
        <f t="shared" si="6"/>
        <v>7776.4727620046997</v>
      </c>
      <c r="Q113" s="215">
        <f>IF(P113="-",0,P113/(1+'General inputs'!$H$30)^'MP Calculations'!$C$40)</f>
        <v>17273.793448356821</v>
      </c>
    </row>
    <row r="114" spans="3:17">
      <c r="C114" s="159"/>
      <c r="D114" s="165" t="s">
        <v>283</v>
      </c>
      <c r="E114" s="162">
        <v>26299</v>
      </c>
      <c r="F114" s="166" t="str">
        <f t="shared" si="4"/>
        <v>Date check - OK</v>
      </c>
      <c r="G114" s="68"/>
      <c r="H114" s="162" t="s">
        <v>280</v>
      </c>
      <c r="I114" s="173">
        <v>21853.086195380012</v>
      </c>
      <c r="J114" s="168">
        <f>IFERROR(MIN('MP Calculations'!$E$30/I114,1),"-")</f>
        <v>0.32927792945511891</v>
      </c>
      <c r="K114" s="12"/>
      <c r="L114" s="159">
        <v>17.321497000000001</v>
      </c>
      <c r="M114" s="187" t="s">
        <v>293</v>
      </c>
      <c r="N114" s="187">
        <v>192.78728599999999</v>
      </c>
      <c r="O114" s="186">
        <f t="shared" si="5"/>
        <v>3339.3643960871423</v>
      </c>
      <c r="P114" s="186">
        <f t="shared" si="6"/>
        <v>1099.5789940397178</v>
      </c>
      <c r="Q114" s="215">
        <f>IF(P114="-",0,P114/(1+'General inputs'!$H$30)^'MP Calculations'!$C$40)</f>
        <v>2442.4827302163167</v>
      </c>
    </row>
    <row r="115" spans="3:17">
      <c r="C115" s="159"/>
      <c r="D115" s="165" t="s">
        <v>282</v>
      </c>
      <c r="E115" s="162">
        <v>26299</v>
      </c>
      <c r="F115" s="166" t="str">
        <f t="shared" si="4"/>
        <v>Date check - OK</v>
      </c>
      <c r="G115" s="68"/>
      <c r="H115" s="162" t="s">
        <v>280</v>
      </c>
      <c r="I115" s="173">
        <v>21853.086195380012</v>
      </c>
      <c r="J115" s="168">
        <f>IFERROR(MIN('MP Calculations'!$E$30/I115,1),"-")</f>
        <v>0.32927792945511891</v>
      </c>
      <c r="K115" s="12"/>
      <c r="L115" s="159">
        <v>40.383066999999997</v>
      </c>
      <c r="M115" s="187" t="s">
        <v>293</v>
      </c>
      <c r="N115" s="187">
        <v>237.97403299999999</v>
      </c>
      <c r="O115" s="186">
        <f t="shared" si="5"/>
        <v>9610.1213188992097</v>
      </c>
      <c r="P115" s="186">
        <f t="shared" si="6"/>
        <v>3164.4008496996285</v>
      </c>
      <c r="Q115" s="215">
        <f>IF(P115="-",0,P115/(1+'General inputs'!$H$30)^'MP Calculations'!$C$40)</f>
        <v>7029.0488166546429</v>
      </c>
    </row>
    <row r="116" spans="3:17">
      <c r="C116" s="159"/>
      <c r="D116" s="165" t="s">
        <v>283</v>
      </c>
      <c r="E116" s="162">
        <v>26299</v>
      </c>
      <c r="F116" s="166" t="str">
        <f t="shared" si="4"/>
        <v>Date check - OK</v>
      </c>
      <c r="G116" s="68"/>
      <c r="H116" s="162" t="s">
        <v>280</v>
      </c>
      <c r="I116" s="173">
        <v>21853.086195380012</v>
      </c>
      <c r="J116" s="168">
        <f>IFERROR(MIN('MP Calculations'!$E$30/I116,1),"-")</f>
        <v>0.32927792945511891</v>
      </c>
      <c r="K116" s="12"/>
      <c r="L116" s="159">
        <v>60.578322</v>
      </c>
      <c r="M116" s="187" t="s">
        <v>293</v>
      </c>
      <c r="N116" s="187">
        <v>192.78728599999999</v>
      </c>
      <c r="O116" s="186">
        <f t="shared" si="5"/>
        <v>11678.730288814091</v>
      </c>
      <c r="P116" s="186">
        <f t="shared" si="6"/>
        <v>3845.548128165487</v>
      </c>
      <c r="Q116" s="215">
        <f>IF(P116="-",0,P116/(1+'General inputs'!$H$30)^'MP Calculations'!$C$40)</f>
        <v>8542.0737774848876</v>
      </c>
    </row>
    <row r="117" spans="3:17">
      <c r="C117" s="159"/>
      <c r="D117" s="165" t="s">
        <v>283</v>
      </c>
      <c r="E117" s="162">
        <v>26299</v>
      </c>
      <c r="F117" s="166" t="str">
        <f t="shared" si="4"/>
        <v>Date check - OK</v>
      </c>
      <c r="G117" s="68"/>
      <c r="H117" s="162" t="s">
        <v>280</v>
      </c>
      <c r="I117" s="173">
        <v>21853.086195380012</v>
      </c>
      <c r="J117" s="168">
        <f>IFERROR(MIN('MP Calculations'!$E$30/I117,1),"-")</f>
        <v>0.32927792945511891</v>
      </c>
      <c r="K117" s="12"/>
      <c r="L117" s="159">
        <v>14.910337</v>
      </c>
      <c r="M117" s="187" t="s">
        <v>293</v>
      </c>
      <c r="N117" s="187">
        <v>192.78728599999999</v>
      </c>
      <c r="O117" s="186">
        <f t="shared" si="5"/>
        <v>2874.523403575382</v>
      </c>
      <c r="P117" s="186">
        <f t="shared" si="6"/>
        <v>946.51711449958293</v>
      </c>
      <c r="Q117" s="215">
        <f>IF(P117="-",0,P117/(1+'General inputs'!$H$30)^'MP Calculations'!$C$40)</f>
        <v>2102.4880600219117</v>
      </c>
    </row>
    <row r="118" spans="3:17">
      <c r="C118" s="159"/>
      <c r="D118" s="165" t="s">
        <v>282</v>
      </c>
      <c r="E118" s="162">
        <v>26299</v>
      </c>
      <c r="F118" s="166" t="str">
        <f t="shared" si="4"/>
        <v>Date check - OK</v>
      </c>
      <c r="G118" s="68"/>
      <c r="H118" s="162" t="s">
        <v>280</v>
      </c>
      <c r="I118" s="173">
        <v>21853.086195380012</v>
      </c>
      <c r="J118" s="168">
        <f>IFERROR(MIN('MP Calculations'!$E$30/I118,1),"-")</f>
        <v>0.32927792945511891</v>
      </c>
      <c r="K118" s="12"/>
      <c r="L118" s="159">
        <v>135.53922399999999</v>
      </c>
      <c r="M118" s="187" t="s">
        <v>293</v>
      </c>
      <c r="N118" s="187">
        <v>237.97403299999999</v>
      </c>
      <c r="O118" s="186">
        <f t="shared" si="5"/>
        <v>32254.81576497039</v>
      </c>
      <c r="P118" s="186">
        <f t="shared" si="6"/>
        <v>10620.798950045777</v>
      </c>
      <c r="Q118" s="215">
        <f>IF(P118="-",0,P118/(1+'General inputs'!$H$30)^'MP Calculations'!$C$40)</f>
        <v>23591.863938107737</v>
      </c>
    </row>
    <row r="119" spans="3:17">
      <c r="C119" s="159"/>
      <c r="D119" s="165" t="s">
        <v>282</v>
      </c>
      <c r="E119" s="162">
        <v>26299</v>
      </c>
      <c r="F119" s="166" t="str">
        <f t="shared" si="4"/>
        <v>Date check - OK</v>
      </c>
      <c r="G119" s="68"/>
      <c r="H119" s="162" t="s">
        <v>280</v>
      </c>
      <c r="I119" s="173">
        <v>21853.086195380012</v>
      </c>
      <c r="J119" s="168">
        <f>IFERROR(MIN('MP Calculations'!$E$30/I119,1),"-")</f>
        <v>0.32927792945511891</v>
      </c>
      <c r="K119" s="12"/>
      <c r="L119" s="159">
        <v>4.0771199999999999</v>
      </c>
      <c r="M119" s="187" t="s">
        <v>293</v>
      </c>
      <c r="N119" s="187">
        <v>237.97403299999999</v>
      </c>
      <c r="O119" s="186">
        <f t="shared" si="5"/>
        <v>970.24868942495993</v>
      </c>
      <c r="P119" s="186">
        <f t="shared" si="6"/>
        <v>319.48147951039351</v>
      </c>
      <c r="Q119" s="215">
        <f>IF(P119="-",0,P119/(1+'General inputs'!$H$30)^'MP Calculations'!$C$40)</f>
        <v>709.66069791972404</v>
      </c>
    </row>
    <row r="120" spans="3:17">
      <c r="C120" s="159"/>
      <c r="D120" s="165" t="s">
        <v>283</v>
      </c>
      <c r="E120" s="162">
        <v>26299</v>
      </c>
      <c r="F120" s="166" t="str">
        <f t="shared" si="4"/>
        <v>Date check - OK</v>
      </c>
      <c r="G120" s="68"/>
      <c r="H120" s="162" t="s">
        <v>280</v>
      </c>
      <c r="I120" s="173">
        <v>21853.086195380012</v>
      </c>
      <c r="J120" s="168">
        <f>IFERROR(MIN('MP Calculations'!$E$30/I120,1),"-")</f>
        <v>0.32927792945511891</v>
      </c>
      <c r="K120" s="12"/>
      <c r="L120" s="159">
        <v>1.0304800000000001</v>
      </c>
      <c r="M120" s="187" t="s">
        <v>293</v>
      </c>
      <c r="N120" s="187">
        <v>192.78728599999999</v>
      </c>
      <c r="O120" s="186">
        <f t="shared" si="5"/>
        <v>198.66344247728</v>
      </c>
      <c r="P120" s="186">
        <f t="shared" si="6"/>
        <v>65.415486997344871</v>
      </c>
      <c r="Q120" s="215">
        <f>IF(P120="-",0,P120/(1+'General inputs'!$H$30)^'MP Calculations'!$C$40)</f>
        <v>145.30670206121962</v>
      </c>
    </row>
    <row r="121" spans="3:17">
      <c r="C121" s="159"/>
      <c r="D121" s="165" t="s">
        <v>283</v>
      </c>
      <c r="E121" s="162">
        <v>26299</v>
      </c>
      <c r="F121" s="166" t="str">
        <f t="shared" si="4"/>
        <v>Date check - OK</v>
      </c>
      <c r="G121" s="68"/>
      <c r="H121" s="162" t="s">
        <v>280</v>
      </c>
      <c r="I121" s="173">
        <v>21853.086195380012</v>
      </c>
      <c r="J121" s="168">
        <f>IFERROR(MIN('MP Calculations'!$E$30/I121,1),"-")</f>
        <v>0.32927792945511891</v>
      </c>
      <c r="K121" s="12"/>
      <c r="L121" s="159">
        <v>0.86644200000000005</v>
      </c>
      <c r="M121" s="187" t="s">
        <v>293</v>
      </c>
      <c r="N121" s="187">
        <v>192.78728599999999</v>
      </c>
      <c r="O121" s="186">
        <f t="shared" si="5"/>
        <v>167.03900165641201</v>
      </c>
      <c r="P121" s="186">
        <f t="shared" si="6"/>
        <v>55.002256603673523</v>
      </c>
      <c r="Q121" s="215">
        <f>IF(P121="-",0,P121/(1+'General inputs'!$H$30)^'MP Calculations'!$C$40)</f>
        <v>122.17590787528847</v>
      </c>
    </row>
    <row r="122" spans="3:17">
      <c r="C122" s="159"/>
      <c r="D122" s="165" t="s">
        <v>283</v>
      </c>
      <c r="E122" s="162">
        <v>26299</v>
      </c>
      <c r="F122" s="166" t="str">
        <f t="shared" si="4"/>
        <v>Date check - OK</v>
      </c>
      <c r="G122" s="68"/>
      <c r="H122" s="162" t="s">
        <v>280</v>
      </c>
      <c r="I122" s="173">
        <v>21853.086195380012</v>
      </c>
      <c r="J122" s="168">
        <f>IFERROR(MIN('MP Calculations'!$E$30/I122,1),"-")</f>
        <v>0.32927792945511891</v>
      </c>
      <c r="K122" s="12"/>
      <c r="L122" s="159">
        <v>25.314145</v>
      </c>
      <c r="M122" s="187" t="s">
        <v>293</v>
      </c>
      <c r="N122" s="187">
        <v>192.78728599999999</v>
      </c>
      <c r="O122" s="186">
        <f t="shared" si="5"/>
        <v>4880.2453119604697</v>
      </c>
      <c r="P122" s="186">
        <f t="shared" si="6"/>
        <v>1606.9570715553944</v>
      </c>
      <c r="Q122" s="215">
        <f>IF(P122="-",0,P122/(1+'General inputs'!$H$30)^'MP Calculations'!$C$40)</f>
        <v>3569.516075469211</v>
      </c>
    </row>
    <row r="123" spans="3:17">
      <c r="C123" s="159"/>
      <c r="D123" s="165" t="s">
        <v>283</v>
      </c>
      <c r="E123" s="162">
        <v>26299</v>
      </c>
      <c r="F123" s="166" t="str">
        <f t="shared" si="4"/>
        <v>Date check - OK</v>
      </c>
      <c r="G123" s="68"/>
      <c r="H123" s="162" t="s">
        <v>280</v>
      </c>
      <c r="I123" s="173">
        <v>21853.086195380012</v>
      </c>
      <c r="J123" s="168">
        <f>IFERROR(MIN('MP Calculations'!$E$30/I123,1),"-")</f>
        <v>0.32927792945511891</v>
      </c>
      <c r="K123" s="12"/>
      <c r="L123" s="159">
        <v>72.610806999999994</v>
      </c>
      <c r="M123" s="187" t="s">
        <v>293</v>
      </c>
      <c r="N123" s="187">
        <v>192.78728599999999</v>
      </c>
      <c r="O123" s="186">
        <f t="shared" si="5"/>
        <v>13998.4404157998</v>
      </c>
      <c r="P123" s="186">
        <f t="shared" si="6"/>
        <v>4609.3774757154115</v>
      </c>
      <c r="Q123" s="215">
        <f>IF(P123="-",0,P123/(1+'General inputs'!$H$30)^'MP Calculations'!$C$40)</f>
        <v>10238.75950932936</v>
      </c>
    </row>
    <row r="124" spans="3:17">
      <c r="C124" s="159"/>
      <c r="D124" s="165" t="s">
        <v>283</v>
      </c>
      <c r="E124" s="162">
        <v>26299</v>
      </c>
      <c r="F124" s="166" t="str">
        <f t="shared" si="4"/>
        <v>Date check - OK</v>
      </c>
      <c r="G124" s="68"/>
      <c r="H124" s="162" t="s">
        <v>280</v>
      </c>
      <c r="I124" s="173">
        <v>21853.086195380012</v>
      </c>
      <c r="J124" s="168">
        <f>IFERROR(MIN('MP Calculations'!$E$30/I124,1),"-")</f>
        <v>0.32927792945511891</v>
      </c>
      <c r="K124" s="12"/>
      <c r="L124" s="159">
        <v>18.698018999999999</v>
      </c>
      <c r="M124" s="187" t="s">
        <v>293</v>
      </c>
      <c r="N124" s="187">
        <v>192.78728599999999</v>
      </c>
      <c r="O124" s="186">
        <f t="shared" si="5"/>
        <v>3604.7403365864338</v>
      </c>
      <c r="P124" s="186">
        <f t="shared" si="6"/>
        <v>1186.9614342545294</v>
      </c>
      <c r="Q124" s="215">
        <f>IF(P124="-",0,P124/(1+'General inputs'!$H$30)^'MP Calculations'!$C$40)</f>
        <v>2636.5843839453692</v>
      </c>
    </row>
    <row r="125" spans="3:17">
      <c r="C125" s="159"/>
      <c r="D125" s="165" t="s">
        <v>283</v>
      </c>
      <c r="E125" s="162">
        <v>26299</v>
      </c>
      <c r="F125" s="166" t="str">
        <f t="shared" si="4"/>
        <v>Date check - OK</v>
      </c>
      <c r="G125" s="68"/>
      <c r="H125" s="162" t="s">
        <v>280</v>
      </c>
      <c r="I125" s="173">
        <v>21853.086195380012</v>
      </c>
      <c r="J125" s="168">
        <f>IFERROR(MIN('MP Calculations'!$E$30/I125,1),"-")</f>
        <v>0.32927792945511891</v>
      </c>
      <c r="K125" s="12"/>
      <c r="L125" s="159">
        <v>55.228110000000001</v>
      </c>
      <c r="M125" s="187" t="s">
        <v>293</v>
      </c>
      <c r="N125" s="187">
        <v>192.78728599999999</v>
      </c>
      <c r="O125" s="186">
        <f t="shared" si="5"/>
        <v>10647.27743780946</v>
      </c>
      <c r="P125" s="186">
        <f t="shared" si="6"/>
        <v>3505.9134690561027</v>
      </c>
      <c r="Q125" s="215">
        <f>IF(P125="-",0,P125/(1+'General inputs'!$H$30)^'MP Calculations'!$C$40)</f>
        <v>7787.6470432946444</v>
      </c>
    </row>
    <row r="126" spans="3:17">
      <c r="C126" s="159"/>
      <c r="D126" s="165" t="s">
        <v>283</v>
      </c>
      <c r="E126" s="162">
        <v>26299</v>
      </c>
      <c r="F126" s="166" t="str">
        <f t="shared" si="4"/>
        <v>Date check - OK</v>
      </c>
      <c r="G126" s="68"/>
      <c r="H126" s="162" t="s">
        <v>280</v>
      </c>
      <c r="I126" s="173">
        <v>21853.086195380012</v>
      </c>
      <c r="J126" s="168">
        <f>IFERROR(MIN('MP Calculations'!$E$30/I126,1),"-")</f>
        <v>0.32927792945511891</v>
      </c>
      <c r="K126" s="12"/>
      <c r="L126" s="159">
        <v>1.650201</v>
      </c>
      <c r="M126" s="187" t="s">
        <v>293</v>
      </c>
      <c r="N126" s="187">
        <v>192.78728599999999</v>
      </c>
      <c r="O126" s="186">
        <f t="shared" si="5"/>
        <v>318.13777214448601</v>
      </c>
      <c r="P126" s="186">
        <f t="shared" si="6"/>
        <v>104.75574689320075</v>
      </c>
      <c r="Q126" s="215">
        <f>IF(P126="-",0,P126/(1+'General inputs'!$H$30)^'MP Calculations'!$C$40)</f>
        <v>232.69278884415681</v>
      </c>
    </row>
    <row r="127" spans="3:17">
      <c r="C127" s="159"/>
      <c r="D127" s="165" t="s">
        <v>283</v>
      </c>
      <c r="E127" s="162">
        <v>26299</v>
      </c>
      <c r="F127" s="166" t="str">
        <f t="shared" si="4"/>
        <v>Date check - OK</v>
      </c>
      <c r="G127" s="68"/>
      <c r="H127" s="162" t="s">
        <v>280</v>
      </c>
      <c r="I127" s="173">
        <v>21853.086195380012</v>
      </c>
      <c r="J127" s="168">
        <f>IFERROR(MIN('MP Calculations'!$E$30/I127,1),"-")</f>
        <v>0.32927792945511891</v>
      </c>
      <c r="K127" s="12"/>
      <c r="L127" s="159">
        <v>0.49981799999999998</v>
      </c>
      <c r="M127" s="187" t="s">
        <v>293</v>
      </c>
      <c r="N127" s="187">
        <v>192.78728599999999</v>
      </c>
      <c r="O127" s="186">
        <f t="shared" si="5"/>
        <v>96.358555713947993</v>
      </c>
      <c r="P127" s="186">
        <f t="shared" si="6"/>
        <v>31.728745710774511</v>
      </c>
      <c r="Q127" s="215">
        <f>IF(P127="-",0,P127/(1+'General inputs'!$H$30)^'MP Calculations'!$C$40)</f>
        <v>70.478714007874657</v>
      </c>
    </row>
    <row r="128" spans="3:17">
      <c r="C128" s="159"/>
      <c r="D128" s="165" t="s">
        <v>283</v>
      </c>
      <c r="E128" s="162">
        <v>26299</v>
      </c>
      <c r="F128" s="166" t="str">
        <f t="shared" si="4"/>
        <v>Date check - OK</v>
      </c>
      <c r="G128" s="68"/>
      <c r="H128" s="162" t="s">
        <v>280</v>
      </c>
      <c r="I128" s="173">
        <v>21853.086195380012</v>
      </c>
      <c r="J128" s="168">
        <f>IFERROR(MIN('MP Calculations'!$E$30/I128,1),"-")</f>
        <v>0.32927792945511891</v>
      </c>
      <c r="K128" s="12"/>
      <c r="L128" s="159">
        <v>3.7635290000000001</v>
      </c>
      <c r="M128" s="187" t="s">
        <v>293</v>
      </c>
      <c r="N128" s="187">
        <v>192.78728599999999</v>
      </c>
      <c r="O128" s="186">
        <f t="shared" si="5"/>
        <v>725.56054169229401</v>
      </c>
      <c r="P128" s="186">
        <f t="shared" si="6"/>
        <v>238.91107286277304</v>
      </c>
      <c r="Q128" s="215">
        <f>IF(P128="-",0,P128/(1+'General inputs'!$H$30)^'MP Calculations'!$C$40)</f>
        <v>530.69053945904807</v>
      </c>
    </row>
    <row r="129" spans="3:17">
      <c r="C129" s="159"/>
      <c r="D129" s="165" t="s">
        <v>283</v>
      </c>
      <c r="E129" s="162">
        <v>26299</v>
      </c>
      <c r="F129" s="166" t="str">
        <f t="shared" si="4"/>
        <v>Date check - OK</v>
      </c>
      <c r="G129" s="68"/>
      <c r="H129" s="162" t="s">
        <v>280</v>
      </c>
      <c r="I129" s="173">
        <v>21853.086195380012</v>
      </c>
      <c r="J129" s="168">
        <f>IFERROR(MIN('MP Calculations'!$E$30/I129,1),"-")</f>
        <v>0.32927792945511891</v>
      </c>
      <c r="K129" s="12"/>
      <c r="L129" s="159">
        <v>42.609729000000002</v>
      </c>
      <c r="M129" s="187" t="s">
        <v>293</v>
      </c>
      <c r="N129" s="187">
        <v>192.78728599999999</v>
      </c>
      <c r="O129" s="186">
        <f t="shared" si="5"/>
        <v>8214.6140111054938</v>
      </c>
      <c r="P129" s="186">
        <f t="shared" si="6"/>
        <v>2704.8910928498262</v>
      </c>
      <c r="Q129" s="215">
        <f>IF(P129="-",0,P129/(1+'General inputs'!$H$30)^'MP Calculations'!$C$40)</f>
        <v>6008.3448458119619</v>
      </c>
    </row>
    <row r="130" spans="3:17">
      <c r="C130" s="159"/>
      <c r="D130" s="165" t="s">
        <v>283</v>
      </c>
      <c r="E130" s="162">
        <v>26299</v>
      </c>
      <c r="F130" s="166" t="str">
        <f t="shared" si="4"/>
        <v>Date check - OK</v>
      </c>
      <c r="G130" s="68"/>
      <c r="H130" s="162" t="s">
        <v>280</v>
      </c>
      <c r="I130" s="173">
        <v>21853.086195380012</v>
      </c>
      <c r="J130" s="168">
        <f>IFERROR(MIN('MP Calculations'!$E$30/I130,1),"-")</f>
        <v>0.32927792945511891</v>
      </c>
      <c r="K130" s="12"/>
      <c r="L130" s="159">
        <v>134.215599</v>
      </c>
      <c r="M130" s="187" t="s">
        <v>293</v>
      </c>
      <c r="N130" s="187">
        <v>192.78728599999999</v>
      </c>
      <c r="O130" s="186">
        <f t="shared" si="5"/>
        <v>25875.061070074313</v>
      </c>
      <c r="P130" s="186">
        <f t="shared" si="6"/>
        <v>8520.0865336788229</v>
      </c>
      <c r="Q130" s="215">
        <f>IF(P130="-",0,P130/(1+'General inputs'!$H$30)^'MP Calculations'!$C$40)</f>
        <v>18925.574543767107</v>
      </c>
    </row>
    <row r="131" spans="3:17">
      <c r="C131" s="159"/>
      <c r="D131" s="165" t="s">
        <v>283</v>
      </c>
      <c r="E131" s="162">
        <v>26299</v>
      </c>
      <c r="F131" s="166" t="str">
        <f t="shared" si="4"/>
        <v>Date check - OK</v>
      </c>
      <c r="G131" s="68"/>
      <c r="H131" s="162" t="s">
        <v>280</v>
      </c>
      <c r="I131" s="173">
        <v>21853.086195380012</v>
      </c>
      <c r="J131" s="168">
        <f>IFERROR(MIN('MP Calculations'!$E$30/I131,1),"-")</f>
        <v>0.32927792945511891</v>
      </c>
      <c r="K131" s="12"/>
      <c r="L131" s="159">
        <v>75.227946000000003</v>
      </c>
      <c r="M131" s="187" t="s">
        <v>293</v>
      </c>
      <c r="N131" s="187">
        <v>192.78728599999999</v>
      </c>
      <c r="O131" s="186">
        <f t="shared" si="5"/>
        <v>14502.991540694557</v>
      </c>
      <c r="P131" s="186">
        <f t="shared" si="6"/>
        <v>4775.5150254250084</v>
      </c>
      <c r="Q131" s="215">
        <f>IF(P131="-",0,P131/(1+'General inputs'!$H$30)^'MP Calculations'!$C$40)</f>
        <v>10607.799021911653</v>
      </c>
    </row>
    <row r="132" spans="3:17">
      <c r="C132" s="159"/>
      <c r="D132" s="165" t="s">
        <v>283</v>
      </c>
      <c r="E132" s="162">
        <v>26299</v>
      </c>
      <c r="F132" s="166" t="str">
        <f t="shared" si="4"/>
        <v>Date check - OK</v>
      </c>
      <c r="G132" s="68"/>
      <c r="H132" s="162" t="s">
        <v>280</v>
      </c>
      <c r="I132" s="173">
        <v>21853.086195380012</v>
      </c>
      <c r="J132" s="168">
        <f>IFERROR(MIN('MP Calculations'!$E$30/I132,1),"-")</f>
        <v>0.32927792945511891</v>
      </c>
      <c r="K132" s="12"/>
      <c r="L132" s="159">
        <v>51.627920000000003</v>
      </c>
      <c r="M132" s="187" t="s">
        <v>293</v>
      </c>
      <c r="N132" s="187">
        <v>192.78728599999999</v>
      </c>
      <c r="O132" s="186">
        <f t="shared" si="5"/>
        <v>9953.2065786251205</v>
      </c>
      <c r="P132" s="186">
        <f t="shared" si="6"/>
        <v>3277.3712536487478</v>
      </c>
      <c r="Q132" s="215">
        <f>IF(P132="-",0,P132/(1+'General inputs'!$H$30)^'MP Calculations'!$C$40)</f>
        <v>7279.988732901641</v>
      </c>
    </row>
    <row r="133" spans="3:17">
      <c r="C133" s="159"/>
      <c r="D133" s="165" t="s">
        <v>283</v>
      </c>
      <c r="E133" s="162">
        <v>26299</v>
      </c>
      <c r="F133" s="166" t="str">
        <f t="shared" si="4"/>
        <v>Date check - OK</v>
      </c>
      <c r="G133" s="68"/>
      <c r="H133" s="162" t="s">
        <v>280</v>
      </c>
      <c r="I133" s="173">
        <v>21853.086195380012</v>
      </c>
      <c r="J133" s="168">
        <f>IFERROR(MIN('MP Calculations'!$E$30/I133,1),"-")</f>
        <v>0.32927792945511891</v>
      </c>
      <c r="K133" s="12"/>
      <c r="L133" s="159">
        <v>1.436245</v>
      </c>
      <c r="M133" s="187" t="s">
        <v>293</v>
      </c>
      <c r="N133" s="187">
        <v>192.78728599999999</v>
      </c>
      <c r="O133" s="186">
        <f t="shared" si="5"/>
        <v>276.88977558107001</v>
      </c>
      <c r="P133" s="186">
        <f t="shared" si="6"/>
        <v>91.173691990627276</v>
      </c>
      <c r="Q133" s="215">
        <f>IF(P133="-",0,P133/(1+'General inputs'!$H$30)^'MP Calculations'!$C$40)</f>
        <v>202.52311961602013</v>
      </c>
    </row>
    <row r="134" spans="3:17">
      <c r="C134" s="159"/>
      <c r="D134" s="165" t="s">
        <v>283</v>
      </c>
      <c r="E134" s="162">
        <v>26299</v>
      </c>
      <c r="F134" s="166" t="str">
        <f t="shared" si="4"/>
        <v>Date check - OK</v>
      </c>
      <c r="G134" s="68"/>
      <c r="H134" s="162" t="s">
        <v>280</v>
      </c>
      <c r="I134" s="173">
        <v>21853.086195380012</v>
      </c>
      <c r="J134" s="168">
        <f>IFERROR(MIN('MP Calculations'!$E$30/I134,1),"-")</f>
        <v>0.32927792945511891</v>
      </c>
      <c r="K134" s="12"/>
      <c r="L134" s="159">
        <v>58.702281999999997</v>
      </c>
      <c r="M134" s="187" t="s">
        <v>293</v>
      </c>
      <c r="N134" s="187">
        <v>192.78728599999999</v>
      </c>
      <c r="O134" s="186">
        <f t="shared" si="5"/>
        <v>11317.053628786651</v>
      </c>
      <c r="P134" s="186">
        <f t="shared" si="6"/>
        <v>3726.4559864194084</v>
      </c>
      <c r="Q134" s="215">
        <f>IF(P134="-",0,P134/(1+'General inputs'!$H$30)^'MP Calculations'!$C$40)</f>
        <v>8277.5357123745216</v>
      </c>
    </row>
    <row r="135" spans="3:17">
      <c r="C135" s="159"/>
      <c r="D135" s="165" t="s">
        <v>283</v>
      </c>
      <c r="E135" s="162">
        <v>26299</v>
      </c>
      <c r="F135" s="166" t="str">
        <f t="shared" si="4"/>
        <v>Date check - OK</v>
      </c>
      <c r="G135" s="68"/>
      <c r="H135" s="162" t="s">
        <v>280</v>
      </c>
      <c r="I135" s="173">
        <v>21853.086195380012</v>
      </c>
      <c r="J135" s="168">
        <f>IFERROR(MIN('MP Calculations'!$E$30/I135,1),"-")</f>
        <v>0.32927792945511891</v>
      </c>
      <c r="K135" s="12"/>
      <c r="L135" s="159">
        <v>5.0874769999999998</v>
      </c>
      <c r="M135" s="187" t="s">
        <v>293</v>
      </c>
      <c r="N135" s="187">
        <v>192.78728599999999</v>
      </c>
      <c r="O135" s="186">
        <f t="shared" si="5"/>
        <v>980.80088341742191</v>
      </c>
      <c r="P135" s="186">
        <f t="shared" si="6"/>
        <v>322.95608409944015</v>
      </c>
      <c r="Q135" s="215">
        <f>IF(P135="-",0,P135/(1+'General inputs'!$H$30)^'MP Calculations'!$C$40)</f>
        <v>717.37879889207693</v>
      </c>
    </row>
    <row r="136" spans="3:17">
      <c r="C136" s="159"/>
      <c r="D136" s="165" t="s">
        <v>283</v>
      </c>
      <c r="E136" s="162">
        <v>26299</v>
      </c>
      <c r="F136" s="166" t="str">
        <f t="shared" si="4"/>
        <v>Date check - OK</v>
      </c>
      <c r="G136" s="68"/>
      <c r="H136" s="162" t="s">
        <v>280</v>
      </c>
      <c r="I136" s="173">
        <v>21853.086195380012</v>
      </c>
      <c r="J136" s="168">
        <f>IFERROR(MIN('MP Calculations'!$E$30/I136,1),"-")</f>
        <v>0.32927792945511891</v>
      </c>
      <c r="K136" s="12"/>
      <c r="L136" s="159">
        <v>17.692703999999999</v>
      </c>
      <c r="M136" s="187" t="s">
        <v>293</v>
      </c>
      <c r="N136" s="187">
        <v>192.78728599999999</v>
      </c>
      <c r="O136" s="186">
        <f t="shared" si="5"/>
        <v>3410.928386161344</v>
      </c>
      <c r="P136" s="186">
        <f t="shared" si="6"/>
        <v>1123.1434365148975</v>
      </c>
      <c r="Q136" s="215">
        <f>IF(P136="-",0,P136/(1+'General inputs'!$H$30)^'MP Calculations'!$C$40)</f>
        <v>2494.8261672088238</v>
      </c>
    </row>
    <row r="137" spans="3:17">
      <c r="C137" s="159"/>
      <c r="D137" s="165" t="s">
        <v>283</v>
      </c>
      <c r="E137" s="162">
        <v>26299</v>
      </c>
      <c r="F137" s="166" t="str">
        <f t="shared" si="4"/>
        <v>Date check - OK</v>
      </c>
      <c r="G137" s="68"/>
      <c r="H137" s="162" t="s">
        <v>280</v>
      </c>
      <c r="I137" s="173">
        <v>21853.086195380012</v>
      </c>
      <c r="J137" s="168">
        <f>IFERROR(MIN('MP Calculations'!$E$30/I137,1),"-")</f>
        <v>0.32927792945511891</v>
      </c>
      <c r="K137" s="12"/>
      <c r="L137" s="159">
        <v>63.850369000000001</v>
      </c>
      <c r="M137" s="187" t="s">
        <v>293</v>
      </c>
      <c r="N137" s="187">
        <v>192.78728599999999</v>
      </c>
      <c r="O137" s="186">
        <f t="shared" si="5"/>
        <v>12309.539349608534</v>
      </c>
      <c r="P137" s="186">
        <f t="shared" si="6"/>
        <v>4053.2596295854091</v>
      </c>
      <c r="Q137" s="215">
        <f>IF(P137="-",0,P137/(1+'General inputs'!$H$30)^'MP Calculations'!$C$40)</f>
        <v>9003.4610519194302</v>
      </c>
    </row>
    <row r="138" spans="3:17">
      <c r="C138" s="159"/>
      <c r="D138" s="165" t="s">
        <v>283</v>
      </c>
      <c r="E138" s="162">
        <v>26299</v>
      </c>
      <c r="F138" s="166" t="str">
        <f t="shared" si="4"/>
        <v>Date check - OK</v>
      </c>
      <c r="G138" s="68"/>
      <c r="H138" s="162" t="s">
        <v>280</v>
      </c>
      <c r="I138" s="173">
        <v>21853.086195380012</v>
      </c>
      <c r="J138" s="168">
        <f>IFERROR(MIN('MP Calculations'!$E$30/I138,1),"-")</f>
        <v>0.32927792945511891</v>
      </c>
      <c r="K138" s="12"/>
      <c r="L138" s="159">
        <v>104.09698899999999</v>
      </c>
      <c r="M138" s="187" t="s">
        <v>293</v>
      </c>
      <c r="N138" s="187">
        <v>192.78728599999999</v>
      </c>
      <c r="O138" s="186">
        <f t="shared" si="5"/>
        <v>20068.575990081852</v>
      </c>
      <c r="P138" s="186">
        <f t="shared" si="6"/>
        <v>6608.139149126865</v>
      </c>
      <c r="Q138" s="215">
        <f>IF(P138="-",0,P138/(1+'General inputs'!$H$30)^'MP Calculations'!$C$40)</f>
        <v>14678.586839233229</v>
      </c>
    </row>
    <row r="139" spans="3:17">
      <c r="C139" s="159"/>
      <c r="D139" s="165" t="s">
        <v>283</v>
      </c>
      <c r="E139" s="162">
        <v>26299</v>
      </c>
      <c r="F139" s="166" t="str">
        <f t="shared" si="4"/>
        <v>Date check - OK</v>
      </c>
      <c r="G139" s="68"/>
      <c r="H139" s="162" t="s">
        <v>280</v>
      </c>
      <c r="I139" s="173">
        <v>21853.086195380012</v>
      </c>
      <c r="J139" s="168">
        <f>IFERROR(MIN('MP Calculations'!$E$30/I139,1),"-")</f>
        <v>0.32927792945511891</v>
      </c>
      <c r="K139" s="12"/>
      <c r="L139" s="159">
        <v>63.847546999999999</v>
      </c>
      <c r="M139" s="187" t="s">
        <v>293</v>
      </c>
      <c r="N139" s="187">
        <v>192.78728599999999</v>
      </c>
      <c r="O139" s="186">
        <f t="shared" si="5"/>
        <v>12308.995303887441</v>
      </c>
      <c r="P139" s="186">
        <f t="shared" si="6"/>
        <v>4053.0804873368388</v>
      </c>
      <c r="Q139" s="215">
        <f>IF(P139="-",0,P139/(1+'General inputs'!$H$30)^'MP Calculations'!$C$40)</f>
        <v>9003.0631252122475</v>
      </c>
    </row>
    <row r="140" spans="3:17">
      <c r="C140" s="159"/>
      <c r="D140" s="165" t="s">
        <v>283</v>
      </c>
      <c r="E140" s="162">
        <v>26299</v>
      </c>
      <c r="F140" s="166" t="str">
        <f t="shared" si="4"/>
        <v>Date check - OK</v>
      </c>
      <c r="G140" s="68"/>
      <c r="H140" s="162" t="s">
        <v>280</v>
      </c>
      <c r="I140" s="173">
        <v>21853.086195380012</v>
      </c>
      <c r="J140" s="168">
        <f>IFERROR(MIN('MP Calculations'!$E$30/I140,1),"-")</f>
        <v>0.32927792945511891</v>
      </c>
      <c r="K140" s="12"/>
      <c r="L140" s="159">
        <v>24.289978999999999</v>
      </c>
      <c r="M140" s="187" t="s">
        <v>293</v>
      </c>
      <c r="N140" s="187">
        <v>192.78728599999999</v>
      </c>
      <c r="O140" s="186">
        <f t="shared" si="5"/>
        <v>4682.799128406994</v>
      </c>
      <c r="P140" s="186">
        <f t="shared" si="6"/>
        <v>1541.9424010560906</v>
      </c>
      <c r="Q140" s="215">
        <f>IF(P140="-",0,P140/(1+'General inputs'!$H$30)^'MP Calculations'!$C$40)</f>
        <v>3425.0997026883415</v>
      </c>
    </row>
    <row r="141" spans="3:17">
      <c r="C141" s="159"/>
      <c r="D141" s="165" t="s">
        <v>283</v>
      </c>
      <c r="E141" s="162">
        <v>26299</v>
      </c>
      <c r="F141" s="166" t="str">
        <f t="shared" si="4"/>
        <v>Date check - OK</v>
      </c>
      <c r="G141" s="68"/>
      <c r="H141" s="162" t="s">
        <v>280</v>
      </c>
      <c r="I141" s="173">
        <v>21853.086195380012</v>
      </c>
      <c r="J141" s="168">
        <f>IFERROR(MIN('MP Calculations'!$E$30/I141,1),"-")</f>
        <v>0.32927792945511891</v>
      </c>
      <c r="K141" s="12"/>
      <c r="L141" s="159">
        <v>135.16474600000001</v>
      </c>
      <c r="M141" s="187" t="s">
        <v>293</v>
      </c>
      <c r="N141" s="187">
        <v>192.78728599999999</v>
      </c>
      <c r="O141" s="186">
        <f t="shared" si="5"/>
        <v>26058.044544219356</v>
      </c>
      <c r="P141" s="186">
        <f t="shared" si="6"/>
        <v>8580.3389531698067</v>
      </c>
      <c r="Q141" s="215">
        <f>IF(P141="-",0,P141/(1+'General inputs'!$H$30)^'MP Calculations'!$C$40)</f>
        <v>19059.412580741428</v>
      </c>
    </row>
    <row r="142" spans="3:17">
      <c r="C142" s="159"/>
      <c r="D142" s="165" t="s">
        <v>283</v>
      </c>
      <c r="E142" s="162">
        <v>26299</v>
      </c>
      <c r="F142" s="166" t="str">
        <f t="shared" si="4"/>
        <v>Date check - OK</v>
      </c>
      <c r="G142" s="68"/>
      <c r="H142" s="162" t="s">
        <v>280</v>
      </c>
      <c r="I142" s="173">
        <v>21853.086195380012</v>
      </c>
      <c r="J142" s="168">
        <f>IFERROR(MIN('MP Calculations'!$E$30/I142,1),"-")</f>
        <v>0.32927792945511891</v>
      </c>
      <c r="K142" s="12"/>
      <c r="L142" s="159">
        <v>5.4287169999999998</v>
      </c>
      <c r="M142" s="187" t="s">
        <v>293</v>
      </c>
      <c r="N142" s="187">
        <v>192.78728599999999</v>
      </c>
      <c r="O142" s="186">
        <f t="shared" si="5"/>
        <v>1046.587616892062</v>
      </c>
      <c r="P142" s="186">
        <f t="shared" si="6"/>
        <v>344.61820348358543</v>
      </c>
      <c r="Q142" s="215">
        <f>IF(P142="-",0,P142/(1+'General inputs'!$H$30)^'MP Calculations'!$C$40)</f>
        <v>765.49662651742699</v>
      </c>
    </row>
    <row r="143" spans="3:17">
      <c r="C143" s="159"/>
      <c r="D143" s="165" t="s">
        <v>283</v>
      </c>
      <c r="E143" s="162">
        <v>26299</v>
      </c>
      <c r="F143" s="166" t="str">
        <f t="shared" si="4"/>
        <v>Date check - OK</v>
      </c>
      <c r="G143" s="68"/>
      <c r="H143" s="162" t="s">
        <v>280</v>
      </c>
      <c r="I143" s="173">
        <v>21853.086195380012</v>
      </c>
      <c r="J143" s="168">
        <f>IFERROR(MIN('MP Calculations'!$E$30/I143,1),"-")</f>
        <v>0.32927792945511891</v>
      </c>
      <c r="K143" s="12"/>
      <c r="L143" s="159">
        <v>12.079503000000001</v>
      </c>
      <c r="M143" s="187" t="s">
        <v>293</v>
      </c>
      <c r="N143" s="187">
        <v>192.78728599999999</v>
      </c>
      <c r="O143" s="186">
        <f t="shared" si="5"/>
        <v>2328.774599598858</v>
      </c>
      <c r="P143" s="186">
        <f t="shared" si="6"/>
        <v>766.81407832358559</v>
      </c>
      <c r="Q143" s="215">
        <f>IF(P143="-",0,P143/(1+'General inputs'!$H$30)^'MP Calculations'!$C$40)</f>
        <v>1703.3156814965928</v>
      </c>
    </row>
    <row r="144" spans="3:17">
      <c r="C144" s="159"/>
      <c r="D144" s="165" t="s">
        <v>283</v>
      </c>
      <c r="E144" s="162">
        <v>26299</v>
      </c>
      <c r="F144" s="166" t="str">
        <f t="shared" si="4"/>
        <v>Date check - OK</v>
      </c>
      <c r="G144" s="68"/>
      <c r="H144" s="162" t="s">
        <v>280</v>
      </c>
      <c r="I144" s="173">
        <v>21853.086195380012</v>
      </c>
      <c r="J144" s="168">
        <f>IFERROR(MIN('MP Calculations'!$E$30/I144,1),"-")</f>
        <v>0.32927792945511891</v>
      </c>
      <c r="K144" s="12"/>
      <c r="L144" s="159">
        <v>40.617364000000002</v>
      </c>
      <c r="M144" s="187" t="s">
        <v>293</v>
      </c>
      <c r="N144" s="187">
        <v>192.78728599999999</v>
      </c>
      <c r="O144" s="186">
        <f t="shared" si="5"/>
        <v>7830.5113700341044</v>
      </c>
      <c r="P144" s="186">
        <f t="shared" si="6"/>
        <v>2578.4145704995963</v>
      </c>
      <c r="Q144" s="215">
        <f>IF(P144="-",0,P144/(1+'General inputs'!$H$30)^'MP Calculations'!$C$40)</f>
        <v>5727.4039372526477</v>
      </c>
    </row>
    <row r="145" spans="3:17">
      <c r="C145" s="159"/>
      <c r="D145" s="165" t="s">
        <v>283</v>
      </c>
      <c r="E145" s="162">
        <v>26299</v>
      </c>
      <c r="F145" s="166" t="str">
        <f t="shared" si="4"/>
        <v>Date check - OK</v>
      </c>
      <c r="G145" s="68"/>
      <c r="H145" s="162" t="s">
        <v>280</v>
      </c>
      <c r="I145" s="173">
        <v>21853.086195380012</v>
      </c>
      <c r="J145" s="168">
        <f>IFERROR(MIN('MP Calculations'!$E$30/I145,1),"-")</f>
        <v>0.32927792945511891</v>
      </c>
      <c r="K145" s="12"/>
      <c r="L145" s="159">
        <v>43.981807000000003</v>
      </c>
      <c r="M145" s="187" t="s">
        <v>293</v>
      </c>
      <c r="N145" s="187">
        <v>192.78728599999999</v>
      </c>
      <c r="O145" s="186">
        <f t="shared" si="5"/>
        <v>8479.1332049058019</v>
      </c>
      <c r="P145" s="186">
        <f t="shared" si="6"/>
        <v>2791.9914252855287</v>
      </c>
      <c r="Q145" s="215">
        <f>IF(P145="-",0,P145/(1+'General inputs'!$H$30)^'MP Calculations'!$C$40)</f>
        <v>6201.8198566328938</v>
      </c>
    </row>
    <row r="146" spans="3:17">
      <c r="C146" s="159"/>
      <c r="D146" s="165" t="s">
        <v>283</v>
      </c>
      <c r="E146" s="162">
        <v>26299</v>
      </c>
      <c r="F146" s="166" t="str">
        <f t="shared" si="4"/>
        <v>Date check - OK</v>
      </c>
      <c r="G146" s="68"/>
      <c r="H146" s="162" t="s">
        <v>280</v>
      </c>
      <c r="I146" s="173">
        <v>21853.086195380012</v>
      </c>
      <c r="J146" s="168">
        <f>IFERROR(MIN('MP Calculations'!$E$30/I146,1),"-")</f>
        <v>0.32927792945511891</v>
      </c>
      <c r="K146" s="12"/>
      <c r="L146" s="159">
        <v>74.250782000000001</v>
      </c>
      <c r="M146" s="187" t="s">
        <v>293</v>
      </c>
      <c r="N146" s="187">
        <v>192.78728599999999</v>
      </c>
      <c r="O146" s="186">
        <f t="shared" si="5"/>
        <v>14314.606745157651</v>
      </c>
      <c r="P146" s="186">
        <f t="shared" si="6"/>
        <v>4713.4840700097902</v>
      </c>
      <c r="Q146" s="215">
        <f>IF(P146="-",0,P146/(1+'General inputs'!$H$30)^'MP Calculations'!$C$40)</f>
        <v>10470.010342642816</v>
      </c>
    </row>
    <row r="147" spans="3:17">
      <c r="C147" s="159"/>
      <c r="D147" s="165" t="s">
        <v>283</v>
      </c>
      <c r="E147" s="162">
        <v>26299</v>
      </c>
      <c r="F147" s="166" t="str">
        <f t="shared" si="4"/>
        <v>Date check - OK</v>
      </c>
      <c r="G147" s="68"/>
      <c r="H147" s="162" t="s">
        <v>280</v>
      </c>
      <c r="I147" s="173">
        <v>21853.086195380012</v>
      </c>
      <c r="J147" s="168">
        <f>IFERROR(MIN('MP Calculations'!$E$30/I147,1),"-")</f>
        <v>0.32927792945511891</v>
      </c>
      <c r="K147" s="12"/>
      <c r="L147" s="159">
        <v>58.701998000000003</v>
      </c>
      <c r="M147" s="187" t="s">
        <v>293</v>
      </c>
      <c r="N147" s="187">
        <v>192.78728599999999</v>
      </c>
      <c r="O147" s="186">
        <f t="shared" si="5"/>
        <v>11316.998877197428</v>
      </c>
      <c r="P147" s="186">
        <f t="shared" si="6"/>
        <v>3726.4379579294746</v>
      </c>
      <c r="Q147" s="215">
        <f>IF(P147="-",0,P147/(1+'General inputs'!$H$30)^'MP Calculations'!$C$40)</f>
        <v>8277.4956658880437</v>
      </c>
    </row>
    <row r="148" spans="3:17">
      <c r="C148" s="159"/>
      <c r="D148" s="165" t="s">
        <v>283</v>
      </c>
      <c r="E148" s="162">
        <v>26299</v>
      </c>
      <c r="F148" s="166" t="str">
        <f t="shared" si="4"/>
        <v>Date check - OK</v>
      </c>
      <c r="G148" s="68"/>
      <c r="H148" s="162" t="s">
        <v>280</v>
      </c>
      <c r="I148" s="173">
        <v>21853.086195380012</v>
      </c>
      <c r="J148" s="168">
        <f>IFERROR(MIN('MP Calculations'!$E$30/I148,1),"-")</f>
        <v>0.32927792945511891</v>
      </c>
      <c r="K148" s="12"/>
      <c r="L148" s="159">
        <v>45.803702999999999</v>
      </c>
      <c r="M148" s="187" t="s">
        <v>293</v>
      </c>
      <c r="N148" s="187">
        <v>192.78728599999999</v>
      </c>
      <c r="O148" s="186">
        <f t="shared" si="5"/>
        <v>8830.3715901200576</v>
      </c>
      <c r="P148" s="186">
        <f t="shared" si="6"/>
        <v>2907.6464735140385</v>
      </c>
      <c r="Q148" s="215">
        <f>IF(P148="-",0,P148/(1+'General inputs'!$H$30)^'MP Calculations'!$C$40)</f>
        <v>6458.723143701568</v>
      </c>
    </row>
    <row r="149" spans="3:17">
      <c r="C149" s="159"/>
      <c r="D149" s="165" t="s">
        <v>283</v>
      </c>
      <c r="E149" s="162">
        <v>26299</v>
      </c>
      <c r="F149" s="166" t="str">
        <f t="shared" si="4"/>
        <v>Date check - OK</v>
      </c>
      <c r="G149" s="68"/>
      <c r="H149" s="162" t="s">
        <v>280</v>
      </c>
      <c r="I149" s="173">
        <v>21853.086195380012</v>
      </c>
      <c r="J149" s="168">
        <f>IFERROR(MIN('MP Calculations'!$E$30/I149,1),"-")</f>
        <v>0.32927792945511891</v>
      </c>
      <c r="K149" s="12"/>
      <c r="L149" s="159">
        <v>0.49971300000000002</v>
      </c>
      <c r="M149" s="187" t="s">
        <v>293</v>
      </c>
      <c r="N149" s="187">
        <v>192.78728599999999</v>
      </c>
      <c r="O149" s="186">
        <f t="shared" si="5"/>
        <v>96.338313048917996</v>
      </c>
      <c r="P149" s="186">
        <f t="shared" si="6"/>
        <v>31.722080247946781</v>
      </c>
      <c r="Q149" s="215">
        <f>IF(P149="-",0,P149/(1+'General inputs'!$H$30)^'MP Calculations'!$C$40)</f>
        <v>70.463908088578378</v>
      </c>
    </row>
    <row r="150" spans="3:17">
      <c r="C150" s="159"/>
      <c r="D150" s="165" t="s">
        <v>282</v>
      </c>
      <c r="E150" s="162">
        <v>26299</v>
      </c>
      <c r="F150" s="166" t="str">
        <f t="shared" si="4"/>
        <v>Date check - OK</v>
      </c>
      <c r="G150" s="68"/>
      <c r="H150" s="162" t="s">
        <v>280</v>
      </c>
      <c r="I150" s="173">
        <v>21853.086195380012</v>
      </c>
      <c r="J150" s="168">
        <f>IFERROR(MIN('MP Calculations'!$E$30/I150,1),"-")</f>
        <v>0.32927792945511891</v>
      </c>
      <c r="K150" s="12"/>
      <c r="L150" s="159">
        <v>0.89893500000000004</v>
      </c>
      <c r="M150" s="187" t="s">
        <v>293</v>
      </c>
      <c r="N150" s="187">
        <v>237.97403299999999</v>
      </c>
      <c r="O150" s="186">
        <f t="shared" si="5"/>
        <v>213.923187354855</v>
      </c>
      <c r="P150" s="186">
        <f t="shared" si="6"/>
        <v>70.440184194646136</v>
      </c>
      <c r="Q150" s="215">
        <f>IF(P150="-",0,P150/(1+'General inputs'!$H$30)^'MP Calculations'!$C$40)</f>
        <v>156.4680067019041</v>
      </c>
    </row>
    <row r="151" spans="3:17">
      <c r="C151" s="159"/>
      <c r="D151" s="165" t="s">
        <v>282</v>
      </c>
      <c r="E151" s="162">
        <v>26299</v>
      </c>
      <c r="F151" s="166" t="str">
        <f t="shared" ref="F151:F214" si="7">IF(E151="","-",IF(OR(E151&lt;$E$15,E151&gt;$E$16),"ERROR - date outside of range","Date check - OK"))</f>
        <v>Date check - OK</v>
      </c>
      <c r="G151" s="68"/>
      <c r="H151" s="162" t="s">
        <v>280</v>
      </c>
      <c r="I151" s="173">
        <v>21853.086195380012</v>
      </c>
      <c r="J151" s="168">
        <f>IFERROR(MIN('MP Calculations'!$E$30/I151,1),"-")</f>
        <v>0.32927792945511891</v>
      </c>
      <c r="K151" s="12"/>
      <c r="L151" s="159">
        <v>30.165676999999999</v>
      </c>
      <c r="M151" s="187" t="s">
        <v>293</v>
      </c>
      <c r="N151" s="187">
        <v>237.97403299999999</v>
      </c>
      <c r="O151" s="186">
        <f t="shared" ref="O151:O214" si="8">IF(N151="","-",L151*N151)</f>
        <v>7178.6478138653401</v>
      </c>
      <c r="P151" s="186">
        <f t="shared" ref="P151:P214" si="9">IF(O151="-","-",IF(OR(E151&lt;$E$15,E151&gt;$E$16),0,O151*J151))</f>
        <v>2363.7702884370951</v>
      </c>
      <c r="Q151" s="215">
        <f>IF(P151="-",0,P151/(1+'General inputs'!$H$30)^'MP Calculations'!$C$40)</f>
        <v>5250.6169533987149</v>
      </c>
    </row>
    <row r="152" spans="3:17">
      <c r="C152" s="159"/>
      <c r="D152" s="165" t="s">
        <v>282</v>
      </c>
      <c r="E152" s="162">
        <v>26299</v>
      </c>
      <c r="F152" s="166" t="str">
        <f t="shared" si="7"/>
        <v>Date check - OK</v>
      </c>
      <c r="G152" s="68"/>
      <c r="H152" s="162" t="s">
        <v>280</v>
      </c>
      <c r="I152" s="173">
        <v>21853.086195380012</v>
      </c>
      <c r="J152" s="168">
        <f>IFERROR(MIN('MP Calculations'!$E$30/I152,1),"-")</f>
        <v>0.32927792945511891</v>
      </c>
      <c r="K152" s="12"/>
      <c r="L152" s="159">
        <v>43.918377999999997</v>
      </c>
      <c r="M152" s="187" t="s">
        <v>293</v>
      </c>
      <c r="N152" s="187">
        <v>237.97403299999999</v>
      </c>
      <c r="O152" s="186">
        <f t="shared" si="8"/>
        <v>10451.433535478473</v>
      </c>
      <c r="P152" s="186">
        <f t="shared" si="9"/>
        <v>3441.4263944001445</v>
      </c>
      <c r="Q152" s="215">
        <f>IF(P152="-",0,P152/(1+'General inputs'!$H$30)^'MP Calculations'!$C$40)</f>
        <v>7644.4026133599828</v>
      </c>
    </row>
    <row r="153" spans="3:17">
      <c r="C153" s="159"/>
      <c r="D153" s="165" t="s">
        <v>283</v>
      </c>
      <c r="E153" s="162">
        <v>26299</v>
      </c>
      <c r="F153" s="166" t="str">
        <f t="shared" si="7"/>
        <v>Date check - OK</v>
      </c>
      <c r="G153" s="68"/>
      <c r="H153" s="162" t="s">
        <v>280</v>
      </c>
      <c r="I153" s="173">
        <v>21853.086195380012</v>
      </c>
      <c r="J153" s="168">
        <f>IFERROR(MIN('MP Calculations'!$E$30/I153,1),"-")</f>
        <v>0.32927792945511891</v>
      </c>
      <c r="K153" s="12"/>
      <c r="L153" s="159">
        <v>64.656362999999999</v>
      </c>
      <c r="M153" s="187" t="s">
        <v>293</v>
      </c>
      <c r="N153" s="187">
        <v>192.78728599999999</v>
      </c>
      <c r="O153" s="186">
        <f t="shared" si="8"/>
        <v>12464.924745400818</v>
      </c>
      <c r="P153" s="186">
        <f t="shared" si="9"/>
        <v>4104.4246109794567</v>
      </c>
      <c r="Q153" s="215">
        <f>IF(P153="-",0,P153/(1+'General inputs'!$H$30)^'MP Calculations'!$C$40)</f>
        <v>9117.1132625602295</v>
      </c>
    </row>
    <row r="154" spans="3:17">
      <c r="C154" s="159"/>
      <c r="D154" s="165" t="s">
        <v>283</v>
      </c>
      <c r="E154" s="162">
        <v>26299</v>
      </c>
      <c r="F154" s="166" t="str">
        <f t="shared" si="7"/>
        <v>Date check - OK</v>
      </c>
      <c r="G154" s="68"/>
      <c r="H154" s="162" t="s">
        <v>280</v>
      </c>
      <c r="I154" s="173">
        <v>21853.086195380012</v>
      </c>
      <c r="J154" s="168">
        <f>IFERROR(MIN('MP Calculations'!$E$30/I154,1),"-")</f>
        <v>0.32927792945511891</v>
      </c>
      <c r="K154" s="12"/>
      <c r="L154" s="159">
        <v>15.43999</v>
      </c>
      <c r="M154" s="187" t="s">
        <v>293</v>
      </c>
      <c r="N154" s="187">
        <v>192.78728599999999</v>
      </c>
      <c r="O154" s="186">
        <f t="shared" si="8"/>
        <v>2976.6337679671401</v>
      </c>
      <c r="P154" s="186">
        <f t="shared" si="9"/>
        <v>980.13980386240871</v>
      </c>
      <c r="Q154" s="215">
        <f>IF(P154="-",0,P154/(1+'General inputs'!$H$30)^'MP Calculations'!$C$40)</f>
        <v>2177.173770241257</v>
      </c>
    </row>
    <row r="155" spans="3:17">
      <c r="C155" s="159"/>
      <c r="D155" s="165" t="s">
        <v>283</v>
      </c>
      <c r="E155" s="162">
        <v>26299</v>
      </c>
      <c r="F155" s="166" t="str">
        <f t="shared" si="7"/>
        <v>Date check - OK</v>
      </c>
      <c r="G155" s="68"/>
      <c r="H155" s="162" t="s">
        <v>280</v>
      </c>
      <c r="I155" s="173">
        <v>21853.086195380012</v>
      </c>
      <c r="J155" s="168">
        <f>IFERROR(MIN('MP Calculations'!$E$30/I155,1),"-")</f>
        <v>0.32927792945511891</v>
      </c>
      <c r="K155" s="12"/>
      <c r="L155" s="159">
        <v>8.726979</v>
      </c>
      <c r="M155" s="187" t="s">
        <v>293</v>
      </c>
      <c r="N155" s="187">
        <v>192.78728599999999</v>
      </c>
      <c r="O155" s="186">
        <f t="shared" si="8"/>
        <v>1682.450596388994</v>
      </c>
      <c r="P155" s="186">
        <f t="shared" si="9"/>
        <v>553.99384878949786</v>
      </c>
      <c r="Q155" s="215">
        <f>IF(P155="-",0,P155/(1+'General inputs'!$H$30)^'MP Calculations'!$C$40)</f>
        <v>1230.5804454696067</v>
      </c>
    </row>
    <row r="156" spans="3:17">
      <c r="C156" s="159"/>
      <c r="D156" s="165" t="s">
        <v>282</v>
      </c>
      <c r="E156" s="162">
        <v>26299</v>
      </c>
      <c r="F156" s="166" t="str">
        <f t="shared" si="7"/>
        <v>Date check - OK</v>
      </c>
      <c r="G156" s="68"/>
      <c r="H156" s="162" t="s">
        <v>280</v>
      </c>
      <c r="I156" s="173">
        <v>21853.086195380012</v>
      </c>
      <c r="J156" s="168">
        <f>IFERROR(MIN('MP Calculations'!$E$30/I156,1),"-")</f>
        <v>0.32927792945511891</v>
      </c>
      <c r="K156" s="12"/>
      <c r="L156" s="159">
        <v>3.2855249999999998</v>
      </c>
      <c r="M156" s="187" t="s">
        <v>293</v>
      </c>
      <c r="N156" s="187">
        <v>237.97403299999999</v>
      </c>
      <c r="O156" s="186">
        <f t="shared" si="8"/>
        <v>781.86963477232496</v>
      </c>
      <c r="P156" s="186">
        <f t="shared" si="9"/>
        <v>257.45241444166123</v>
      </c>
      <c r="Q156" s="215">
        <f>IF(P156="-",0,P156/(1+'General inputs'!$H$30)^'MP Calculations'!$C$40)</f>
        <v>571.87621765675328</v>
      </c>
    </row>
    <row r="157" spans="3:17">
      <c r="C157" s="159"/>
      <c r="D157" s="165" t="s">
        <v>283</v>
      </c>
      <c r="E157" s="162">
        <v>26299</v>
      </c>
      <c r="F157" s="166" t="str">
        <f t="shared" si="7"/>
        <v>Date check - OK</v>
      </c>
      <c r="G157" s="68"/>
      <c r="H157" s="162" t="s">
        <v>280</v>
      </c>
      <c r="I157" s="173">
        <v>21853.086195380012</v>
      </c>
      <c r="J157" s="168">
        <f>IFERROR(MIN('MP Calculations'!$E$30/I157,1),"-")</f>
        <v>0.32927792945511891</v>
      </c>
      <c r="K157" s="12"/>
      <c r="L157" s="159">
        <v>63.550092999999997</v>
      </c>
      <c r="M157" s="187" t="s">
        <v>293</v>
      </c>
      <c r="N157" s="187">
        <v>192.78728599999999</v>
      </c>
      <c r="O157" s="186">
        <f t="shared" si="8"/>
        <v>12251.649954517598</v>
      </c>
      <c r="P157" s="186">
        <f t="shared" si="9"/>
        <v>4034.1979294324565</v>
      </c>
      <c r="Q157" s="215">
        <f>IF(P157="-",0,P157/(1+'General inputs'!$H$30)^'MP Calculations'!$C$40)</f>
        <v>8961.119506942201</v>
      </c>
    </row>
    <row r="158" spans="3:17">
      <c r="C158" s="159"/>
      <c r="D158" s="165" t="s">
        <v>282</v>
      </c>
      <c r="E158" s="162">
        <v>26299</v>
      </c>
      <c r="F158" s="166" t="str">
        <f t="shared" si="7"/>
        <v>Date check - OK</v>
      </c>
      <c r="G158" s="68"/>
      <c r="H158" s="162" t="s">
        <v>280</v>
      </c>
      <c r="I158" s="173">
        <v>21853.086195380012</v>
      </c>
      <c r="J158" s="168">
        <f>IFERROR(MIN('MP Calculations'!$E$30/I158,1),"-")</f>
        <v>0.32927792945511891</v>
      </c>
      <c r="K158" s="12"/>
      <c r="L158" s="159">
        <v>74.239192000000003</v>
      </c>
      <c r="M158" s="187" t="s">
        <v>293</v>
      </c>
      <c r="N158" s="187">
        <v>237.97403299999999</v>
      </c>
      <c r="O158" s="186">
        <f t="shared" si="8"/>
        <v>17666.999926901335</v>
      </c>
      <c r="P158" s="186">
        <f t="shared" si="9"/>
        <v>5817.3531556138087</v>
      </c>
      <c r="Q158" s="215">
        <f>IF(P158="-",0,P158/(1+'General inputs'!$H$30)^'MP Calculations'!$C$40)</f>
        <v>12922.022606083803</v>
      </c>
    </row>
    <row r="159" spans="3:17">
      <c r="C159" s="159"/>
      <c r="D159" s="165" t="s">
        <v>282</v>
      </c>
      <c r="E159" s="162">
        <v>26299</v>
      </c>
      <c r="F159" s="166" t="str">
        <f t="shared" si="7"/>
        <v>Date check - OK</v>
      </c>
      <c r="G159" s="68"/>
      <c r="H159" s="162" t="s">
        <v>280</v>
      </c>
      <c r="I159" s="173">
        <v>21853.086195380012</v>
      </c>
      <c r="J159" s="168">
        <f>IFERROR(MIN('MP Calculations'!$E$30/I159,1),"-")</f>
        <v>0.32927792945511891</v>
      </c>
      <c r="K159" s="12"/>
      <c r="L159" s="159">
        <v>1.999665</v>
      </c>
      <c r="M159" s="187" t="s">
        <v>293</v>
      </c>
      <c r="N159" s="187">
        <v>237.97403299999999</v>
      </c>
      <c r="O159" s="186">
        <f t="shared" si="8"/>
        <v>475.86834469894501</v>
      </c>
      <c r="P159" s="186">
        <f t="shared" si="9"/>
        <v>156.69294323570341</v>
      </c>
      <c r="Q159" s="215">
        <f>IF(P159="-",0,P159/(1+'General inputs'!$H$30)^'MP Calculations'!$C$40)</f>
        <v>348.06031205989643</v>
      </c>
    </row>
    <row r="160" spans="3:17">
      <c r="C160" s="159"/>
      <c r="D160" s="165" t="s">
        <v>283</v>
      </c>
      <c r="E160" s="162">
        <v>26299</v>
      </c>
      <c r="F160" s="166" t="str">
        <f t="shared" si="7"/>
        <v>Date check - OK</v>
      </c>
      <c r="G160" s="68"/>
      <c r="H160" s="162" t="s">
        <v>280</v>
      </c>
      <c r="I160" s="173">
        <v>21853.086195380012</v>
      </c>
      <c r="J160" s="168">
        <f>IFERROR(MIN('MP Calculations'!$E$30/I160,1),"-")</f>
        <v>0.32927792945511891</v>
      </c>
      <c r="K160" s="12"/>
      <c r="L160" s="159">
        <v>1.499161</v>
      </c>
      <c r="M160" s="187" t="s">
        <v>293</v>
      </c>
      <c r="N160" s="187">
        <v>192.78728599999999</v>
      </c>
      <c r="O160" s="186">
        <f t="shared" si="8"/>
        <v>289.019180467046</v>
      </c>
      <c r="P160" s="186">
        <f t="shared" si="9"/>
        <v>95.16763731700425</v>
      </c>
      <c r="Q160" s="215">
        <f>IF(P160="-",0,P160/(1+'General inputs'!$H$30)^'MP Calculations'!$C$40)</f>
        <v>211.3948264583496</v>
      </c>
    </row>
    <row r="161" spans="3:17">
      <c r="C161" s="159"/>
      <c r="D161" s="165" t="s">
        <v>282</v>
      </c>
      <c r="E161" s="162">
        <v>26299</v>
      </c>
      <c r="F161" s="166" t="str">
        <f t="shared" si="7"/>
        <v>Date check - OK</v>
      </c>
      <c r="G161" s="68"/>
      <c r="H161" s="162" t="s">
        <v>280</v>
      </c>
      <c r="I161" s="173">
        <v>21853.086195380012</v>
      </c>
      <c r="J161" s="168">
        <f>IFERROR(MIN('MP Calculations'!$E$30/I161,1),"-")</f>
        <v>0.32927792945511891</v>
      </c>
      <c r="K161" s="12"/>
      <c r="L161" s="159">
        <v>1.6990749999999999</v>
      </c>
      <c r="M161" s="187" t="s">
        <v>293</v>
      </c>
      <c r="N161" s="187">
        <v>237.97403299999999</v>
      </c>
      <c r="O161" s="186">
        <f t="shared" si="8"/>
        <v>404.33573011947499</v>
      </c>
      <c r="P161" s="186">
        <f t="shared" si="9"/>
        <v>133.13883201846448</v>
      </c>
      <c r="Q161" s="215">
        <f>IF(P161="-",0,P161/(1+'General inputs'!$H$30)^'MP Calculations'!$C$40)</f>
        <v>295.73982377706693</v>
      </c>
    </row>
    <row r="162" spans="3:17">
      <c r="C162" s="159"/>
      <c r="D162" s="165" t="s">
        <v>283</v>
      </c>
      <c r="E162" s="162">
        <v>26299</v>
      </c>
      <c r="F162" s="166" t="str">
        <f t="shared" si="7"/>
        <v>Date check - OK</v>
      </c>
      <c r="G162" s="68"/>
      <c r="H162" s="162" t="s">
        <v>280</v>
      </c>
      <c r="I162" s="173">
        <v>21853.086195380012</v>
      </c>
      <c r="J162" s="168">
        <f>IFERROR(MIN('MP Calculations'!$E$30/I162,1),"-")</f>
        <v>0.32927792945511891</v>
      </c>
      <c r="K162" s="12"/>
      <c r="L162" s="159">
        <v>60.022267999999997</v>
      </c>
      <c r="M162" s="187" t="s">
        <v>293</v>
      </c>
      <c r="N162" s="187">
        <v>192.78728599999999</v>
      </c>
      <c r="O162" s="186">
        <f t="shared" si="8"/>
        <v>11571.530147284648</v>
      </c>
      <c r="P162" s="186">
        <f t="shared" si="9"/>
        <v>3810.249487525376</v>
      </c>
      <c r="Q162" s="215">
        <f>IF(P162="-",0,P162/(1+'General inputs'!$H$30)^'MP Calculations'!$C$40)</f>
        <v>8463.6652951194374</v>
      </c>
    </row>
    <row r="163" spans="3:17">
      <c r="C163" s="159"/>
      <c r="D163" s="165" t="s">
        <v>282</v>
      </c>
      <c r="E163" s="162">
        <v>26299</v>
      </c>
      <c r="F163" s="166" t="str">
        <f t="shared" si="7"/>
        <v>Date check - OK</v>
      </c>
      <c r="G163" s="68"/>
      <c r="H163" s="162" t="s">
        <v>280</v>
      </c>
      <c r="I163" s="173">
        <v>21853.086195380012</v>
      </c>
      <c r="J163" s="168">
        <f>IFERROR(MIN('MP Calculations'!$E$30/I163,1),"-")</f>
        <v>0.32927792945511891</v>
      </c>
      <c r="K163" s="12"/>
      <c r="L163" s="159">
        <v>5.3425729999999998</v>
      </c>
      <c r="M163" s="187" t="s">
        <v>293</v>
      </c>
      <c r="N163" s="187">
        <v>237.97403299999999</v>
      </c>
      <c r="O163" s="186">
        <f t="shared" si="8"/>
        <v>1271.393643406909</v>
      </c>
      <c r="P163" s="186">
        <f t="shared" si="9"/>
        <v>418.64186642342679</v>
      </c>
      <c r="Q163" s="215">
        <f>IF(P163="-",0,P163/(1+'General inputs'!$H$30)^'MP Calculations'!$C$40)</f>
        <v>929.92457515772753</v>
      </c>
    </row>
    <row r="164" spans="3:17">
      <c r="C164" s="159"/>
      <c r="D164" s="165" t="s">
        <v>283</v>
      </c>
      <c r="E164" s="162">
        <v>26299</v>
      </c>
      <c r="F164" s="166" t="str">
        <f t="shared" si="7"/>
        <v>Date check - OK</v>
      </c>
      <c r="G164" s="68"/>
      <c r="H164" s="162" t="s">
        <v>280</v>
      </c>
      <c r="I164" s="173">
        <v>21853.086195380012</v>
      </c>
      <c r="J164" s="168">
        <f>IFERROR(MIN('MP Calculations'!$E$30/I164,1),"-")</f>
        <v>0.32927792945511891</v>
      </c>
      <c r="K164" s="12"/>
      <c r="L164" s="159">
        <v>3.0980949999999998</v>
      </c>
      <c r="M164" s="187" t="s">
        <v>293</v>
      </c>
      <c r="N164" s="187">
        <v>192.78728599999999</v>
      </c>
      <c r="O164" s="186">
        <f t="shared" si="8"/>
        <v>597.27332682016993</v>
      </c>
      <c r="P164" s="186">
        <f t="shared" si="9"/>
        <v>196.6689243741161</v>
      </c>
      <c r="Q164" s="215">
        <f>IF(P164="-",0,P164/(1+'General inputs'!$H$30)^'MP Calculations'!$C$40)</f>
        <v>436.85851944953248</v>
      </c>
    </row>
    <row r="165" spans="3:17">
      <c r="C165" s="159"/>
      <c r="D165" s="165" t="s">
        <v>283</v>
      </c>
      <c r="E165" s="162">
        <v>26299</v>
      </c>
      <c r="F165" s="166" t="str">
        <f t="shared" si="7"/>
        <v>Date check - OK</v>
      </c>
      <c r="G165" s="68"/>
      <c r="H165" s="162" t="s">
        <v>280</v>
      </c>
      <c r="I165" s="173">
        <v>21853.086195380012</v>
      </c>
      <c r="J165" s="168">
        <f>IFERROR(MIN('MP Calculations'!$E$30/I165,1),"-")</f>
        <v>0.32927792945511891</v>
      </c>
      <c r="K165" s="12"/>
      <c r="L165" s="159">
        <v>10.544456</v>
      </c>
      <c r="M165" s="187" t="s">
        <v>293</v>
      </c>
      <c r="N165" s="187">
        <v>192.78728599999999</v>
      </c>
      <c r="O165" s="186">
        <f t="shared" si="8"/>
        <v>2032.8370545864159</v>
      </c>
      <c r="P165" s="186">
        <f t="shared" si="9"/>
        <v>669.3683762538576</v>
      </c>
      <c r="Q165" s="215">
        <f>IF(P165="-",0,P165/(1+'General inputs'!$H$30)^'MP Calculations'!$C$40)</f>
        <v>1486.860614849041</v>
      </c>
    </row>
    <row r="166" spans="3:17">
      <c r="C166" s="159"/>
      <c r="D166" s="165" t="s">
        <v>283</v>
      </c>
      <c r="E166" s="162">
        <v>26299</v>
      </c>
      <c r="F166" s="166" t="str">
        <f t="shared" si="7"/>
        <v>Date check - OK</v>
      </c>
      <c r="G166" s="68"/>
      <c r="H166" s="162" t="s">
        <v>280</v>
      </c>
      <c r="I166" s="173">
        <v>21853.086195380012</v>
      </c>
      <c r="J166" s="168">
        <f>IFERROR(MIN('MP Calculations'!$E$30/I166,1),"-")</f>
        <v>0.32927792945511891</v>
      </c>
      <c r="K166" s="12"/>
      <c r="L166" s="159">
        <v>1.2997000000000001</v>
      </c>
      <c r="M166" s="187" t="s">
        <v>293</v>
      </c>
      <c r="N166" s="187">
        <v>192.78728599999999</v>
      </c>
      <c r="O166" s="186">
        <f t="shared" si="8"/>
        <v>250.5656356142</v>
      </c>
      <c r="P166" s="186">
        <f t="shared" si="9"/>
        <v>82.505733687649581</v>
      </c>
      <c r="Q166" s="215">
        <f>IF(P166="-",0,P166/(1+'General inputs'!$H$30)^'MP Calculations'!$C$40)</f>
        <v>183.26907913687521</v>
      </c>
    </row>
    <row r="167" spans="3:17">
      <c r="C167" s="159"/>
      <c r="D167" s="165" t="s">
        <v>282</v>
      </c>
      <c r="E167" s="162">
        <v>26299</v>
      </c>
      <c r="F167" s="166" t="str">
        <f t="shared" si="7"/>
        <v>Date check - OK</v>
      </c>
      <c r="G167" s="68"/>
      <c r="H167" s="162" t="s">
        <v>280</v>
      </c>
      <c r="I167" s="173">
        <v>21853.086195380012</v>
      </c>
      <c r="J167" s="168">
        <f>IFERROR(MIN('MP Calculations'!$E$30/I167,1),"-")</f>
        <v>0.32927792945511891</v>
      </c>
      <c r="K167" s="12"/>
      <c r="L167" s="159">
        <v>127.849881</v>
      </c>
      <c r="M167" s="187" t="s">
        <v>293</v>
      </c>
      <c r="N167" s="187">
        <v>237.97403299999999</v>
      </c>
      <c r="O167" s="186">
        <f t="shared" si="8"/>
        <v>30424.951800140072</v>
      </c>
      <c r="P167" s="186">
        <f t="shared" si="9"/>
        <v>10018.265132521916</v>
      </c>
      <c r="Q167" s="215">
        <f>IF(P167="-",0,P167/(1+'General inputs'!$H$30)^'MP Calculations'!$C$40)</f>
        <v>22253.462193757769</v>
      </c>
    </row>
    <row r="168" spans="3:17">
      <c r="C168" s="159"/>
      <c r="D168" s="165" t="s">
        <v>282</v>
      </c>
      <c r="E168" s="162">
        <v>26299</v>
      </c>
      <c r="F168" s="166" t="str">
        <f t="shared" si="7"/>
        <v>Date check - OK</v>
      </c>
      <c r="G168" s="68"/>
      <c r="H168" s="162" t="s">
        <v>280</v>
      </c>
      <c r="I168" s="173">
        <v>21853.086195380012</v>
      </c>
      <c r="J168" s="168">
        <f>IFERROR(MIN('MP Calculations'!$E$30/I168,1),"-")</f>
        <v>0.32927792945511891</v>
      </c>
      <c r="K168" s="12"/>
      <c r="L168" s="159">
        <v>3.176882</v>
      </c>
      <c r="M168" s="187" t="s">
        <v>293</v>
      </c>
      <c r="N168" s="187">
        <v>237.97403299999999</v>
      </c>
      <c r="O168" s="186">
        <f t="shared" si="8"/>
        <v>756.015421905106</v>
      </c>
      <c r="P168" s="186">
        <f t="shared" si="9"/>
        <v>248.93919276105146</v>
      </c>
      <c r="Q168" s="215">
        <f>IF(P168="-",0,P168/(1+'General inputs'!$H$30)^'MP Calculations'!$C$40)</f>
        <v>552.96589193563329</v>
      </c>
    </row>
    <row r="169" spans="3:17">
      <c r="C169" s="159"/>
      <c r="D169" s="165" t="s">
        <v>283</v>
      </c>
      <c r="E169" s="162">
        <v>26299</v>
      </c>
      <c r="F169" s="166" t="str">
        <f t="shared" si="7"/>
        <v>Date check - OK</v>
      </c>
      <c r="G169" s="68"/>
      <c r="H169" s="162" t="s">
        <v>280</v>
      </c>
      <c r="I169" s="173">
        <v>21853.086195380012</v>
      </c>
      <c r="J169" s="168">
        <f>IFERROR(MIN('MP Calculations'!$E$30/I169,1),"-")</f>
        <v>0.32927792945511891</v>
      </c>
      <c r="K169" s="12"/>
      <c r="L169" s="159">
        <v>21.417266000000001</v>
      </c>
      <c r="M169" s="187" t="s">
        <v>293</v>
      </c>
      <c r="N169" s="187">
        <v>192.78728599999999</v>
      </c>
      <c r="O169" s="186">
        <f t="shared" si="8"/>
        <v>4128.9765856800759</v>
      </c>
      <c r="P169" s="186">
        <f t="shared" si="9"/>
        <v>1359.5808609014018</v>
      </c>
      <c r="Q169" s="215">
        <f>IF(P169="-",0,P169/(1+'General inputs'!$H$30)^'MP Calculations'!$C$40)</f>
        <v>3020.0220185038906</v>
      </c>
    </row>
    <row r="170" spans="3:17">
      <c r="C170" s="159"/>
      <c r="D170" s="165" t="s">
        <v>283</v>
      </c>
      <c r="E170" s="162">
        <v>26299</v>
      </c>
      <c r="F170" s="166" t="str">
        <f t="shared" si="7"/>
        <v>Date check - OK</v>
      </c>
      <c r="G170" s="68"/>
      <c r="H170" s="162" t="s">
        <v>280</v>
      </c>
      <c r="I170" s="173">
        <v>21853.086195380012</v>
      </c>
      <c r="J170" s="168">
        <f>IFERROR(MIN('MP Calculations'!$E$30/I170,1),"-")</f>
        <v>0.32927792945511891</v>
      </c>
      <c r="K170" s="12"/>
      <c r="L170" s="159">
        <v>67.531380999999996</v>
      </c>
      <c r="M170" s="187" t="s">
        <v>293</v>
      </c>
      <c r="N170" s="187">
        <v>192.78728599999999</v>
      </c>
      <c r="O170" s="186">
        <f t="shared" si="8"/>
        <v>13019.191662821964</v>
      </c>
      <c r="P170" s="186">
        <f t="shared" si="9"/>
        <v>4286.9324739133626</v>
      </c>
      <c r="Q170" s="215">
        <f>IF(P170="-",0,P170/(1+'General inputs'!$H$30)^'MP Calculations'!$C$40)</f>
        <v>9522.5159719254207</v>
      </c>
    </row>
    <row r="171" spans="3:17">
      <c r="C171" s="159"/>
      <c r="D171" s="165" t="s">
        <v>283</v>
      </c>
      <c r="E171" s="162">
        <v>26299</v>
      </c>
      <c r="F171" s="166" t="str">
        <f t="shared" si="7"/>
        <v>Date check - OK</v>
      </c>
      <c r="G171" s="68"/>
      <c r="H171" s="162" t="s">
        <v>280</v>
      </c>
      <c r="I171" s="173">
        <v>21853.086195380012</v>
      </c>
      <c r="J171" s="168">
        <f>IFERROR(MIN('MP Calculations'!$E$30/I171,1),"-")</f>
        <v>0.32927792945511891</v>
      </c>
      <c r="K171" s="12"/>
      <c r="L171" s="159">
        <v>10.059889999999999</v>
      </c>
      <c r="M171" s="187" t="s">
        <v>293</v>
      </c>
      <c r="N171" s="187">
        <v>192.78728599999999</v>
      </c>
      <c r="O171" s="186">
        <f t="shared" si="8"/>
        <v>1939.4188905585397</v>
      </c>
      <c r="P171" s="186">
        <f t="shared" si="9"/>
        <v>638.60783662925985</v>
      </c>
      <c r="Q171" s="215">
        <f>IF(P171="-",0,P171/(1+'General inputs'!$H$30)^'MP Calculations'!$C$40)</f>
        <v>1418.532566375517</v>
      </c>
    </row>
    <row r="172" spans="3:17">
      <c r="C172" s="159"/>
      <c r="D172" s="165" t="s">
        <v>283</v>
      </c>
      <c r="E172" s="162">
        <v>26299</v>
      </c>
      <c r="F172" s="166" t="str">
        <f t="shared" si="7"/>
        <v>Date check - OK</v>
      </c>
      <c r="G172" s="68"/>
      <c r="H172" s="162" t="s">
        <v>280</v>
      </c>
      <c r="I172" s="173">
        <v>21853.086195380012</v>
      </c>
      <c r="J172" s="168">
        <f>IFERROR(MIN('MP Calculations'!$E$30/I172,1),"-")</f>
        <v>0.32927792945511891</v>
      </c>
      <c r="K172" s="12"/>
      <c r="L172" s="159">
        <v>8.3979789999999994</v>
      </c>
      <c r="M172" s="187" t="s">
        <v>293</v>
      </c>
      <c r="N172" s="187">
        <v>192.78728599999999</v>
      </c>
      <c r="O172" s="186">
        <f t="shared" si="8"/>
        <v>1619.0235792949939</v>
      </c>
      <c r="P172" s="186">
        <f t="shared" si="9"/>
        <v>533.10873192927113</v>
      </c>
      <c r="Q172" s="215">
        <f>IF(P172="-",0,P172/(1+'General inputs'!$H$30)^'MP Calculations'!$C$40)</f>
        <v>1184.1885650079373</v>
      </c>
    </row>
    <row r="173" spans="3:17">
      <c r="C173" s="159"/>
      <c r="D173" s="165" t="s">
        <v>283</v>
      </c>
      <c r="E173" s="162">
        <v>26299</v>
      </c>
      <c r="F173" s="166" t="str">
        <f t="shared" si="7"/>
        <v>Date check - OK</v>
      </c>
      <c r="G173" s="68"/>
      <c r="H173" s="162" t="s">
        <v>280</v>
      </c>
      <c r="I173" s="173">
        <v>21853.086195380012</v>
      </c>
      <c r="J173" s="168">
        <f>IFERROR(MIN('MP Calculations'!$E$30/I173,1),"-")</f>
        <v>0.32927792945511891</v>
      </c>
      <c r="K173" s="12"/>
      <c r="L173" s="159">
        <v>5.2383129999999998</v>
      </c>
      <c r="M173" s="187" t="s">
        <v>293</v>
      </c>
      <c r="N173" s="187">
        <v>192.78728599999999</v>
      </c>
      <c r="O173" s="186">
        <f t="shared" si="8"/>
        <v>1009.8801464885179</v>
      </c>
      <c r="P173" s="186">
        <f t="shared" si="9"/>
        <v>332.53124363357136</v>
      </c>
      <c r="Q173" s="215">
        <f>IF(P173="-",0,P173/(1+'General inputs'!$H$30)^'MP Calculations'!$C$40)</f>
        <v>738.64799549182283</v>
      </c>
    </row>
    <row r="174" spans="3:17">
      <c r="C174" s="159"/>
      <c r="D174" s="165" t="s">
        <v>283</v>
      </c>
      <c r="E174" s="162">
        <v>26299</v>
      </c>
      <c r="F174" s="166" t="str">
        <f t="shared" si="7"/>
        <v>Date check - OK</v>
      </c>
      <c r="G174" s="68"/>
      <c r="H174" s="162" t="s">
        <v>280</v>
      </c>
      <c r="I174" s="173">
        <v>21853.086195380012</v>
      </c>
      <c r="J174" s="168">
        <f>IFERROR(MIN('MP Calculations'!$E$30/I174,1),"-")</f>
        <v>0.32927792945511891</v>
      </c>
      <c r="K174" s="12"/>
      <c r="L174" s="159">
        <v>2.291032</v>
      </c>
      <c r="M174" s="187" t="s">
        <v>293</v>
      </c>
      <c r="N174" s="187">
        <v>192.78728599999999</v>
      </c>
      <c r="O174" s="186">
        <f t="shared" si="8"/>
        <v>441.68184141915197</v>
      </c>
      <c r="P174" s="186">
        <f t="shared" si="9"/>
        <v>145.43608222042255</v>
      </c>
      <c r="Q174" s="215">
        <f>IF(P174="-",0,P174/(1+'General inputs'!$H$30)^'MP Calculations'!$C$40)</f>
        <v>323.05557044942179</v>
      </c>
    </row>
    <row r="175" spans="3:17">
      <c r="C175" s="159"/>
      <c r="D175" s="165" t="s">
        <v>282</v>
      </c>
      <c r="E175" s="162">
        <v>26299</v>
      </c>
      <c r="F175" s="166" t="str">
        <f t="shared" si="7"/>
        <v>Date check - OK</v>
      </c>
      <c r="G175" s="68"/>
      <c r="H175" s="162" t="s">
        <v>280</v>
      </c>
      <c r="I175" s="173">
        <v>21853.086195380012</v>
      </c>
      <c r="J175" s="168">
        <f>IFERROR(MIN('MP Calculations'!$E$30/I175,1),"-")</f>
        <v>0.32927792945511891</v>
      </c>
      <c r="K175" s="12"/>
      <c r="L175" s="159">
        <v>26.236744999999999</v>
      </c>
      <c r="M175" s="187" t="s">
        <v>293</v>
      </c>
      <c r="N175" s="187">
        <v>237.97403299999999</v>
      </c>
      <c r="O175" s="186">
        <f t="shared" si="8"/>
        <v>6243.6640204425848</v>
      </c>
      <c r="P175" s="186">
        <f t="shared" si="9"/>
        <v>2055.9007608647576</v>
      </c>
      <c r="Q175" s="215">
        <f>IF(P175="-",0,P175/(1+'General inputs'!$H$30)^'MP Calculations'!$C$40)</f>
        <v>4566.7497566522034</v>
      </c>
    </row>
    <row r="176" spans="3:17">
      <c r="C176" s="159"/>
      <c r="D176" s="165" t="s">
        <v>283</v>
      </c>
      <c r="E176" s="162">
        <v>26299</v>
      </c>
      <c r="F176" s="166" t="str">
        <f t="shared" si="7"/>
        <v>Date check - OK</v>
      </c>
      <c r="G176" s="68"/>
      <c r="H176" s="162" t="s">
        <v>280</v>
      </c>
      <c r="I176" s="173">
        <v>21853.086195380012</v>
      </c>
      <c r="J176" s="168">
        <f>IFERROR(MIN('MP Calculations'!$E$30/I176,1),"-")</f>
        <v>0.32927792945511891</v>
      </c>
      <c r="K176" s="12"/>
      <c r="L176" s="159">
        <v>10.957045000000001</v>
      </c>
      <c r="M176" s="187" t="s">
        <v>293</v>
      </c>
      <c r="N176" s="187">
        <v>192.78728599999999</v>
      </c>
      <c r="O176" s="186">
        <f t="shared" si="8"/>
        <v>2112.3789681298699</v>
      </c>
      <c r="P176" s="186">
        <f t="shared" si="9"/>
        <v>695.55977285034419</v>
      </c>
      <c r="Q176" s="215">
        <f>IF(P176="-",0,P176/(1+'General inputs'!$H$30)^'MP Calculations'!$C$40)</f>
        <v>1545.0392761493442</v>
      </c>
    </row>
    <row r="177" spans="3:17">
      <c r="C177" s="159"/>
      <c r="D177" s="165" t="s">
        <v>283</v>
      </c>
      <c r="E177" s="162">
        <v>26299</v>
      </c>
      <c r="F177" s="166" t="str">
        <f t="shared" si="7"/>
        <v>Date check - OK</v>
      </c>
      <c r="G177" s="68"/>
      <c r="H177" s="162" t="s">
        <v>280</v>
      </c>
      <c r="I177" s="173">
        <v>21853.086195380012</v>
      </c>
      <c r="J177" s="168">
        <f>IFERROR(MIN('MP Calculations'!$E$30/I177,1),"-")</f>
        <v>0.32927792945511891</v>
      </c>
      <c r="K177" s="12"/>
      <c r="L177" s="159">
        <v>12.194836</v>
      </c>
      <c r="M177" s="187" t="s">
        <v>293</v>
      </c>
      <c r="N177" s="187">
        <v>192.78728599999999</v>
      </c>
      <c r="O177" s="186">
        <f t="shared" si="8"/>
        <v>2351.009335655096</v>
      </c>
      <c r="P177" s="186">
        <f t="shared" si="9"/>
        <v>774.13548617416473</v>
      </c>
      <c r="Q177" s="215">
        <f>IF(P177="-",0,P177/(1+'General inputs'!$H$30)^'MP Calculations'!$C$40)</f>
        <v>1719.5786442603792</v>
      </c>
    </row>
    <row r="178" spans="3:17">
      <c r="C178" s="159"/>
      <c r="D178" s="165" t="s">
        <v>282</v>
      </c>
      <c r="E178" s="162">
        <v>26299</v>
      </c>
      <c r="F178" s="166" t="str">
        <f t="shared" si="7"/>
        <v>Date check - OK</v>
      </c>
      <c r="G178" s="68"/>
      <c r="H178" s="162" t="s">
        <v>280</v>
      </c>
      <c r="I178" s="173">
        <v>21853.086195380012</v>
      </c>
      <c r="J178" s="168">
        <f>IFERROR(MIN('MP Calculations'!$E$30/I178,1),"-")</f>
        <v>0.32927792945511891</v>
      </c>
      <c r="K178" s="12"/>
      <c r="L178" s="159">
        <v>79.967952999999994</v>
      </c>
      <c r="M178" s="187" t="s">
        <v>293</v>
      </c>
      <c r="N178" s="187">
        <v>237.97403299999999</v>
      </c>
      <c r="O178" s="186">
        <f t="shared" si="8"/>
        <v>19030.296286164448</v>
      </c>
      <c r="P178" s="186">
        <f t="shared" si="9"/>
        <v>6266.2565580256687</v>
      </c>
      <c r="Q178" s="215">
        <f>IF(P178="-",0,P178/(1+'General inputs'!$H$30)^'MP Calculations'!$C$40)</f>
        <v>13919.166798424303</v>
      </c>
    </row>
    <row r="179" spans="3:17">
      <c r="C179" s="159"/>
      <c r="D179" s="165" t="s">
        <v>282</v>
      </c>
      <c r="E179" s="162">
        <v>26299</v>
      </c>
      <c r="F179" s="166" t="str">
        <f t="shared" si="7"/>
        <v>Date check - OK</v>
      </c>
      <c r="G179" s="68"/>
      <c r="H179" s="162" t="s">
        <v>280</v>
      </c>
      <c r="I179" s="173">
        <v>21853.086195380012</v>
      </c>
      <c r="J179" s="168">
        <f>IFERROR(MIN('MP Calculations'!$E$30/I179,1),"-")</f>
        <v>0.32927792945511891</v>
      </c>
      <c r="K179" s="12"/>
      <c r="L179" s="159">
        <v>47.959252999999997</v>
      </c>
      <c r="M179" s="187" t="s">
        <v>293</v>
      </c>
      <c r="N179" s="187">
        <v>237.97403299999999</v>
      </c>
      <c r="O179" s="186">
        <f t="shared" si="8"/>
        <v>11413.056856077348</v>
      </c>
      <c r="P179" s="186">
        <f t="shared" si="9"/>
        <v>3758.0677303226985</v>
      </c>
      <c r="Q179" s="215">
        <f>IF(P179="-",0,P179/(1+'General inputs'!$H$30)^'MP Calculations'!$C$40)</f>
        <v>8347.7545315537991</v>
      </c>
    </row>
    <row r="180" spans="3:17">
      <c r="C180" s="159"/>
      <c r="D180" s="165" t="s">
        <v>283</v>
      </c>
      <c r="E180" s="162">
        <v>26299</v>
      </c>
      <c r="F180" s="166" t="str">
        <f t="shared" si="7"/>
        <v>Date check - OK</v>
      </c>
      <c r="G180" s="68"/>
      <c r="H180" s="162" t="s">
        <v>280</v>
      </c>
      <c r="I180" s="173">
        <v>21853.086195380012</v>
      </c>
      <c r="J180" s="168">
        <f>IFERROR(MIN('MP Calculations'!$E$30/I180,1),"-")</f>
        <v>0.32927792945511891</v>
      </c>
      <c r="K180" s="12"/>
      <c r="L180" s="159">
        <v>37.862425999999999</v>
      </c>
      <c r="M180" s="187" t="s">
        <v>293</v>
      </c>
      <c r="N180" s="187">
        <v>192.78728599999999</v>
      </c>
      <c r="O180" s="186">
        <f t="shared" si="8"/>
        <v>7299.3943499158358</v>
      </c>
      <c r="P180" s="186">
        <f t="shared" si="9"/>
        <v>2403.52945781668</v>
      </c>
      <c r="Q180" s="215">
        <f>IF(P180="-",0,P180/(1+'General inputs'!$H$30)^'MP Calculations'!$C$40)</f>
        <v>5338.9335592121879</v>
      </c>
    </row>
    <row r="181" spans="3:17">
      <c r="C181" s="159"/>
      <c r="D181" s="165" t="s">
        <v>283</v>
      </c>
      <c r="E181" s="162">
        <v>26299</v>
      </c>
      <c r="F181" s="166" t="str">
        <f t="shared" si="7"/>
        <v>Date check - OK</v>
      </c>
      <c r="G181" s="68"/>
      <c r="H181" s="162" t="s">
        <v>280</v>
      </c>
      <c r="I181" s="173">
        <v>21853.086195380012</v>
      </c>
      <c r="J181" s="168">
        <f>IFERROR(MIN('MP Calculations'!$E$30/I181,1),"-")</f>
        <v>0.32927792945511891</v>
      </c>
      <c r="K181" s="12"/>
      <c r="L181" s="159">
        <v>1.23834</v>
      </c>
      <c r="M181" s="187" t="s">
        <v>293</v>
      </c>
      <c r="N181" s="187">
        <v>192.78728599999999</v>
      </c>
      <c r="O181" s="186">
        <f t="shared" si="8"/>
        <v>238.73620774523999</v>
      </c>
      <c r="P181" s="186">
        <f t="shared" si="9"/>
        <v>78.610564172319755</v>
      </c>
      <c r="Q181" s="215">
        <f>IF(P181="-",0,P181/(1+'General inputs'!$H$30)^'MP Calculations'!$C$40)</f>
        <v>174.61678191764105</v>
      </c>
    </row>
    <row r="182" spans="3:17">
      <c r="C182" s="159"/>
      <c r="D182" s="165" t="s">
        <v>283</v>
      </c>
      <c r="E182" s="162">
        <v>26299</v>
      </c>
      <c r="F182" s="166" t="str">
        <f t="shared" si="7"/>
        <v>Date check - OK</v>
      </c>
      <c r="G182" s="68"/>
      <c r="H182" s="162" t="s">
        <v>280</v>
      </c>
      <c r="I182" s="173">
        <v>21853.086195380012</v>
      </c>
      <c r="J182" s="168">
        <f>IFERROR(MIN('MP Calculations'!$E$30/I182,1),"-")</f>
        <v>0.32927792945511891</v>
      </c>
      <c r="K182" s="12"/>
      <c r="L182" s="159">
        <v>38.729528999999999</v>
      </c>
      <c r="M182" s="187" t="s">
        <v>293</v>
      </c>
      <c r="N182" s="187">
        <v>192.78728599999999</v>
      </c>
      <c r="O182" s="186">
        <f t="shared" si="8"/>
        <v>7466.5607839682934</v>
      </c>
      <c r="P182" s="186">
        <f t="shared" si="9"/>
        <v>2458.573675095869</v>
      </c>
      <c r="Q182" s="215">
        <f>IF(P182="-",0,P182/(1+'General inputs'!$H$30)^'MP Calculations'!$C$40)</f>
        <v>5461.2026738746654</v>
      </c>
    </row>
    <row r="183" spans="3:17">
      <c r="C183" s="159"/>
      <c r="D183" s="165" t="s">
        <v>283</v>
      </c>
      <c r="E183" s="162">
        <v>26299</v>
      </c>
      <c r="F183" s="166" t="str">
        <f t="shared" si="7"/>
        <v>Date check - OK</v>
      </c>
      <c r="G183" s="68"/>
      <c r="H183" s="162" t="s">
        <v>280</v>
      </c>
      <c r="I183" s="173">
        <v>21853.086195380012</v>
      </c>
      <c r="J183" s="168">
        <f>IFERROR(MIN('MP Calculations'!$E$30/I183,1),"-")</f>
        <v>0.32927792945511891</v>
      </c>
      <c r="K183" s="12"/>
      <c r="L183" s="159">
        <v>73.082682000000005</v>
      </c>
      <c r="M183" s="187" t="s">
        <v>293</v>
      </c>
      <c r="N183" s="187">
        <v>192.78728599999999</v>
      </c>
      <c r="O183" s="186">
        <f t="shared" si="8"/>
        <v>14089.411916381052</v>
      </c>
      <c r="P183" s="186">
        <f t="shared" si="9"/>
        <v>4639.3323830662321</v>
      </c>
      <c r="Q183" s="215">
        <f>IF(P183="-",0,P183/(1+'General inputs'!$H$30)^'MP Calculations'!$C$40)</f>
        <v>10305.298015690611</v>
      </c>
    </row>
    <row r="184" spans="3:17">
      <c r="C184" s="159"/>
      <c r="D184" s="165" t="s">
        <v>283</v>
      </c>
      <c r="E184" s="162">
        <v>26299</v>
      </c>
      <c r="F184" s="166" t="str">
        <f t="shared" si="7"/>
        <v>Date check - OK</v>
      </c>
      <c r="G184" s="68"/>
      <c r="H184" s="162" t="s">
        <v>280</v>
      </c>
      <c r="I184" s="173">
        <v>21853.086195380012</v>
      </c>
      <c r="J184" s="168">
        <f>IFERROR(MIN('MP Calculations'!$E$30/I184,1),"-")</f>
        <v>0.32927792945511891</v>
      </c>
      <c r="K184" s="12"/>
      <c r="L184" s="159">
        <v>4.9990030000000001</v>
      </c>
      <c r="M184" s="187" t="s">
        <v>293</v>
      </c>
      <c r="N184" s="187">
        <v>192.78728599999999</v>
      </c>
      <c r="O184" s="186">
        <f t="shared" si="8"/>
        <v>963.74422107585804</v>
      </c>
      <c r="P184" s="186">
        <f t="shared" si="9"/>
        <v>317.3397016401949</v>
      </c>
      <c r="Q184" s="215">
        <f>IF(P184="-",0,P184/(1+'General inputs'!$H$30)^'MP Calculations'!$C$40)</f>
        <v>704.90319028427837</v>
      </c>
    </row>
    <row r="185" spans="3:17">
      <c r="C185" s="159"/>
      <c r="D185" s="165" t="s">
        <v>283</v>
      </c>
      <c r="E185" s="162">
        <v>26299</v>
      </c>
      <c r="F185" s="166" t="str">
        <f t="shared" si="7"/>
        <v>Date check - OK</v>
      </c>
      <c r="G185" s="68"/>
      <c r="H185" s="162" t="s">
        <v>280</v>
      </c>
      <c r="I185" s="173">
        <v>21853.086195380012</v>
      </c>
      <c r="J185" s="168">
        <f>IFERROR(MIN('MP Calculations'!$E$30/I185,1),"-")</f>
        <v>0.32927792945511891</v>
      </c>
      <c r="K185" s="12"/>
      <c r="L185" s="159">
        <v>66.599220000000003</v>
      </c>
      <c r="M185" s="187" t="s">
        <v>293</v>
      </c>
      <c r="N185" s="187">
        <v>192.78728599999999</v>
      </c>
      <c r="O185" s="186">
        <f t="shared" si="8"/>
        <v>12839.482873516919</v>
      </c>
      <c r="P185" s="186">
        <f t="shared" si="9"/>
        <v>4227.7583358661113</v>
      </c>
      <c r="Q185" s="215">
        <f>IF(P185="-",0,P185/(1+'General inputs'!$H$30)^'MP Calculations'!$C$40)</f>
        <v>9391.0731096669697</v>
      </c>
    </row>
    <row r="186" spans="3:17">
      <c r="C186" s="159"/>
      <c r="D186" s="165" t="s">
        <v>282</v>
      </c>
      <c r="E186" s="162">
        <v>26299</v>
      </c>
      <c r="F186" s="166" t="str">
        <f t="shared" si="7"/>
        <v>Date check - OK</v>
      </c>
      <c r="G186" s="68"/>
      <c r="H186" s="162" t="s">
        <v>280</v>
      </c>
      <c r="I186" s="173">
        <v>21853.086195380012</v>
      </c>
      <c r="J186" s="168">
        <f>IFERROR(MIN('MP Calculations'!$E$30/I186,1),"-")</f>
        <v>0.32927792945511891</v>
      </c>
      <c r="K186" s="12"/>
      <c r="L186" s="159">
        <v>12.304156000000001</v>
      </c>
      <c r="M186" s="187" t="s">
        <v>293</v>
      </c>
      <c r="N186" s="187">
        <v>237.97403299999999</v>
      </c>
      <c r="O186" s="186">
        <f t="shared" si="8"/>
        <v>2928.069625981148</v>
      </c>
      <c r="P186" s="186">
        <f t="shared" si="9"/>
        <v>964.14870374349687</v>
      </c>
      <c r="Q186" s="215">
        <f>IF(P186="-",0,P186/(1+'General inputs'!$H$30)^'MP Calculations'!$C$40)</f>
        <v>2141.6529153601468</v>
      </c>
    </row>
    <row r="187" spans="3:17">
      <c r="C187" s="159"/>
      <c r="D187" s="165" t="s">
        <v>282</v>
      </c>
      <c r="E187" s="162">
        <v>26299</v>
      </c>
      <c r="F187" s="166" t="str">
        <f t="shared" si="7"/>
        <v>Date check - OK</v>
      </c>
      <c r="G187" s="68"/>
      <c r="H187" s="162" t="s">
        <v>280</v>
      </c>
      <c r="I187" s="173">
        <v>21853.086195380012</v>
      </c>
      <c r="J187" s="168">
        <f>IFERROR(MIN('MP Calculations'!$E$30/I187,1),"-")</f>
        <v>0.32927792945511891</v>
      </c>
      <c r="K187" s="12"/>
      <c r="L187" s="159">
        <v>44.680495000000001</v>
      </c>
      <c r="M187" s="187" t="s">
        <v>293</v>
      </c>
      <c r="N187" s="187">
        <v>237.97403299999999</v>
      </c>
      <c r="O187" s="186">
        <f t="shared" si="8"/>
        <v>10632.797591586335</v>
      </c>
      <c r="P187" s="186">
        <f t="shared" si="9"/>
        <v>3501.1455752729235</v>
      </c>
      <c r="Q187" s="215">
        <f>IF(P187="-",0,P187/(1+'General inputs'!$H$30)^'MP Calculations'!$C$40)</f>
        <v>7777.056173254342</v>
      </c>
    </row>
    <row r="188" spans="3:17">
      <c r="C188" s="159"/>
      <c r="D188" s="165" t="s">
        <v>282</v>
      </c>
      <c r="E188" s="162">
        <v>26299</v>
      </c>
      <c r="F188" s="166" t="str">
        <f t="shared" si="7"/>
        <v>Date check - OK</v>
      </c>
      <c r="G188" s="68"/>
      <c r="H188" s="162" t="s">
        <v>280</v>
      </c>
      <c r="I188" s="173">
        <v>21853.086195380012</v>
      </c>
      <c r="J188" s="168">
        <f>IFERROR(MIN('MP Calculations'!$E$30/I188,1),"-")</f>
        <v>0.32927792945511891</v>
      </c>
      <c r="K188" s="12"/>
      <c r="L188" s="159">
        <v>55.777268999999997</v>
      </c>
      <c r="M188" s="187" t="s">
        <v>293</v>
      </c>
      <c r="N188" s="187">
        <v>237.97403299999999</v>
      </c>
      <c r="O188" s="186">
        <f t="shared" si="8"/>
        <v>13273.541653655875</v>
      </c>
      <c r="P188" s="186">
        <f t="shared" si="9"/>
        <v>4370.6843122520813</v>
      </c>
      <c r="Q188" s="215">
        <f>IF(P188="-",0,P188/(1+'General inputs'!$H$30)^'MP Calculations'!$C$40)</f>
        <v>9708.5530096235052</v>
      </c>
    </row>
    <row r="189" spans="3:17">
      <c r="C189" s="159"/>
      <c r="D189" s="165" t="s">
        <v>283</v>
      </c>
      <c r="E189" s="162">
        <v>26299</v>
      </c>
      <c r="F189" s="166" t="str">
        <f t="shared" si="7"/>
        <v>Date check - OK</v>
      </c>
      <c r="G189" s="68"/>
      <c r="H189" s="162" t="s">
        <v>280</v>
      </c>
      <c r="I189" s="173">
        <v>21853.086195380012</v>
      </c>
      <c r="J189" s="168">
        <f>IFERROR(MIN('MP Calculations'!$E$30/I189,1),"-")</f>
        <v>0.32927792945511891</v>
      </c>
      <c r="K189" s="12"/>
      <c r="L189" s="159">
        <v>48.98019</v>
      </c>
      <c r="M189" s="187" t="s">
        <v>293</v>
      </c>
      <c r="N189" s="187">
        <v>192.78728599999999</v>
      </c>
      <c r="O189" s="186">
        <f t="shared" si="8"/>
        <v>9442.7578978643396</v>
      </c>
      <c r="P189" s="186">
        <f t="shared" si="9"/>
        <v>3109.2917689547407</v>
      </c>
      <c r="Q189" s="215">
        <f>IF(P189="-",0,P189/(1+'General inputs'!$H$30)^'MP Calculations'!$C$40)</f>
        <v>6906.6356214889456</v>
      </c>
    </row>
    <row r="190" spans="3:17">
      <c r="C190" s="159"/>
      <c r="D190" s="165" t="s">
        <v>284</v>
      </c>
      <c r="E190" s="162">
        <v>26299</v>
      </c>
      <c r="F190" s="166" t="str">
        <f t="shared" si="7"/>
        <v>Date check - OK</v>
      </c>
      <c r="G190" s="68"/>
      <c r="H190" s="162" t="s">
        <v>280</v>
      </c>
      <c r="I190" s="173">
        <v>21853.086195380012</v>
      </c>
      <c r="J190" s="168">
        <f>IFERROR(MIN('MP Calculations'!$E$30/I190,1),"-")</f>
        <v>0.32927792945511891</v>
      </c>
      <c r="K190" s="12"/>
      <c r="L190" s="159">
        <v>2.4988739999999998</v>
      </c>
      <c r="M190" s="187" t="s">
        <v>293</v>
      </c>
      <c r="N190" s="187">
        <v>315.45229399999999</v>
      </c>
      <c r="O190" s="186">
        <f t="shared" si="8"/>
        <v>788.27553571695591</v>
      </c>
      <c r="P190" s="186">
        <f t="shared" si="9"/>
        <v>259.56173624100387</v>
      </c>
      <c r="Q190" s="215">
        <f>IF(P190="-",0,P190/(1+'General inputs'!$H$30)^'MP Calculations'!$C$40)</f>
        <v>576.56163097884246</v>
      </c>
    </row>
    <row r="191" spans="3:17">
      <c r="C191" s="159"/>
      <c r="D191" s="165" t="s">
        <v>283</v>
      </c>
      <c r="E191" s="162">
        <v>26299</v>
      </c>
      <c r="F191" s="166" t="str">
        <f t="shared" si="7"/>
        <v>Date check - OK</v>
      </c>
      <c r="G191" s="68"/>
      <c r="H191" s="162" t="s">
        <v>280</v>
      </c>
      <c r="I191" s="173">
        <v>21853.086195380012</v>
      </c>
      <c r="J191" s="168">
        <f>IFERROR(MIN('MP Calculations'!$E$30/I191,1),"-")</f>
        <v>0.32927792945511891</v>
      </c>
      <c r="K191" s="12"/>
      <c r="L191" s="159">
        <v>31.487607000000001</v>
      </c>
      <c r="M191" s="187" t="s">
        <v>293</v>
      </c>
      <c r="N191" s="187">
        <v>192.78728599999999</v>
      </c>
      <c r="O191" s="186">
        <f t="shared" si="8"/>
        <v>6070.4102961646022</v>
      </c>
      <c r="P191" s="186">
        <f t="shared" si="9"/>
        <v>1998.8521332641153</v>
      </c>
      <c r="Q191" s="215">
        <f>IF(P191="-",0,P191/(1+'General inputs'!$H$30)^'MP Calculations'!$C$40)</f>
        <v>4440.0282673800311</v>
      </c>
    </row>
    <row r="192" spans="3:17">
      <c r="C192" s="159"/>
      <c r="D192" s="165" t="s">
        <v>282</v>
      </c>
      <c r="E192" s="162">
        <v>26299</v>
      </c>
      <c r="F192" s="166" t="str">
        <f t="shared" si="7"/>
        <v>Date check - OK</v>
      </c>
      <c r="G192" s="68"/>
      <c r="H192" s="162" t="s">
        <v>280</v>
      </c>
      <c r="I192" s="173">
        <v>21853.086195380012</v>
      </c>
      <c r="J192" s="168">
        <f>IFERROR(MIN('MP Calculations'!$E$30/I192,1),"-")</f>
        <v>0.32927792945511891</v>
      </c>
      <c r="K192" s="12"/>
      <c r="L192" s="159">
        <v>1.6972430000000001</v>
      </c>
      <c r="M192" s="187" t="s">
        <v>293</v>
      </c>
      <c r="N192" s="187">
        <v>237.97403299999999</v>
      </c>
      <c r="O192" s="186">
        <f t="shared" si="8"/>
        <v>403.89976169101902</v>
      </c>
      <c r="P192" s="186">
        <f t="shared" si="9"/>
        <v>132.99527723703471</v>
      </c>
      <c r="Q192" s="215">
        <f>IF(P192="-",0,P192/(1+'General inputs'!$H$30)^'MP Calculations'!$C$40)</f>
        <v>295.42094711938</v>
      </c>
    </row>
    <row r="193" spans="3:17">
      <c r="C193" s="159"/>
      <c r="D193" s="165" t="s">
        <v>282</v>
      </c>
      <c r="E193" s="162">
        <v>26299</v>
      </c>
      <c r="F193" s="166" t="str">
        <f t="shared" si="7"/>
        <v>Date check - OK</v>
      </c>
      <c r="G193" s="68"/>
      <c r="H193" s="162" t="s">
        <v>280</v>
      </c>
      <c r="I193" s="173">
        <v>21853.086195380012</v>
      </c>
      <c r="J193" s="168">
        <f>IFERROR(MIN('MP Calculations'!$E$30/I193,1),"-")</f>
        <v>0.32927792945511891</v>
      </c>
      <c r="K193" s="12"/>
      <c r="L193" s="159">
        <v>13.59305</v>
      </c>
      <c r="M193" s="187" t="s">
        <v>293</v>
      </c>
      <c r="N193" s="187">
        <v>237.97403299999999</v>
      </c>
      <c r="O193" s="186">
        <f t="shared" si="8"/>
        <v>3234.7929292706499</v>
      </c>
      <c r="P193" s="186">
        <f t="shared" si="9"/>
        <v>1065.1459179662986</v>
      </c>
      <c r="Q193" s="215">
        <f>IF(P193="-",0,P193/(1+'General inputs'!$H$30)^'MP Calculations'!$C$40)</f>
        <v>2365.9969169064698</v>
      </c>
    </row>
    <row r="194" spans="3:17">
      <c r="C194" s="159"/>
      <c r="D194" s="165" t="s">
        <v>283</v>
      </c>
      <c r="E194" s="162">
        <v>26299</v>
      </c>
      <c r="F194" s="166" t="str">
        <f t="shared" si="7"/>
        <v>Date check - OK</v>
      </c>
      <c r="G194" s="68"/>
      <c r="H194" s="162" t="s">
        <v>280</v>
      </c>
      <c r="I194" s="173">
        <v>21853.086195380012</v>
      </c>
      <c r="J194" s="168">
        <f>IFERROR(MIN('MP Calculations'!$E$30/I194,1),"-")</f>
        <v>0.32927792945511891</v>
      </c>
      <c r="K194" s="12"/>
      <c r="L194" s="159">
        <v>22.910322000000001</v>
      </c>
      <c r="M194" s="187" t="s">
        <v>293</v>
      </c>
      <c r="N194" s="187">
        <v>192.78728599999999</v>
      </c>
      <c r="O194" s="186">
        <f t="shared" si="8"/>
        <v>4416.8187997660916</v>
      </c>
      <c r="P194" s="186">
        <f t="shared" si="9"/>
        <v>1454.3609491654222</v>
      </c>
      <c r="Q194" s="215">
        <f>IF(P194="-",0,P194/(1+'General inputs'!$H$30)^'MP Calculations'!$C$40)</f>
        <v>3230.5559865117284</v>
      </c>
    </row>
    <row r="195" spans="3:17">
      <c r="C195" s="159"/>
      <c r="D195" s="165" t="s">
        <v>283</v>
      </c>
      <c r="E195" s="162">
        <v>26299</v>
      </c>
      <c r="F195" s="166" t="str">
        <f t="shared" si="7"/>
        <v>Date check - OK</v>
      </c>
      <c r="G195" s="68"/>
      <c r="H195" s="162" t="s">
        <v>280</v>
      </c>
      <c r="I195" s="173">
        <v>21853.086195380012</v>
      </c>
      <c r="J195" s="168">
        <f>IFERROR(MIN('MP Calculations'!$E$30/I195,1),"-")</f>
        <v>0.32927792945511891</v>
      </c>
      <c r="K195" s="12"/>
      <c r="L195" s="159">
        <v>27.988389999999999</v>
      </c>
      <c r="M195" s="187" t="s">
        <v>293</v>
      </c>
      <c r="N195" s="187">
        <v>192.78728599999999</v>
      </c>
      <c r="O195" s="186">
        <f t="shared" si="8"/>
        <v>5395.80574760954</v>
      </c>
      <c r="P195" s="186">
        <f t="shared" si="9"/>
        <v>1776.7197443148993</v>
      </c>
      <c r="Q195" s="215">
        <f>IF(P195="-",0,P195/(1+'General inputs'!$H$30)^'MP Calculations'!$C$40)</f>
        <v>3946.6080340261037</v>
      </c>
    </row>
    <row r="196" spans="3:17">
      <c r="C196" s="159"/>
      <c r="D196" s="165" t="s">
        <v>283</v>
      </c>
      <c r="E196" s="162">
        <v>26299</v>
      </c>
      <c r="F196" s="166" t="str">
        <f t="shared" si="7"/>
        <v>Date check - OK</v>
      </c>
      <c r="G196" s="68"/>
      <c r="H196" s="162" t="s">
        <v>280</v>
      </c>
      <c r="I196" s="173">
        <v>21853.086195380012</v>
      </c>
      <c r="J196" s="168">
        <f>IFERROR(MIN('MP Calculations'!$E$30/I196,1),"-")</f>
        <v>0.32927792945511891</v>
      </c>
      <c r="K196" s="12"/>
      <c r="L196" s="159">
        <v>26.068541</v>
      </c>
      <c r="M196" s="187" t="s">
        <v>293</v>
      </c>
      <c r="N196" s="187">
        <v>192.78728599999999</v>
      </c>
      <c r="O196" s="186">
        <f t="shared" si="8"/>
        <v>5025.6832693697261</v>
      </c>
      <c r="P196" s="186">
        <f t="shared" si="9"/>
        <v>1654.8465810352961</v>
      </c>
      <c r="Q196" s="215">
        <f>IF(P196="-",0,P196/(1+'General inputs'!$H$30)^'MP Calculations'!$C$40)</f>
        <v>3675.8925163590648</v>
      </c>
    </row>
    <row r="197" spans="3:17">
      <c r="C197" s="159"/>
      <c r="D197" s="165" t="s">
        <v>283</v>
      </c>
      <c r="E197" s="162">
        <v>26299</v>
      </c>
      <c r="F197" s="166" t="str">
        <f t="shared" si="7"/>
        <v>Date check - OK</v>
      </c>
      <c r="G197" s="68"/>
      <c r="H197" s="162" t="s">
        <v>280</v>
      </c>
      <c r="I197" s="173">
        <v>21853.086195380012</v>
      </c>
      <c r="J197" s="168">
        <f>IFERROR(MIN('MP Calculations'!$E$30/I197,1),"-")</f>
        <v>0.32927792945511891</v>
      </c>
      <c r="K197" s="12"/>
      <c r="L197" s="159">
        <v>65.574254999999994</v>
      </c>
      <c r="M197" s="187" t="s">
        <v>293</v>
      </c>
      <c r="N197" s="187">
        <v>192.78728599999999</v>
      </c>
      <c r="O197" s="186">
        <f t="shared" si="8"/>
        <v>12641.882652921928</v>
      </c>
      <c r="P197" s="186">
        <f t="shared" si="9"/>
        <v>4162.6929443687177</v>
      </c>
      <c r="Q197" s="215">
        <f>IF(P197="-",0,P197/(1+'General inputs'!$H$30)^'MP Calculations'!$C$40)</f>
        <v>9246.5440708906917</v>
      </c>
    </row>
    <row r="198" spans="3:17">
      <c r="C198" s="159"/>
      <c r="D198" s="165" t="s">
        <v>283</v>
      </c>
      <c r="E198" s="162">
        <v>26299</v>
      </c>
      <c r="F198" s="166" t="str">
        <f t="shared" si="7"/>
        <v>Date check - OK</v>
      </c>
      <c r="G198" s="68"/>
      <c r="H198" s="162" t="s">
        <v>280</v>
      </c>
      <c r="I198" s="173">
        <v>21853.086195380012</v>
      </c>
      <c r="J198" s="168">
        <f>IFERROR(MIN('MP Calculations'!$E$30/I198,1),"-")</f>
        <v>0.32927792945511891</v>
      </c>
      <c r="K198" s="12"/>
      <c r="L198" s="159">
        <v>3.1244130000000001</v>
      </c>
      <c r="M198" s="187" t="s">
        <v>293</v>
      </c>
      <c r="N198" s="187">
        <v>192.78728599999999</v>
      </c>
      <c r="O198" s="186">
        <f t="shared" si="8"/>
        <v>602.34710261311795</v>
      </c>
      <c r="P198" s="186">
        <f t="shared" si="9"/>
        <v>198.33960676173751</v>
      </c>
      <c r="Q198" s="215">
        <f>IF(P198="-",0,P198/(1+'General inputs'!$H$30)^'MP Calculations'!$C$40)</f>
        <v>440.56958786895564</v>
      </c>
    </row>
    <row r="199" spans="3:17">
      <c r="C199" s="159"/>
      <c r="D199" s="165" t="s">
        <v>283</v>
      </c>
      <c r="E199" s="162">
        <v>26299</v>
      </c>
      <c r="F199" s="166" t="str">
        <f t="shared" si="7"/>
        <v>Date check - OK</v>
      </c>
      <c r="G199" s="68"/>
      <c r="H199" s="162" t="s">
        <v>280</v>
      </c>
      <c r="I199" s="173">
        <v>21853.086195380012</v>
      </c>
      <c r="J199" s="168">
        <f>IFERROR(MIN('MP Calculations'!$E$30/I199,1),"-")</f>
        <v>0.32927792945511891</v>
      </c>
      <c r="K199" s="12"/>
      <c r="L199" s="159">
        <v>33.205618000000001</v>
      </c>
      <c r="M199" s="187" t="s">
        <v>293</v>
      </c>
      <c r="N199" s="187">
        <v>192.78728599999999</v>
      </c>
      <c r="O199" s="186">
        <f t="shared" si="8"/>
        <v>6401.620974172748</v>
      </c>
      <c r="P199" s="186">
        <f t="shared" si="9"/>
        <v>2107.9124995320635</v>
      </c>
      <c r="Q199" s="215">
        <f>IF(P199="-",0,P199/(1+'General inputs'!$H$30)^'MP Calculations'!$C$40)</f>
        <v>4682.2828599144786</v>
      </c>
    </row>
    <row r="200" spans="3:17">
      <c r="C200" s="159"/>
      <c r="D200" s="165" t="s">
        <v>283</v>
      </c>
      <c r="E200" s="162">
        <v>26299</v>
      </c>
      <c r="F200" s="166" t="str">
        <f t="shared" si="7"/>
        <v>Date check - OK</v>
      </c>
      <c r="G200" s="68"/>
      <c r="H200" s="162" t="s">
        <v>280</v>
      </c>
      <c r="I200" s="173">
        <v>21853.086195380012</v>
      </c>
      <c r="J200" s="168">
        <f>IFERROR(MIN('MP Calculations'!$E$30/I200,1),"-")</f>
        <v>0.32927792945511891</v>
      </c>
      <c r="K200" s="12"/>
      <c r="L200" s="159">
        <v>28.731334</v>
      </c>
      <c r="M200" s="187" t="s">
        <v>293</v>
      </c>
      <c r="N200" s="187">
        <v>192.78728599999999</v>
      </c>
      <c r="O200" s="186">
        <f t="shared" si="8"/>
        <v>5539.0359050195239</v>
      </c>
      <c r="P200" s="186">
        <f t="shared" si="9"/>
        <v>1823.8822739823895</v>
      </c>
      <c r="Q200" s="215">
        <f>IF(P200="-",0,P200/(1+'General inputs'!$H$30)^'MP Calculations'!$C$40)</f>
        <v>4051.3696426513761</v>
      </c>
    </row>
    <row r="201" spans="3:17">
      <c r="C201" s="159"/>
      <c r="D201" s="165" t="s">
        <v>283</v>
      </c>
      <c r="E201" s="162">
        <v>26299</v>
      </c>
      <c r="F201" s="166" t="str">
        <f t="shared" si="7"/>
        <v>Date check - OK</v>
      </c>
      <c r="G201" s="68"/>
      <c r="H201" s="162" t="s">
        <v>280</v>
      </c>
      <c r="I201" s="173">
        <v>21853.086195380012</v>
      </c>
      <c r="J201" s="168">
        <f>IFERROR(MIN('MP Calculations'!$E$30/I201,1),"-")</f>
        <v>0.32927792945511891</v>
      </c>
      <c r="K201" s="12"/>
      <c r="L201" s="159">
        <v>8.0616430000000001</v>
      </c>
      <c r="M201" s="187" t="s">
        <v>293</v>
      </c>
      <c r="N201" s="187">
        <v>192.78728599999999</v>
      </c>
      <c r="O201" s="186">
        <f t="shared" si="8"/>
        <v>1554.1822746708979</v>
      </c>
      <c r="P201" s="186">
        <f t="shared" si="9"/>
        <v>511.75792139948015</v>
      </c>
      <c r="Q201" s="215">
        <f>IF(P201="-",0,P201/(1+'General inputs'!$H$30)^'MP Calculations'!$C$40)</f>
        <v>1136.762244318101</v>
      </c>
    </row>
    <row r="202" spans="3:17">
      <c r="C202" s="159"/>
      <c r="D202" s="165" t="s">
        <v>282</v>
      </c>
      <c r="E202" s="162">
        <v>26299</v>
      </c>
      <c r="F202" s="166" t="str">
        <f t="shared" si="7"/>
        <v>Date check - OK</v>
      </c>
      <c r="G202" s="68"/>
      <c r="H202" s="162" t="s">
        <v>280</v>
      </c>
      <c r="I202" s="173">
        <v>21853.086195380012</v>
      </c>
      <c r="J202" s="168">
        <f>IFERROR(MIN('MP Calculations'!$E$30/I202,1),"-")</f>
        <v>0.32927792945511891</v>
      </c>
      <c r="K202" s="12"/>
      <c r="L202" s="159">
        <v>0.89893500000000004</v>
      </c>
      <c r="M202" s="187" t="s">
        <v>293</v>
      </c>
      <c r="N202" s="187">
        <v>237.97403299999999</v>
      </c>
      <c r="O202" s="186">
        <f t="shared" si="8"/>
        <v>213.923187354855</v>
      </c>
      <c r="P202" s="186">
        <f t="shared" si="9"/>
        <v>70.440184194646136</v>
      </c>
      <c r="Q202" s="215">
        <f>IF(P202="-",0,P202/(1+'General inputs'!$H$30)^'MP Calculations'!$C$40)</f>
        <v>156.4680067019041</v>
      </c>
    </row>
    <row r="203" spans="3:17">
      <c r="C203" s="159"/>
      <c r="D203" s="165" t="s">
        <v>282</v>
      </c>
      <c r="E203" s="162">
        <v>26299</v>
      </c>
      <c r="F203" s="166" t="str">
        <f t="shared" si="7"/>
        <v>Date check - OK</v>
      </c>
      <c r="G203" s="68"/>
      <c r="H203" s="162" t="s">
        <v>280</v>
      </c>
      <c r="I203" s="173">
        <v>21853.086195380012</v>
      </c>
      <c r="J203" s="168">
        <f>IFERROR(MIN('MP Calculations'!$E$30/I203,1),"-")</f>
        <v>0.32927792945511891</v>
      </c>
      <c r="K203" s="12"/>
      <c r="L203" s="159">
        <v>95.565004000000002</v>
      </c>
      <c r="M203" s="187" t="s">
        <v>293</v>
      </c>
      <c r="N203" s="187">
        <v>237.97403299999999</v>
      </c>
      <c r="O203" s="186">
        <f t="shared" si="8"/>
        <v>22741.989415541131</v>
      </c>
      <c r="P203" s="186">
        <f t="shared" si="9"/>
        <v>7488.435186439614</v>
      </c>
      <c r="Q203" s="215">
        <f>IF(P203="-",0,P203/(1+'General inputs'!$H$30)^'MP Calculations'!$C$40)</f>
        <v>16633.978748563011</v>
      </c>
    </row>
    <row r="204" spans="3:17">
      <c r="C204" s="159"/>
      <c r="D204" s="165" t="s">
        <v>283</v>
      </c>
      <c r="E204" s="162">
        <v>26299</v>
      </c>
      <c r="F204" s="166" t="str">
        <f t="shared" si="7"/>
        <v>Date check - OK</v>
      </c>
      <c r="G204" s="68"/>
      <c r="H204" s="162" t="s">
        <v>280</v>
      </c>
      <c r="I204" s="173">
        <v>21853.086195380012</v>
      </c>
      <c r="J204" s="168">
        <f>IFERROR(MIN('MP Calculations'!$E$30/I204,1),"-")</f>
        <v>0.32927792945511891</v>
      </c>
      <c r="K204" s="12"/>
      <c r="L204" s="159">
        <v>5.2926669999999998</v>
      </c>
      <c r="M204" s="187" t="s">
        <v>293</v>
      </c>
      <c r="N204" s="187">
        <v>192.78728599999999</v>
      </c>
      <c r="O204" s="186">
        <f t="shared" si="8"/>
        <v>1020.3589066317619</v>
      </c>
      <c r="P204" s="186">
        <f t="shared" si="9"/>
        <v>335.98166807679559</v>
      </c>
      <c r="Q204" s="215">
        <f>IF(P204="-",0,P204/(1+'General inputs'!$H$30)^'MP Calculations'!$C$40)</f>
        <v>746.31238537210731</v>
      </c>
    </row>
    <row r="205" spans="3:17">
      <c r="C205" s="159"/>
      <c r="D205" s="165" t="s">
        <v>283</v>
      </c>
      <c r="E205" s="162">
        <v>26299</v>
      </c>
      <c r="F205" s="166" t="str">
        <f t="shared" si="7"/>
        <v>Date check - OK</v>
      </c>
      <c r="G205" s="68"/>
      <c r="H205" s="162" t="s">
        <v>280</v>
      </c>
      <c r="I205" s="173">
        <v>21853.086195380012</v>
      </c>
      <c r="J205" s="168">
        <f>IFERROR(MIN('MP Calculations'!$E$30/I205,1),"-")</f>
        <v>0.32927792945511891</v>
      </c>
      <c r="K205" s="12"/>
      <c r="L205" s="159">
        <v>3.716561</v>
      </c>
      <c r="M205" s="187" t="s">
        <v>293</v>
      </c>
      <c r="N205" s="187">
        <v>192.78728599999999</v>
      </c>
      <c r="O205" s="186">
        <f t="shared" si="8"/>
        <v>716.505708443446</v>
      </c>
      <c r="P205" s="186">
        <f t="shared" si="9"/>
        <v>235.92951611903101</v>
      </c>
      <c r="Q205" s="215">
        <f>IF(P205="-",0,P205/(1+'General inputs'!$H$30)^'MP Calculations'!$C$40)</f>
        <v>524.06764024469032</v>
      </c>
    </row>
    <row r="206" spans="3:17">
      <c r="C206" s="159"/>
      <c r="D206" s="165" t="s">
        <v>282</v>
      </c>
      <c r="E206" s="162">
        <v>26299</v>
      </c>
      <c r="F206" s="166" t="str">
        <f t="shared" si="7"/>
        <v>Date check - OK</v>
      </c>
      <c r="G206" s="68"/>
      <c r="H206" s="162" t="s">
        <v>280</v>
      </c>
      <c r="I206" s="173">
        <v>21853.086195380012</v>
      </c>
      <c r="J206" s="168">
        <f>IFERROR(MIN('MP Calculations'!$E$30/I206,1),"-")</f>
        <v>0.32927792945511891</v>
      </c>
      <c r="K206" s="12"/>
      <c r="L206" s="159">
        <v>0.90205800000000003</v>
      </c>
      <c r="M206" s="187" t="s">
        <v>293</v>
      </c>
      <c r="N206" s="187">
        <v>237.97403299999999</v>
      </c>
      <c r="O206" s="186">
        <f t="shared" si="8"/>
        <v>214.66638025991401</v>
      </c>
      <c r="P206" s="186">
        <f t="shared" si="9"/>
        <v>70.684901215609699</v>
      </c>
      <c r="Q206" s="215">
        <f>IF(P206="-",0,P206/(1+'General inputs'!$H$30)^'MP Calculations'!$C$40)</f>
        <v>157.01159393004636</v>
      </c>
    </row>
    <row r="207" spans="3:17">
      <c r="C207" s="159"/>
      <c r="D207" s="165" t="s">
        <v>284</v>
      </c>
      <c r="E207" s="162">
        <v>26299</v>
      </c>
      <c r="F207" s="166" t="str">
        <f t="shared" si="7"/>
        <v>Date check - OK</v>
      </c>
      <c r="G207" s="68"/>
      <c r="H207" s="162" t="s">
        <v>280</v>
      </c>
      <c r="I207" s="173">
        <v>21853.086195380012</v>
      </c>
      <c r="J207" s="168">
        <f>IFERROR(MIN('MP Calculations'!$E$30/I207,1),"-")</f>
        <v>0.32927792945511891</v>
      </c>
      <c r="K207" s="12"/>
      <c r="L207" s="159">
        <v>2.498049</v>
      </c>
      <c r="M207" s="187" t="s">
        <v>293</v>
      </c>
      <c r="N207" s="187">
        <v>315.45229399999999</v>
      </c>
      <c r="O207" s="186">
        <f t="shared" si="8"/>
        <v>788.01528757440599</v>
      </c>
      <c r="P207" s="186">
        <f t="shared" si="9"/>
        <v>259.47604227148048</v>
      </c>
      <c r="Q207" s="215">
        <f>IF(P207="-",0,P207/(1+'General inputs'!$H$30)^'MP Calculations'!$C$40)</f>
        <v>576.37127990649651</v>
      </c>
    </row>
    <row r="208" spans="3:17">
      <c r="C208" s="159"/>
      <c r="D208" s="165" t="s">
        <v>283</v>
      </c>
      <c r="E208" s="162">
        <v>26299</v>
      </c>
      <c r="F208" s="166" t="str">
        <f t="shared" si="7"/>
        <v>Date check - OK</v>
      </c>
      <c r="G208" s="68"/>
      <c r="H208" s="162" t="s">
        <v>280</v>
      </c>
      <c r="I208" s="173">
        <v>21853.086195380012</v>
      </c>
      <c r="J208" s="168">
        <f>IFERROR(MIN('MP Calculations'!$E$30/I208,1),"-")</f>
        <v>0.32927792945511891</v>
      </c>
      <c r="K208" s="12"/>
      <c r="L208" s="159">
        <v>7.2173850000000002</v>
      </c>
      <c r="M208" s="187" t="s">
        <v>293</v>
      </c>
      <c r="N208" s="187">
        <v>192.78728599999999</v>
      </c>
      <c r="O208" s="186">
        <f t="shared" si="8"/>
        <v>1391.42006616711</v>
      </c>
      <c r="P208" s="186">
        <f t="shared" si="9"/>
        <v>458.16391838981053</v>
      </c>
      <c r="Q208" s="215">
        <f>IF(P208="-",0,P208/(1+'General inputs'!$H$30)^'MP Calculations'!$C$40)</f>
        <v>1017.7144746682281</v>
      </c>
    </row>
    <row r="209" spans="3:17">
      <c r="C209" s="159"/>
      <c r="D209" s="165" t="s">
        <v>283</v>
      </c>
      <c r="E209" s="162">
        <v>26299</v>
      </c>
      <c r="F209" s="166" t="str">
        <f t="shared" si="7"/>
        <v>Date check - OK</v>
      </c>
      <c r="G209" s="68"/>
      <c r="H209" s="162" t="s">
        <v>280</v>
      </c>
      <c r="I209" s="173">
        <v>21853.086195380012</v>
      </c>
      <c r="J209" s="168">
        <f>IFERROR(MIN('MP Calculations'!$E$30/I209,1),"-")</f>
        <v>0.32927792945511891</v>
      </c>
      <c r="K209" s="12"/>
      <c r="L209" s="159">
        <v>1.181708</v>
      </c>
      <c r="M209" s="187" t="s">
        <v>293</v>
      </c>
      <c r="N209" s="187">
        <v>192.78728599999999</v>
      </c>
      <c r="O209" s="186">
        <f t="shared" si="8"/>
        <v>227.81827816448799</v>
      </c>
      <c r="P209" s="186">
        <f t="shared" si="9"/>
        <v>75.015530926032937</v>
      </c>
      <c r="Q209" s="215">
        <f>IF(P209="-",0,P209/(1+'General inputs'!$H$30)^'MP Calculations'!$C$40)</f>
        <v>166.63117409300494</v>
      </c>
    </row>
    <row r="210" spans="3:17">
      <c r="C210" s="159"/>
      <c r="D210" s="165" t="s">
        <v>283</v>
      </c>
      <c r="E210" s="162">
        <v>26299</v>
      </c>
      <c r="F210" s="166" t="str">
        <f t="shared" si="7"/>
        <v>Date check - OK</v>
      </c>
      <c r="G210" s="68"/>
      <c r="H210" s="162" t="s">
        <v>280</v>
      </c>
      <c r="I210" s="173">
        <v>21853.086195380012</v>
      </c>
      <c r="J210" s="168">
        <f>IFERROR(MIN('MP Calculations'!$E$30/I210,1),"-")</f>
        <v>0.32927792945511891</v>
      </c>
      <c r="K210" s="12"/>
      <c r="L210" s="159">
        <v>11.120863999999999</v>
      </c>
      <c r="M210" s="187" t="s">
        <v>293</v>
      </c>
      <c r="N210" s="187">
        <v>192.78728599999999</v>
      </c>
      <c r="O210" s="186">
        <f t="shared" si="8"/>
        <v>2143.9611885351037</v>
      </c>
      <c r="P210" s="186">
        <f t="shared" si="9"/>
        <v>705.95910099297475</v>
      </c>
      <c r="Q210" s="215">
        <f>IF(P210="-",0,P210/(1+'General inputs'!$H$30)^'MP Calculations'!$C$40)</f>
        <v>1568.139189417886</v>
      </c>
    </row>
    <row r="211" spans="3:17">
      <c r="C211" s="159"/>
      <c r="D211" s="165" t="s">
        <v>283</v>
      </c>
      <c r="E211" s="162">
        <v>26299</v>
      </c>
      <c r="F211" s="166" t="str">
        <f t="shared" si="7"/>
        <v>Date check - OK</v>
      </c>
      <c r="G211" s="68"/>
      <c r="H211" s="162" t="s">
        <v>280</v>
      </c>
      <c r="I211" s="173">
        <v>21853.086195380012</v>
      </c>
      <c r="J211" s="168">
        <f>IFERROR(MIN('MP Calculations'!$E$30/I211,1),"-")</f>
        <v>0.32927792945511891</v>
      </c>
      <c r="K211" s="12"/>
      <c r="L211" s="159">
        <v>67.716402000000002</v>
      </c>
      <c r="M211" s="187" t="s">
        <v>293</v>
      </c>
      <c r="N211" s="187">
        <v>192.78728599999999</v>
      </c>
      <c r="O211" s="186">
        <f t="shared" si="8"/>
        <v>13054.861359264973</v>
      </c>
      <c r="P211" s="186">
        <f t="shared" si="9"/>
        <v>4298.6777177024096</v>
      </c>
      <c r="Q211" s="215">
        <f>IF(P211="-",0,P211/(1+'General inputs'!$H$30)^'MP Calculations'!$C$40)</f>
        <v>9548.6055528217712</v>
      </c>
    </row>
    <row r="212" spans="3:17">
      <c r="C212" s="159"/>
      <c r="D212" s="165" t="s">
        <v>283</v>
      </c>
      <c r="E212" s="162">
        <v>26299</v>
      </c>
      <c r="F212" s="166" t="str">
        <f t="shared" si="7"/>
        <v>Date check - OK</v>
      </c>
      <c r="G212" s="68"/>
      <c r="H212" s="162" t="s">
        <v>280</v>
      </c>
      <c r="I212" s="173">
        <v>21853.086195380012</v>
      </c>
      <c r="J212" s="168">
        <f>IFERROR(MIN('MP Calculations'!$E$30/I212,1),"-")</f>
        <v>0.32927792945511891</v>
      </c>
      <c r="K212" s="12"/>
      <c r="L212" s="159">
        <v>46.657836000000003</v>
      </c>
      <c r="M212" s="187" t="s">
        <v>293</v>
      </c>
      <c r="N212" s="187">
        <v>192.78728599999999</v>
      </c>
      <c r="O212" s="186">
        <f t="shared" si="8"/>
        <v>8995.0375730730957</v>
      </c>
      <c r="P212" s="186">
        <f t="shared" si="9"/>
        <v>2961.8673474325069</v>
      </c>
      <c r="Q212" s="215">
        <f>IF(P212="-",0,P212/(1+'General inputs'!$H$30)^'MP Calculations'!$C$40)</f>
        <v>6579.163374809068</v>
      </c>
    </row>
    <row r="213" spans="3:17">
      <c r="C213" s="159"/>
      <c r="D213" s="165" t="s">
        <v>283</v>
      </c>
      <c r="E213" s="162">
        <v>26299</v>
      </c>
      <c r="F213" s="166" t="str">
        <f t="shared" si="7"/>
        <v>Date check - OK</v>
      </c>
      <c r="G213" s="68"/>
      <c r="H213" s="162" t="s">
        <v>280</v>
      </c>
      <c r="I213" s="173">
        <v>21853.086195380012</v>
      </c>
      <c r="J213" s="168">
        <f>IFERROR(MIN('MP Calculations'!$E$30/I213,1),"-")</f>
        <v>0.32927792945511891</v>
      </c>
      <c r="K213" s="12"/>
      <c r="L213" s="159">
        <v>8.4965539999999997</v>
      </c>
      <c r="M213" s="187" t="s">
        <v>293</v>
      </c>
      <c r="N213" s="187">
        <v>192.78728599999999</v>
      </c>
      <c r="O213" s="186">
        <f t="shared" si="8"/>
        <v>1638.0275860124439</v>
      </c>
      <c r="P213" s="186">
        <f t="shared" si="9"/>
        <v>539.36633191254418</v>
      </c>
      <c r="Q213" s="215">
        <f>IF(P213="-",0,P213/(1+'General inputs'!$H$30)^'MP Calculations'!$C$40)</f>
        <v>1198.0885030520378</v>
      </c>
    </row>
    <row r="214" spans="3:17">
      <c r="C214" s="159"/>
      <c r="D214" s="165" t="s">
        <v>282</v>
      </c>
      <c r="E214" s="162">
        <v>26299</v>
      </c>
      <c r="F214" s="166" t="str">
        <f t="shared" si="7"/>
        <v>Date check - OK</v>
      </c>
      <c r="G214" s="68"/>
      <c r="H214" s="162" t="s">
        <v>280</v>
      </c>
      <c r="I214" s="173">
        <v>21853.086195380012</v>
      </c>
      <c r="J214" s="168">
        <f>IFERROR(MIN('MP Calculations'!$E$30/I214,1),"-")</f>
        <v>0.32927792945511891</v>
      </c>
      <c r="K214" s="12"/>
      <c r="L214" s="159">
        <v>4.0988499999999997</v>
      </c>
      <c r="M214" s="187" t="s">
        <v>293</v>
      </c>
      <c r="N214" s="187">
        <v>237.97403299999999</v>
      </c>
      <c r="O214" s="186">
        <f t="shared" si="8"/>
        <v>975.41986516204986</v>
      </c>
      <c r="P214" s="186">
        <f t="shared" si="9"/>
        <v>321.18423354995105</v>
      </c>
      <c r="Q214" s="215">
        <f>IF(P214="-",0,P214/(1+'General inputs'!$H$30)^'MP Calculations'!$C$40)</f>
        <v>713.44300674698331</v>
      </c>
    </row>
    <row r="215" spans="3:17">
      <c r="C215" s="159"/>
      <c r="D215" s="165" t="s">
        <v>283</v>
      </c>
      <c r="E215" s="162">
        <v>26299</v>
      </c>
      <c r="F215" s="166" t="str">
        <f t="shared" ref="F215:F278" si="10">IF(E215="","-",IF(OR(E215&lt;$E$15,E215&gt;$E$16),"ERROR - date outside of range","Date check - OK"))</f>
        <v>Date check - OK</v>
      </c>
      <c r="G215" s="68"/>
      <c r="H215" s="162" t="s">
        <v>280</v>
      </c>
      <c r="I215" s="173">
        <v>21853.086195380012</v>
      </c>
      <c r="J215" s="168">
        <f>IFERROR(MIN('MP Calculations'!$E$30/I215,1),"-")</f>
        <v>0.32927792945511891</v>
      </c>
      <c r="K215" s="12"/>
      <c r="L215" s="159">
        <v>18.540994999999999</v>
      </c>
      <c r="M215" s="187" t="s">
        <v>293</v>
      </c>
      <c r="N215" s="187">
        <v>192.78728599999999</v>
      </c>
      <c r="O215" s="186">
        <f t="shared" ref="O215:O278" si="11">IF(N215="","-",L215*N215)</f>
        <v>3574.4681057895696</v>
      </c>
      <c r="P215" s="186">
        <f t="shared" ref="P215:P278" si="12">IF(O215="-","-",IF(OR(E215&lt;$E$15,E215&gt;$E$16),0,O215*J215))</f>
        <v>1176.9934567777505</v>
      </c>
      <c r="Q215" s="215">
        <f>IF(P215="-",0,P215/(1+'General inputs'!$H$30)^'MP Calculations'!$C$40)</f>
        <v>2614.442625168429</v>
      </c>
    </row>
    <row r="216" spans="3:17">
      <c r="C216" s="159"/>
      <c r="D216" s="165" t="s">
        <v>283</v>
      </c>
      <c r="E216" s="162">
        <v>26299</v>
      </c>
      <c r="F216" s="166" t="str">
        <f t="shared" si="10"/>
        <v>Date check - OK</v>
      </c>
      <c r="G216" s="68"/>
      <c r="H216" s="162" t="s">
        <v>280</v>
      </c>
      <c r="I216" s="173">
        <v>21853.086195380012</v>
      </c>
      <c r="J216" s="168">
        <f>IFERROR(MIN('MP Calculations'!$E$30/I216,1),"-")</f>
        <v>0.32927792945511891</v>
      </c>
      <c r="K216" s="12"/>
      <c r="L216" s="159">
        <v>64.474598</v>
      </c>
      <c r="M216" s="187" t="s">
        <v>293</v>
      </c>
      <c r="N216" s="187">
        <v>192.78728599999999</v>
      </c>
      <c r="O216" s="186">
        <f t="shared" si="11"/>
        <v>12429.882764361028</v>
      </c>
      <c r="P216" s="186">
        <f t="shared" si="12"/>
        <v>4092.886060018669</v>
      </c>
      <c r="Q216" s="215">
        <f>IF(P216="-",0,P216/(1+'General inputs'!$H$30)^'MP Calculations'!$C$40)</f>
        <v>9091.4828061708213</v>
      </c>
    </row>
    <row r="217" spans="3:17">
      <c r="C217" s="159"/>
      <c r="D217" s="165" t="s">
        <v>282</v>
      </c>
      <c r="E217" s="162">
        <v>26299</v>
      </c>
      <c r="F217" s="166" t="str">
        <f t="shared" si="10"/>
        <v>Date check - OK</v>
      </c>
      <c r="G217" s="68"/>
      <c r="H217" s="162" t="s">
        <v>280</v>
      </c>
      <c r="I217" s="173">
        <v>21853.086195380012</v>
      </c>
      <c r="J217" s="168">
        <f>IFERROR(MIN('MP Calculations'!$E$30/I217,1),"-")</f>
        <v>0.32927792945511891</v>
      </c>
      <c r="K217" s="12"/>
      <c r="L217" s="159">
        <v>0.89877399999999996</v>
      </c>
      <c r="M217" s="187" t="s">
        <v>293</v>
      </c>
      <c r="N217" s="187">
        <v>237.97403299999999</v>
      </c>
      <c r="O217" s="186">
        <f t="shared" si="11"/>
        <v>213.88487353554197</v>
      </c>
      <c r="P217" s="186">
        <f t="shared" si="12"/>
        <v>70.427568299553215</v>
      </c>
      <c r="Q217" s="215">
        <f>IF(P217="-",0,P217/(1+'General inputs'!$H$30)^'MP Calculations'!$C$40)</f>
        <v>156.43998315283878</v>
      </c>
    </row>
    <row r="218" spans="3:17">
      <c r="C218" s="159"/>
      <c r="D218" s="165" t="s">
        <v>282</v>
      </c>
      <c r="E218" s="162">
        <v>26299</v>
      </c>
      <c r="F218" s="166" t="str">
        <f t="shared" si="10"/>
        <v>Date check - OK</v>
      </c>
      <c r="G218" s="68"/>
      <c r="H218" s="162" t="s">
        <v>280</v>
      </c>
      <c r="I218" s="173">
        <v>21853.086195380012</v>
      </c>
      <c r="J218" s="168">
        <f>IFERROR(MIN('MP Calculations'!$E$30/I218,1),"-")</f>
        <v>0.32927792945511891</v>
      </c>
      <c r="K218" s="12"/>
      <c r="L218" s="159">
        <v>5.3512110000000002</v>
      </c>
      <c r="M218" s="187" t="s">
        <v>293</v>
      </c>
      <c r="N218" s="187">
        <v>237.97403299999999</v>
      </c>
      <c r="O218" s="186">
        <f t="shared" si="11"/>
        <v>1273.4492631039629</v>
      </c>
      <c r="P218" s="186">
        <f t="shared" si="12"/>
        <v>419.31873662101987</v>
      </c>
      <c r="Q218" s="215">
        <f>IF(P218="-",0,P218/(1+'General inputs'!$H$30)^'MP Calculations'!$C$40)</f>
        <v>931.4280994858392</v>
      </c>
    </row>
    <row r="219" spans="3:17">
      <c r="C219" s="159"/>
      <c r="D219" s="165" t="s">
        <v>282</v>
      </c>
      <c r="E219" s="162">
        <v>26299</v>
      </c>
      <c r="F219" s="166" t="str">
        <f t="shared" si="10"/>
        <v>Date check - OK</v>
      </c>
      <c r="G219" s="68"/>
      <c r="H219" s="162" t="s">
        <v>280</v>
      </c>
      <c r="I219" s="173">
        <v>21853.086195380012</v>
      </c>
      <c r="J219" s="168">
        <f>IFERROR(MIN('MP Calculations'!$E$30/I219,1),"-")</f>
        <v>0.32927792945511891</v>
      </c>
      <c r="K219" s="12"/>
      <c r="L219" s="159">
        <v>67.135092</v>
      </c>
      <c r="M219" s="187" t="s">
        <v>293</v>
      </c>
      <c r="N219" s="187">
        <v>237.97403299999999</v>
      </c>
      <c r="O219" s="186">
        <f t="shared" si="11"/>
        <v>15976.408599066035</v>
      </c>
      <c r="P219" s="186">
        <f t="shared" si="12"/>
        <v>5260.6787436294208</v>
      </c>
      <c r="Q219" s="215">
        <f>IF(P219="-",0,P219/(1+'General inputs'!$H$30)^'MP Calculations'!$C$40)</f>
        <v>11685.487855060652</v>
      </c>
    </row>
    <row r="220" spans="3:17">
      <c r="C220" s="159"/>
      <c r="D220" s="165" t="s">
        <v>282</v>
      </c>
      <c r="E220" s="162">
        <v>26299</v>
      </c>
      <c r="F220" s="166" t="str">
        <f t="shared" si="10"/>
        <v>Date check - OK</v>
      </c>
      <c r="G220" s="68"/>
      <c r="H220" s="162" t="s">
        <v>280</v>
      </c>
      <c r="I220" s="173">
        <v>21853.086195380012</v>
      </c>
      <c r="J220" s="168">
        <f>IFERROR(MIN('MP Calculations'!$E$30/I220,1),"-")</f>
        <v>0.32927792945511891</v>
      </c>
      <c r="K220" s="12"/>
      <c r="L220" s="159">
        <v>70.415155999999996</v>
      </c>
      <c r="M220" s="187" t="s">
        <v>293</v>
      </c>
      <c r="N220" s="187">
        <v>237.97403299999999</v>
      </c>
      <c r="O220" s="186">
        <f t="shared" si="11"/>
        <v>16756.978657644147</v>
      </c>
      <c r="P220" s="186">
        <f t="shared" si="12"/>
        <v>5517.7032363126827</v>
      </c>
      <c r="Q220" s="215">
        <f>IF(P220="-",0,P220/(1+'General inputs'!$H$30)^'MP Calculations'!$C$40)</f>
        <v>12256.413534820227</v>
      </c>
    </row>
    <row r="221" spans="3:17">
      <c r="C221" s="159"/>
      <c r="D221" s="165" t="s">
        <v>282</v>
      </c>
      <c r="E221" s="162">
        <v>26299</v>
      </c>
      <c r="F221" s="166" t="str">
        <f t="shared" si="10"/>
        <v>Date check - OK</v>
      </c>
      <c r="G221" s="68"/>
      <c r="H221" s="162" t="s">
        <v>280</v>
      </c>
      <c r="I221" s="173">
        <v>21853.086195380012</v>
      </c>
      <c r="J221" s="168">
        <f>IFERROR(MIN('MP Calculations'!$E$30/I221,1),"-")</f>
        <v>0.32927792945511891</v>
      </c>
      <c r="K221" s="12"/>
      <c r="L221" s="159">
        <v>32.260894999999998</v>
      </c>
      <c r="M221" s="187" t="s">
        <v>293</v>
      </c>
      <c r="N221" s="187">
        <v>237.97403299999999</v>
      </c>
      <c r="O221" s="186">
        <f t="shared" si="11"/>
        <v>7677.2552913395339</v>
      </c>
      <c r="P221" s="186">
        <f t="shared" si="12"/>
        <v>2527.9507262306374</v>
      </c>
      <c r="Q221" s="215">
        <f>IF(P221="-",0,P221/(1+'General inputs'!$H$30)^'MP Calculations'!$C$40)</f>
        <v>5615.3091547992053</v>
      </c>
    </row>
    <row r="222" spans="3:17">
      <c r="C222" s="159"/>
      <c r="D222" s="165" t="s">
        <v>282</v>
      </c>
      <c r="E222" s="162">
        <v>26299</v>
      </c>
      <c r="F222" s="166" t="str">
        <f t="shared" si="10"/>
        <v>Date check - OK</v>
      </c>
      <c r="G222" s="68"/>
      <c r="H222" s="162" t="s">
        <v>280</v>
      </c>
      <c r="I222" s="173">
        <v>21853.086195380012</v>
      </c>
      <c r="J222" s="168">
        <f>IFERROR(MIN('MP Calculations'!$E$30/I222,1),"-")</f>
        <v>0.32927792945511891</v>
      </c>
      <c r="K222" s="12"/>
      <c r="L222" s="159">
        <v>45.49633</v>
      </c>
      <c r="M222" s="187" t="s">
        <v>293</v>
      </c>
      <c r="N222" s="187">
        <v>237.97403299999999</v>
      </c>
      <c r="O222" s="186">
        <f t="shared" si="11"/>
        <v>10826.94513679889</v>
      </c>
      <c r="P222" s="186">
        <f t="shared" si="12"/>
        <v>3565.0740769693075</v>
      </c>
      <c r="Q222" s="215">
        <f>IF(P222="-",0,P222/(1+'General inputs'!$H$30)^'MP Calculations'!$C$40)</f>
        <v>7919.0598512150927</v>
      </c>
    </row>
    <row r="223" spans="3:17">
      <c r="C223" s="159"/>
      <c r="D223" s="165" t="s">
        <v>282</v>
      </c>
      <c r="E223" s="162">
        <v>26299</v>
      </c>
      <c r="F223" s="166" t="str">
        <f t="shared" si="10"/>
        <v>Date check - OK</v>
      </c>
      <c r="G223" s="68"/>
      <c r="H223" s="162" t="s">
        <v>280</v>
      </c>
      <c r="I223" s="173">
        <v>21853.086195380012</v>
      </c>
      <c r="J223" s="168">
        <f>IFERROR(MIN('MP Calculations'!$E$30/I223,1),"-")</f>
        <v>0.32927792945511891</v>
      </c>
      <c r="K223" s="12"/>
      <c r="L223" s="159">
        <v>102.017589</v>
      </c>
      <c r="M223" s="187" t="s">
        <v>293</v>
      </c>
      <c r="N223" s="187">
        <v>237.97403299999999</v>
      </c>
      <c r="O223" s="186">
        <f t="shared" si="11"/>
        <v>24277.537091266437</v>
      </c>
      <c r="P223" s="186">
        <f t="shared" si="12"/>
        <v>7994.0571456820626</v>
      </c>
      <c r="Q223" s="215">
        <f>IF(P223="-",0,P223/(1+'General inputs'!$H$30)^'MP Calculations'!$C$40)</f>
        <v>17757.111247603105</v>
      </c>
    </row>
    <row r="224" spans="3:17">
      <c r="C224" s="159"/>
      <c r="D224" s="165" t="s">
        <v>282</v>
      </c>
      <c r="E224" s="162">
        <v>26299</v>
      </c>
      <c r="F224" s="166" t="str">
        <f t="shared" si="10"/>
        <v>Date check - OK</v>
      </c>
      <c r="G224" s="68"/>
      <c r="H224" s="162" t="s">
        <v>280</v>
      </c>
      <c r="I224" s="173">
        <v>21853.086195380012</v>
      </c>
      <c r="J224" s="168">
        <f>IFERROR(MIN('MP Calculations'!$E$30/I224,1),"-")</f>
        <v>0.32927792945511891</v>
      </c>
      <c r="K224" s="12"/>
      <c r="L224" s="159">
        <v>198.568544</v>
      </c>
      <c r="M224" s="187" t="s">
        <v>293</v>
      </c>
      <c r="N224" s="187">
        <v>237.97403299999999</v>
      </c>
      <c r="O224" s="186">
        <f t="shared" si="11"/>
        <v>47254.157242617948</v>
      </c>
      <c r="P224" s="186">
        <f t="shared" si="12"/>
        <v>15559.75105499585</v>
      </c>
      <c r="Q224" s="215">
        <f>IF(P224="-",0,P224/(1+'General inputs'!$H$30)^'MP Calculations'!$C$40)</f>
        <v>34562.703947870912</v>
      </c>
    </row>
    <row r="225" spans="3:17">
      <c r="C225" s="159"/>
      <c r="D225" s="165" t="s">
        <v>282</v>
      </c>
      <c r="E225" s="162">
        <v>26299</v>
      </c>
      <c r="F225" s="166" t="str">
        <f t="shared" si="10"/>
        <v>Date check - OK</v>
      </c>
      <c r="G225" s="68"/>
      <c r="H225" s="162" t="s">
        <v>280</v>
      </c>
      <c r="I225" s="173">
        <v>21853.086195380012</v>
      </c>
      <c r="J225" s="168">
        <f>IFERROR(MIN('MP Calculations'!$E$30/I225,1),"-")</f>
        <v>0.32927792945511891</v>
      </c>
      <c r="K225" s="12"/>
      <c r="L225" s="159">
        <v>7.4449069999999997</v>
      </c>
      <c r="M225" s="187" t="s">
        <v>293</v>
      </c>
      <c r="N225" s="187">
        <v>237.97403299999999</v>
      </c>
      <c r="O225" s="186">
        <f t="shared" si="11"/>
        <v>1771.6945440999309</v>
      </c>
      <c r="P225" s="186">
        <f t="shared" si="12"/>
        <v>583.37991110815608</v>
      </c>
      <c r="Q225" s="215">
        <f>IF(P225="-",0,P225/(1+'General inputs'!$H$30)^'MP Calculations'!$C$40)</f>
        <v>1295.8553826150417</v>
      </c>
    </row>
    <row r="226" spans="3:17">
      <c r="C226" s="159"/>
      <c r="D226" s="165" t="s">
        <v>282</v>
      </c>
      <c r="E226" s="162">
        <v>26299</v>
      </c>
      <c r="F226" s="166" t="str">
        <f t="shared" si="10"/>
        <v>Date check - OK</v>
      </c>
      <c r="G226" s="68"/>
      <c r="H226" s="162" t="s">
        <v>280</v>
      </c>
      <c r="I226" s="173">
        <v>21853.086195380012</v>
      </c>
      <c r="J226" s="168">
        <f>IFERROR(MIN('MP Calculations'!$E$30/I226,1),"-")</f>
        <v>0.32927792945511891</v>
      </c>
      <c r="K226" s="12"/>
      <c r="L226" s="159">
        <v>42.269556000000001</v>
      </c>
      <c r="M226" s="187" t="s">
        <v>293</v>
      </c>
      <c r="N226" s="187">
        <v>237.97403299999999</v>
      </c>
      <c r="O226" s="186">
        <f t="shared" si="11"/>
        <v>10059.056714439348</v>
      </c>
      <c r="P226" s="186">
        <f t="shared" si="12"/>
        <v>3312.2253672021998</v>
      </c>
      <c r="Q226" s="215">
        <f>IF(P226="-",0,P226/(1+'General inputs'!$H$30)^'MP Calculations'!$C$40)</f>
        <v>7357.4097921368175</v>
      </c>
    </row>
    <row r="227" spans="3:17">
      <c r="C227" s="159"/>
      <c r="D227" s="165" t="s">
        <v>282</v>
      </c>
      <c r="E227" s="162">
        <v>26299</v>
      </c>
      <c r="F227" s="166" t="str">
        <f t="shared" si="10"/>
        <v>Date check - OK</v>
      </c>
      <c r="G227" s="68"/>
      <c r="H227" s="162" t="s">
        <v>280</v>
      </c>
      <c r="I227" s="173">
        <v>21853.086195380012</v>
      </c>
      <c r="J227" s="168">
        <f>IFERROR(MIN('MP Calculations'!$E$30/I227,1),"-")</f>
        <v>0.32927792945511891</v>
      </c>
      <c r="K227" s="12"/>
      <c r="L227" s="159">
        <v>65.366566000000006</v>
      </c>
      <c r="M227" s="187" t="s">
        <v>293</v>
      </c>
      <c r="N227" s="187">
        <v>237.97403299999999</v>
      </c>
      <c r="O227" s="186">
        <f t="shared" si="11"/>
        <v>15555.545334380678</v>
      </c>
      <c r="P227" s="186">
        <f t="shared" si="12"/>
        <v>5122.0977592501049</v>
      </c>
      <c r="Q227" s="215">
        <f>IF(P227="-",0,P227/(1+'General inputs'!$H$30)^'MP Calculations'!$C$40)</f>
        <v>11377.659438077788</v>
      </c>
    </row>
    <row r="228" spans="3:17">
      <c r="C228" s="159"/>
      <c r="D228" s="165" t="s">
        <v>282</v>
      </c>
      <c r="E228" s="162">
        <v>26299</v>
      </c>
      <c r="F228" s="166" t="str">
        <f t="shared" si="10"/>
        <v>Date check - OK</v>
      </c>
      <c r="G228" s="68"/>
      <c r="H228" s="162" t="s">
        <v>280</v>
      </c>
      <c r="I228" s="173">
        <v>21853.086195380012</v>
      </c>
      <c r="J228" s="168">
        <f>IFERROR(MIN('MP Calculations'!$E$30/I228,1),"-")</f>
        <v>0.32927792945511891</v>
      </c>
      <c r="K228" s="12"/>
      <c r="L228" s="159">
        <v>91.606825000000001</v>
      </c>
      <c r="M228" s="187" t="s">
        <v>293</v>
      </c>
      <c r="N228" s="187">
        <v>237.97403299999999</v>
      </c>
      <c r="O228" s="186">
        <f t="shared" si="11"/>
        <v>21800.045595575226</v>
      </c>
      <c r="P228" s="186">
        <f t="shared" si="12"/>
        <v>7178.2738757381949</v>
      </c>
      <c r="Q228" s="215">
        <f>IF(P228="-",0,P228/(1+'General inputs'!$H$30)^'MP Calculations'!$C$40)</f>
        <v>15945.020839148721</v>
      </c>
    </row>
    <row r="229" spans="3:17">
      <c r="C229" s="159"/>
      <c r="D229" s="165" t="s">
        <v>282</v>
      </c>
      <c r="E229" s="162">
        <v>26299</v>
      </c>
      <c r="F229" s="166" t="str">
        <f t="shared" si="10"/>
        <v>Date check - OK</v>
      </c>
      <c r="G229" s="68"/>
      <c r="H229" s="162" t="s">
        <v>280</v>
      </c>
      <c r="I229" s="173">
        <v>21853.086195380012</v>
      </c>
      <c r="J229" s="168">
        <f>IFERROR(MIN('MP Calculations'!$E$30/I229,1),"-")</f>
        <v>0.32927792945511891</v>
      </c>
      <c r="K229" s="12"/>
      <c r="L229" s="159">
        <v>0.78849499999999995</v>
      </c>
      <c r="M229" s="187" t="s">
        <v>293</v>
      </c>
      <c r="N229" s="187">
        <v>237.97403299999999</v>
      </c>
      <c r="O229" s="186">
        <f t="shared" si="11"/>
        <v>187.64133515033498</v>
      </c>
      <c r="P229" s="186">
        <f t="shared" si="12"/>
        <v>61.786150318496325</v>
      </c>
      <c r="Q229" s="215">
        <f>IF(P229="-",0,P229/(1+'General inputs'!$H$30)^'MP Calculations'!$C$40)</f>
        <v>137.24489639898084</v>
      </c>
    </row>
    <row r="230" spans="3:17">
      <c r="C230" s="159"/>
      <c r="D230" s="165" t="s">
        <v>282</v>
      </c>
      <c r="E230" s="162">
        <v>26299</v>
      </c>
      <c r="F230" s="166" t="str">
        <f t="shared" si="10"/>
        <v>Date check - OK</v>
      </c>
      <c r="G230" s="68"/>
      <c r="H230" s="162" t="s">
        <v>280</v>
      </c>
      <c r="I230" s="173">
        <v>21853.086195380012</v>
      </c>
      <c r="J230" s="168">
        <f>IFERROR(MIN('MP Calculations'!$E$30/I230,1),"-")</f>
        <v>0.32927792945511891</v>
      </c>
      <c r="K230" s="12"/>
      <c r="L230" s="159">
        <v>132.02212299999999</v>
      </c>
      <c r="M230" s="187" t="s">
        <v>293</v>
      </c>
      <c r="N230" s="187">
        <v>237.97403299999999</v>
      </c>
      <c r="O230" s="186">
        <f t="shared" si="11"/>
        <v>31417.837055532058</v>
      </c>
      <c r="P230" s="186">
        <f t="shared" si="12"/>
        <v>10345.200333603905</v>
      </c>
      <c r="Q230" s="215">
        <f>IF(P230="-",0,P230/(1+'General inputs'!$H$30)^'MP Calculations'!$C$40)</f>
        <v>22979.67976145506</v>
      </c>
    </row>
    <row r="231" spans="3:17">
      <c r="C231" s="159"/>
      <c r="D231" s="165" t="s">
        <v>282</v>
      </c>
      <c r="E231" s="162">
        <v>26299</v>
      </c>
      <c r="F231" s="166" t="str">
        <f t="shared" si="10"/>
        <v>Date check - OK</v>
      </c>
      <c r="G231" s="68"/>
      <c r="H231" s="162" t="s">
        <v>280</v>
      </c>
      <c r="I231" s="173">
        <v>21853.086195380012</v>
      </c>
      <c r="J231" s="168">
        <f>IFERROR(MIN('MP Calculations'!$E$30/I231,1),"-")</f>
        <v>0.32927792945511891</v>
      </c>
      <c r="K231" s="12"/>
      <c r="L231" s="159">
        <v>30.147537</v>
      </c>
      <c r="M231" s="187" t="s">
        <v>293</v>
      </c>
      <c r="N231" s="187">
        <v>237.97403299999999</v>
      </c>
      <c r="O231" s="186">
        <f t="shared" si="11"/>
        <v>7174.3309649067205</v>
      </c>
      <c r="P231" s="186">
        <f t="shared" si="12"/>
        <v>2362.3488453502305</v>
      </c>
      <c r="Q231" s="215">
        <f>IF(P231="-",0,P231/(1+'General inputs'!$H$30)^'MP Calculations'!$C$40)</f>
        <v>5247.4595174978185</v>
      </c>
    </row>
    <row r="232" spans="3:17">
      <c r="C232" s="159"/>
      <c r="D232" s="165" t="s">
        <v>282</v>
      </c>
      <c r="E232" s="162">
        <v>26299</v>
      </c>
      <c r="F232" s="166" t="str">
        <f t="shared" si="10"/>
        <v>Date check - OK</v>
      </c>
      <c r="G232" s="68"/>
      <c r="H232" s="162" t="s">
        <v>280</v>
      </c>
      <c r="I232" s="173">
        <v>21853.086195380012</v>
      </c>
      <c r="J232" s="168">
        <f>IFERROR(MIN('MP Calculations'!$E$30/I232,1),"-")</f>
        <v>0.32927792945511891</v>
      </c>
      <c r="K232" s="12"/>
      <c r="L232" s="159">
        <v>67.97354</v>
      </c>
      <c r="M232" s="187" t="s">
        <v>293</v>
      </c>
      <c r="N232" s="187">
        <v>237.97403299999999</v>
      </c>
      <c r="O232" s="186">
        <f t="shared" si="11"/>
        <v>16175.93745108682</v>
      </c>
      <c r="P232" s="186">
        <f t="shared" si="12"/>
        <v>5326.3791908893818</v>
      </c>
      <c r="Q232" s="215">
        <f>IF(P232="-",0,P232/(1+'General inputs'!$H$30)^'MP Calculations'!$C$40)</f>
        <v>11831.427536220244</v>
      </c>
    </row>
    <row r="233" spans="3:17">
      <c r="C233" s="159"/>
      <c r="D233" s="165" t="s">
        <v>282</v>
      </c>
      <c r="E233" s="162">
        <v>26299</v>
      </c>
      <c r="F233" s="166" t="str">
        <f t="shared" si="10"/>
        <v>Date check - OK</v>
      </c>
      <c r="G233" s="68"/>
      <c r="H233" s="162" t="s">
        <v>280</v>
      </c>
      <c r="I233" s="173">
        <v>21853.086195380012</v>
      </c>
      <c r="J233" s="168">
        <f>IFERROR(MIN('MP Calculations'!$E$30/I233,1),"-")</f>
        <v>0.32927792945511891</v>
      </c>
      <c r="K233" s="12"/>
      <c r="L233" s="159">
        <v>3.6515360000000001</v>
      </c>
      <c r="M233" s="187" t="s">
        <v>293</v>
      </c>
      <c r="N233" s="187">
        <v>237.97403299999999</v>
      </c>
      <c r="O233" s="186">
        <f t="shared" si="11"/>
        <v>868.97074856468805</v>
      </c>
      <c r="P233" s="186">
        <f t="shared" si="12"/>
        <v>286.13288884444523</v>
      </c>
      <c r="Q233" s="215">
        <f>IF(P233="-",0,P233/(1+'General inputs'!$H$30)^'MP Calculations'!$C$40)</f>
        <v>635.58384012219358</v>
      </c>
    </row>
    <row r="234" spans="3:17">
      <c r="C234" s="159"/>
      <c r="D234" s="165" t="s">
        <v>282</v>
      </c>
      <c r="E234" s="162">
        <v>26299</v>
      </c>
      <c r="F234" s="166" t="str">
        <f t="shared" si="10"/>
        <v>Date check - OK</v>
      </c>
      <c r="G234" s="68"/>
      <c r="H234" s="162" t="s">
        <v>280</v>
      </c>
      <c r="I234" s="173">
        <v>21853.086195380012</v>
      </c>
      <c r="J234" s="168">
        <f>IFERROR(MIN('MP Calculations'!$E$30/I234,1),"-")</f>
        <v>0.32927792945511891</v>
      </c>
      <c r="K234" s="12"/>
      <c r="L234" s="159">
        <v>137.25149300000001</v>
      </c>
      <c r="M234" s="187" t="s">
        <v>293</v>
      </c>
      <c r="N234" s="187">
        <v>237.97403299999999</v>
      </c>
      <c r="O234" s="186">
        <f t="shared" si="11"/>
        <v>32662.29132448127</v>
      </c>
      <c r="P234" s="186">
        <f t="shared" si="12"/>
        <v>10754.971658585086</v>
      </c>
      <c r="Q234" s="215">
        <f>IF(P234="-",0,P234/(1+'General inputs'!$H$30)^'MP Calculations'!$C$40)</f>
        <v>23889.90030043367</v>
      </c>
    </row>
    <row r="235" spans="3:17">
      <c r="C235" s="159"/>
      <c r="D235" s="165" t="s">
        <v>282</v>
      </c>
      <c r="E235" s="162">
        <v>26299</v>
      </c>
      <c r="F235" s="166" t="str">
        <f t="shared" si="10"/>
        <v>Date check - OK</v>
      </c>
      <c r="G235" s="68"/>
      <c r="H235" s="162" t="s">
        <v>280</v>
      </c>
      <c r="I235" s="173">
        <v>21853.086195380012</v>
      </c>
      <c r="J235" s="168">
        <f>IFERROR(MIN('MP Calculations'!$E$30/I235,1),"-")</f>
        <v>0.32927792945511891</v>
      </c>
      <c r="K235" s="12"/>
      <c r="L235" s="159">
        <v>47.980125000000001</v>
      </c>
      <c r="M235" s="187" t="s">
        <v>293</v>
      </c>
      <c r="N235" s="187">
        <v>237.97403299999999</v>
      </c>
      <c r="O235" s="186">
        <f t="shared" si="11"/>
        <v>11418.023850094125</v>
      </c>
      <c r="P235" s="186">
        <f t="shared" si="12"/>
        <v>3759.7032518281585</v>
      </c>
      <c r="Q235" s="215">
        <f>IF(P235="-",0,P235/(1+'General inputs'!$H$30)^'MP Calculations'!$C$40)</f>
        <v>8351.387497492251</v>
      </c>
    </row>
    <row r="236" spans="3:17">
      <c r="C236" s="159"/>
      <c r="D236" s="165" t="s">
        <v>282</v>
      </c>
      <c r="E236" s="162">
        <v>26299</v>
      </c>
      <c r="F236" s="166" t="str">
        <f t="shared" si="10"/>
        <v>Date check - OK</v>
      </c>
      <c r="G236" s="68"/>
      <c r="H236" s="162" t="s">
        <v>280</v>
      </c>
      <c r="I236" s="173">
        <v>21853.086195380012</v>
      </c>
      <c r="J236" s="168">
        <f>IFERROR(MIN('MP Calculations'!$E$30/I236,1),"-")</f>
        <v>0.32927792945511891</v>
      </c>
      <c r="K236" s="12"/>
      <c r="L236" s="159">
        <v>86.359882999999996</v>
      </c>
      <c r="M236" s="187" t="s">
        <v>293</v>
      </c>
      <c r="N236" s="187">
        <v>237.97403299999999</v>
      </c>
      <c r="O236" s="186">
        <f t="shared" si="11"/>
        <v>20551.409646918139</v>
      </c>
      <c r="P236" s="186">
        <f t="shared" si="12"/>
        <v>6767.1256159211607</v>
      </c>
      <c r="Q236" s="215">
        <f>IF(P236="-",0,P236/(1+'General inputs'!$H$30)^'MP Calculations'!$C$40)</f>
        <v>15031.741729957841</v>
      </c>
    </row>
    <row r="237" spans="3:17">
      <c r="C237" s="159"/>
      <c r="D237" s="165" t="s">
        <v>282</v>
      </c>
      <c r="E237" s="162">
        <v>26299</v>
      </c>
      <c r="F237" s="166" t="str">
        <f t="shared" si="10"/>
        <v>Date check - OK</v>
      </c>
      <c r="G237" s="68"/>
      <c r="H237" s="162" t="s">
        <v>280</v>
      </c>
      <c r="I237" s="173">
        <v>21853.086195380012</v>
      </c>
      <c r="J237" s="168">
        <f>IFERROR(MIN('MP Calculations'!$E$30/I237,1),"-")</f>
        <v>0.32927792945511891</v>
      </c>
      <c r="K237" s="12"/>
      <c r="L237" s="159">
        <v>0.75605900000000004</v>
      </c>
      <c r="M237" s="187" t="s">
        <v>293</v>
      </c>
      <c r="N237" s="187">
        <v>237.97403299999999</v>
      </c>
      <c r="O237" s="186">
        <f t="shared" si="11"/>
        <v>179.92240941594702</v>
      </c>
      <c r="P237" s="186">
        <f t="shared" si="12"/>
        <v>59.244478435059222</v>
      </c>
      <c r="Q237" s="215">
        <f>IF(P237="-",0,P237/(1+'General inputs'!$H$30)^'MP Calculations'!$C$40)</f>
        <v>131.59910858853522</v>
      </c>
    </row>
    <row r="238" spans="3:17">
      <c r="C238" s="159"/>
      <c r="D238" s="165" t="s">
        <v>282</v>
      </c>
      <c r="E238" s="162">
        <v>26299</v>
      </c>
      <c r="F238" s="166" t="str">
        <f t="shared" si="10"/>
        <v>Date check - OK</v>
      </c>
      <c r="G238" s="68"/>
      <c r="H238" s="162" t="s">
        <v>280</v>
      </c>
      <c r="I238" s="173">
        <v>21853.086195380012</v>
      </c>
      <c r="J238" s="168">
        <f>IFERROR(MIN('MP Calculations'!$E$30/I238,1),"-")</f>
        <v>0.32927792945511891</v>
      </c>
      <c r="K238" s="12"/>
      <c r="L238" s="159">
        <v>11.995279999999999</v>
      </c>
      <c r="M238" s="187" t="s">
        <v>293</v>
      </c>
      <c r="N238" s="187">
        <v>237.97403299999999</v>
      </c>
      <c r="O238" s="186">
        <f t="shared" si="11"/>
        <v>2854.5651585642399</v>
      </c>
      <c r="P238" s="186">
        <f t="shared" si="12"/>
        <v>939.94530490675618</v>
      </c>
      <c r="Q238" s="215">
        <f>IF(P238="-",0,P238/(1+'General inputs'!$H$30)^'MP Calculations'!$C$40)</f>
        <v>2087.8901716266651</v>
      </c>
    </row>
    <row r="239" spans="3:17">
      <c r="C239" s="159"/>
      <c r="D239" s="165" t="s">
        <v>282</v>
      </c>
      <c r="E239" s="162">
        <v>26299</v>
      </c>
      <c r="F239" s="166" t="str">
        <f t="shared" si="10"/>
        <v>Date check - OK</v>
      </c>
      <c r="G239" s="68"/>
      <c r="H239" s="162" t="s">
        <v>280</v>
      </c>
      <c r="I239" s="173">
        <v>21853.086195380012</v>
      </c>
      <c r="J239" s="168">
        <f>IFERROR(MIN('MP Calculations'!$E$30/I239,1),"-")</f>
        <v>0.32927792945511891</v>
      </c>
      <c r="K239" s="12"/>
      <c r="L239" s="159">
        <v>28.495657999999999</v>
      </c>
      <c r="M239" s="187" t="s">
        <v>293</v>
      </c>
      <c r="N239" s="187">
        <v>237.97403299999999</v>
      </c>
      <c r="O239" s="186">
        <f t="shared" si="11"/>
        <v>6781.2266572487133</v>
      </c>
      <c r="P239" s="186">
        <f t="shared" si="12"/>
        <v>2232.9082728647136</v>
      </c>
      <c r="Q239" s="215">
        <f>IF(P239="-",0,P239/(1+'General inputs'!$H$30)^'MP Calculations'!$C$40)</f>
        <v>4959.9345969610331</v>
      </c>
    </row>
    <row r="240" spans="3:17">
      <c r="C240" s="159"/>
      <c r="D240" s="165" t="s">
        <v>282</v>
      </c>
      <c r="E240" s="162">
        <v>26299</v>
      </c>
      <c r="F240" s="166" t="str">
        <f t="shared" si="10"/>
        <v>Date check - OK</v>
      </c>
      <c r="G240" s="68"/>
      <c r="H240" s="162" t="s">
        <v>280</v>
      </c>
      <c r="I240" s="173">
        <v>21853.086195380012</v>
      </c>
      <c r="J240" s="168">
        <f>IFERROR(MIN('MP Calculations'!$E$30/I240,1),"-")</f>
        <v>0.32927792945511891</v>
      </c>
      <c r="K240" s="12"/>
      <c r="L240" s="159">
        <v>69.855790999999996</v>
      </c>
      <c r="M240" s="187" t="s">
        <v>293</v>
      </c>
      <c r="N240" s="187">
        <v>237.97403299999999</v>
      </c>
      <c r="O240" s="186">
        <f t="shared" si="11"/>
        <v>16623.864312675101</v>
      </c>
      <c r="P240" s="186">
        <f t="shared" si="12"/>
        <v>5473.8716204205011</v>
      </c>
      <c r="Q240" s="215">
        <f>IF(P240="-",0,P240/(1+'General inputs'!$H$30)^'MP Calculations'!$C$40)</f>
        <v>12159.050848342551</v>
      </c>
    </row>
    <row r="241" spans="3:17">
      <c r="C241" s="159"/>
      <c r="D241" s="165" t="s">
        <v>282</v>
      </c>
      <c r="E241" s="162">
        <v>26299</v>
      </c>
      <c r="F241" s="166" t="str">
        <f t="shared" si="10"/>
        <v>Date check - OK</v>
      </c>
      <c r="G241" s="68"/>
      <c r="H241" s="162" t="s">
        <v>280</v>
      </c>
      <c r="I241" s="173">
        <v>21853.086195380012</v>
      </c>
      <c r="J241" s="168">
        <f>IFERROR(MIN('MP Calculations'!$E$30/I241,1),"-")</f>
        <v>0.32927792945511891</v>
      </c>
      <c r="K241" s="12"/>
      <c r="L241" s="159">
        <v>82.956604999999996</v>
      </c>
      <c r="M241" s="187" t="s">
        <v>293</v>
      </c>
      <c r="N241" s="187">
        <v>237.97403299999999</v>
      </c>
      <c r="O241" s="186">
        <f t="shared" si="11"/>
        <v>19741.517855837963</v>
      </c>
      <c r="P241" s="186">
        <f t="shared" si="12"/>
        <v>6500.446123871583</v>
      </c>
      <c r="Q241" s="215">
        <f>IF(P241="-",0,P241/(1+'General inputs'!$H$30)^'MP Calculations'!$C$40)</f>
        <v>14439.369506257081</v>
      </c>
    </row>
    <row r="242" spans="3:17">
      <c r="C242" s="159"/>
      <c r="D242" s="165" t="s">
        <v>282</v>
      </c>
      <c r="E242" s="162">
        <v>26299</v>
      </c>
      <c r="F242" s="166" t="str">
        <f t="shared" si="10"/>
        <v>Date check - OK</v>
      </c>
      <c r="G242" s="68"/>
      <c r="H242" s="162" t="s">
        <v>280</v>
      </c>
      <c r="I242" s="173">
        <v>21853.086195380012</v>
      </c>
      <c r="J242" s="168">
        <f>IFERROR(MIN('MP Calculations'!$E$30/I242,1),"-")</f>
        <v>0.32927792945511891</v>
      </c>
      <c r="K242" s="12"/>
      <c r="L242" s="159">
        <v>68.814183999999997</v>
      </c>
      <c r="M242" s="187" t="s">
        <v>293</v>
      </c>
      <c r="N242" s="187">
        <v>237.97403299999999</v>
      </c>
      <c r="O242" s="186">
        <f t="shared" si="11"/>
        <v>16375.98889408407</v>
      </c>
      <c r="P242" s="186">
        <f t="shared" si="12"/>
        <v>5392.2517158240253</v>
      </c>
      <c r="Q242" s="215">
        <f>IF(P242="-",0,P242/(1+'General inputs'!$H$30)^'MP Calculations'!$C$40)</f>
        <v>11977.749451626714</v>
      </c>
    </row>
    <row r="243" spans="3:17">
      <c r="C243" s="159"/>
      <c r="D243" s="165" t="s">
        <v>282</v>
      </c>
      <c r="E243" s="162">
        <v>26299</v>
      </c>
      <c r="F243" s="166" t="str">
        <f t="shared" si="10"/>
        <v>Date check - OK</v>
      </c>
      <c r="G243" s="68"/>
      <c r="H243" s="162" t="s">
        <v>280</v>
      </c>
      <c r="I243" s="173">
        <v>21853.086195380012</v>
      </c>
      <c r="J243" s="168">
        <f>IFERROR(MIN('MP Calculations'!$E$30/I243,1),"-")</f>
        <v>0.32927792945511891</v>
      </c>
      <c r="K243" s="12"/>
      <c r="L243" s="159">
        <v>9.1198569999999997</v>
      </c>
      <c r="M243" s="187" t="s">
        <v>293</v>
      </c>
      <c r="N243" s="187">
        <v>237.97403299999999</v>
      </c>
      <c r="O243" s="186">
        <f t="shared" si="11"/>
        <v>2170.2891506732808</v>
      </c>
      <c r="P243" s="186">
        <f t="shared" si="12"/>
        <v>714.62831785260653</v>
      </c>
      <c r="Q243" s="215">
        <f>IF(P243="-",0,P243/(1+'General inputs'!$H$30)^'MP Calculations'!$C$40)</f>
        <v>1587.3960255150894</v>
      </c>
    </row>
    <row r="244" spans="3:17">
      <c r="C244" s="159"/>
      <c r="D244" s="165" t="s">
        <v>282</v>
      </c>
      <c r="E244" s="162">
        <v>26299</v>
      </c>
      <c r="F244" s="166" t="str">
        <f t="shared" si="10"/>
        <v>Date check - OK</v>
      </c>
      <c r="G244" s="68"/>
      <c r="H244" s="162" t="s">
        <v>280</v>
      </c>
      <c r="I244" s="173">
        <v>21853.086195380012</v>
      </c>
      <c r="J244" s="168">
        <f>IFERROR(MIN('MP Calculations'!$E$30/I244,1),"-")</f>
        <v>0.32927792945511891</v>
      </c>
      <c r="K244" s="12"/>
      <c r="L244" s="159">
        <v>74.766997000000003</v>
      </c>
      <c r="M244" s="187" t="s">
        <v>293</v>
      </c>
      <c r="N244" s="187">
        <v>237.97403299999999</v>
      </c>
      <c r="O244" s="186">
        <f t="shared" si="11"/>
        <v>17792.603811388901</v>
      </c>
      <c r="P244" s="186">
        <f t="shared" si="12"/>
        <v>5858.7117426293944</v>
      </c>
      <c r="Q244" s="215">
        <f>IF(P244="-",0,P244/(1+'General inputs'!$H$30)^'MP Calculations'!$C$40)</f>
        <v>13013.89198070744</v>
      </c>
    </row>
    <row r="245" spans="3:17">
      <c r="C245" s="159"/>
      <c r="D245" s="165" t="s">
        <v>282</v>
      </c>
      <c r="E245" s="162">
        <v>26299</v>
      </c>
      <c r="F245" s="166" t="str">
        <f t="shared" si="10"/>
        <v>Date check - OK</v>
      </c>
      <c r="G245" s="68"/>
      <c r="H245" s="162" t="s">
        <v>280</v>
      </c>
      <c r="I245" s="173">
        <v>21853.086195380012</v>
      </c>
      <c r="J245" s="168">
        <f>IFERROR(MIN('MP Calculations'!$E$30/I245,1),"-")</f>
        <v>0.32927792945511891</v>
      </c>
      <c r="K245" s="12"/>
      <c r="L245" s="159">
        <v>2.398914</v>
      </c>
      <c r="M245" s="187" t="s">
        <v>293</v>
      </c>
      <c r="N245" s="187">
        <v>237.97403299999999</v>
      </c>
      <c r="O245" s="186">
        <f t="shared" si="11"/>
        <v>570.87923940016196</v>
      </c>
      <c r="P245" s="186">
        <f t="shared" si="12"/>
        <v>187.97793391859847</v>
      </c>
      <c r="Q245" s="215">
        <f>IF(P245="-",0,P245/(1+'General inputs'!$H$30)^'MP Calculations'!$C$40)</f>
        <v>417.55331790317598</v>
      </c>
    </row>
    <row r="246" spans="3:17">
      <c r="C246" s="159"/>
      <c r="D246" s="165" t="s">
        <v>282</v>
      </c>
      <c r="E246" s="162">
        <v>26299</v>
      </c>
      <c r="F246" s="166" t="str">
        <f t="shared" si="10"/>
        <v>Date check - OK</v>
      </c>
      <c r="G246" s="68"/>
      <c r="H246" s="162" t="s">
        <v>280</v>
      </c>
      <c r="I246" s="173">
        <v>21853.086195380012</v>
      </c>
      <c r="J246" s="168">
        <f>IFERROR(MIN('MP Calculations'!$E$30/I246,1),"-")</f>
        <v>0.32927792945511891</v>
      </c>
      <c r="K246" s="12"/>
      <c r="L246" s="159">
        <v>10.995646000000001</v>
      </c>
      <c r="M246" s="187" t="s">
        <v>293</v>
      </c>
      <c r="N246" s="187">
        <v>237.97403299999999</v>
      </c>
      <c r="O246" s="186">
        <f t="shared" si="11"/>
        <v>2616.6782240603179</v>
      </c>
      <c r="P246" s="186">
        <f t="shared" si="12"/>
        <v>861.6143876688792</v>
      </c>
      <c r="Q246" s="215">
        <f>IF(P246="-",0,P246/(1+'General inputs'!$H$30)^'MP Calculations'!$C$40)</f>
        <v>1913.8945663699433</v>
      </c>
    </row>
    <row r="247" spans="3:17">
      <c r="C247" s="159"/>
      <c r="D247" s="165" t="s">
        <v>282</v>
      </c>
      <c r="E247" s="162">
        <v>26299</v>
      </c>
      <c r="F247" s="166" t="str">
        <f t="shared" si="10"/>
        <v>Date check - OK</v>
      </c>
      <c r="G247" s="68"/>
      <c r="H247" s="162" t="s">
        <v>280</v>
      </c>
      <c r="I247" s="173">
        <v>21853.086195380012</v>
      </c>
      <c r="J247" s="168">
        <f>IFERROR(MIN('MP Calculations'!$E$30/I247,1),"-")</f>
        <v>0.32927792945511891</v>
      </c>
      <c r="K247" s="12"/>
      <c r="L247" s="159">
        <v>12.909765999999999</v>
      </c>
      <c r="M247" s="187" t="s">
        <v>293</v>
      </c>
      <c r="N247" s="187">
        <v>237.97403299999999</v>
      </c>
      <c r="O247" s="186">
        <f t="shared" si="11"/>
        <v>3072.1890801062777</v>
      </c>
      <c r="P247" s="186">
        <f t="shared" si="12"/>
        <v>1011.6040591920216</v>
      </c>
      <c r="Q247" s="215">
        <f>IF(P247="-",0,P247/(1+'General inputs'!$H$30)^'MP Calculations'!$C$40)</f>
        <v>2247.0649746733784</v>
      </c>
    </row>
    <row r="248" spans="3:17">
      <c r="C248" s="159"/>
      <c r="D248" s="165" t="s">
        <v>282</v>
      </c>
      <c r="E248" s="162">
        <v>26299</v>
      </c>
      <c r="F248" s="166" t="str">
        <f t="shared" si="10"/>
        <v>Date check - OK</v>
      </c>
      <c r="G248" s="68"/>
      <c r="H248" s="162" t="s">
        <v>280</v>
      </c>
      <c r="I248" s="173">
        <v>21853.086195380012</v>
      </c>
      <c r="J248" s="168">
        <f>IFERROR(MIN('MP Calculations'!$E$30/I248,1),"-")</f>
        <v>0.32927792945511891</v>
      </c>
      <c r="K248" s="12"/>
      <c r="L248" s="159">
        <v>47.888894999999998</v>
      </c>
      <c r="M248" s="187" t="s">
        <v>293</v>
      </c>
      <c r="N248" s="187">
        <v>237.97403299999999</v>
      </c>
      <c r="O248" s="186">
        <f t="shared" si="11"/>
        <v>11396.313479063534</v>
      </c>
      <c r="P248" s="186">
        <f t="shared" si="12"/>
        <v>3752.5545058075031</v>
      </c>
      <c r="Q248" s="215">
        <f>IF(P248="-",0,P248/(1+'General inputs'!$H$30)^'MP Calculations'!$C$40)</f>
        <v>8335.5080665529549</v>
      </c>
    </row>
    <row r="249" spans="3:17">
      <c r="C249" s="159"/>
      <c r="D249" s="165" t="s">
        <v>282</v>
      </c>
      <c r="E249" s="162">
        <v>26299</v>
      </c>
      <c r="F249" s="166" t="str">
        <f t="shared" si="10"/>
        <v>Date check - OK</v>
      </c>
      <c r="G249" s="68"/>
      <c r="H249" s="162" t="s">
        <v>280</v>
      </c>
      <c r="I249" s="173">
        <v>21853.086195380012</v>
      </c>
      <c r="J249" s="168">
        <f>IFERROR(MIN('MP Calculations'!$E$30/I249,1),"-")</f>
        <v>0.32927792945511891</v>
      </c>
      <c r="K249" s="12"/>
      <c r="L249" s="159">
        <v>2.0230389999999998</v>
      </c>
      <c r="M249" s="187" t="s">
        <v>293</v>
      </c>
      <c r="N249" s="187">
        <v>237.97403299999999</v>
      </c>
      <c r="O249" s="186">
        <f t="shared" si="11"/>
        <v>481.43074974628695</v>
      </c>
      <c r="P249" s="186">
        <f t="shared" si="12"/>
        <v>158.52452045248288</v>
      </c>
      <c r="Q249" s="215">
        <f>IF(P249="-",0,P249/(1+'General inputs'!$H$30)^'MP Calculations'!$C$40)</f>
        <v>352.12877439438148</v>
      </c>
    </row>
    <row r="250" spans="3:17">
      <c r="C250" s="159"/>
      <c r="D250" s="165" t="s">
        <v>282</v>
      </c>
      <c r="E250" s="162">
        <v>26299</v>
      </c>
      <c r="F250" s="166" t="str">
        <f t="shared" si="10"/>
        <v>Date check - OK</v>
      </c>
      <c r="G250" s="68"/>
      <c r="H250" s="162" t="s">
        <v>280</v>
      </c>
      <c r="I250" s="173">
        <v>21853.086195380012</v>
      </c>
      <c r="J250" s="168">
        <f>IFERROR(MIN('MP Calculations'!$E$30/I250,1),"-")</f>
        <v>0.32927792945511891</v>
      </c>
      <c r="K250" s="12"/>
      <c r="L250" s="159">
        <v>132.98878999999999</v>
      </c>
      <c r="M250" s="187" t="s">
        <v>293</v>
      </c>
      <c r="N250" s="187">
        <v>237.97403299999999</v>
      </c>
      <c r="O250" s="186">
        <f t="shared" si="11"/>
        <v>31647.878700090067</v>
      </c>
      <c r="P250" s="186">
        <f t="shared" si="12"/>
        <v>10420.947970012417</v>
      </c>
      <c r="Q250" s="215">
        <f>IF(P250="-",0,P250/(1+'General inputs'!$H$30)^'MP Calculations'!$C$40)</f>
        <v>23147.937153407212</v>
      </c>
    </row>
    <row r="251" spans="3:17">
      <c r="C251" s="159"/>
      <c r="D251" s="165" t="s">
        <v>282</v>
      </c>
      <c r="E251" s="162">
        <v>26299</v>
      </c>
      <c r="F251" s="166" t="str">
        <f t="shared" si="10"/>
        <v>Date check - OK</v>
      </c>
      <c r="G251" s="68"/>
      <c r="H251" s="162" t="s">
        <v>280</v>
      </c>
      <c r="I251" s="173">
        <v>21853.086195380012</v>
      </c>
      <c r="J251" s="168">
        <f>IFERROR(MIN('MP Calculations'!$E$30/I251,1),"-")</f>
        <v>0.32927792945511891</v>
      </c>
      <c r="K251" s="12"/>
      <c r="L251" s="159">
        <v>130.56586999999999</v>
      </c>
      <c r="M251" s="187" t="s">
        <v>293</v>
      </c>
      <c r="N251" s="187">
        <v>237.97403299999999</v>
      </c>
      <c r="O251" s="186">
        <f t="shared" si="11"/>
        <v>31071.286656053708</v>
      </c>
      <c r="P251" s="186">
        <f t="shared" si="12"/>
        <v>10231.08893561183</v>
      </c>
      <c r="Q251" s="215">
        <f>IF(P251="-",0,P251/(1+'General inputs'!$H$30)^'MP Calculations'!$C$40)</f>
        <v>22726.205367685023</v>
      </c>
    </row>
    <row r="252" spans="3:17">
      <c r="C252" s="159"/>
      <c r="D252" s="165" t="s">
        <v>282</v>
      </c>
      <c r="E252" s="162">
        <v>26299</v>
      </c>
      <c r="F252" s="166" t="str">
        <f t="shared" si="10"/>
        <v>Date check - OK</v>
      </c>
      <c r="G252" s="68"/>
      <c r="H252" s="162" t="s">
        <v>280</v>
      </c>
      <c r="I252" s="173">
        <v>21853.086195380012</v>
      </c>
      <c r="J252" s="168">
        <f>IFERROR(MIN('MP Calculations'!$E$30/I252,1),"-")</f>
        <v>0.32927792945511891</v>
      </c>
      <c r="K252" s="12"/>
      <c r="L252" s="159">
        <v>13.203621999999999</v>
      </c>
      <c r="M252" s="187" t="s">
        <v>293</v>
      </c>
      <c r="N252" s="187">
        <v>237.97403299999999</v>
      </c>
      <c r="O252" s="186">
        <f t="shared" si="11"/>
        <v>3142.1191775475259</v>
      </c>
      <c r="P252" s="186">
        <f t="shared" si="12"/>
        <v>1034.6304968840705</v>
      </c>
      <c r="Q252" s="215">
        <f>IF(P252="-",0,P252/(1+'General inputs'!$H$30)^'MP Calculations'!$C$40)</f>
        <v>2298.2133475561727</v>
      </c>
    </row>
    <row r="253" spans="3:17">
      <c r="C253" s="159"/>
      <c r="D253" s="165" t="s">
        <v>282</v>
      </c>
      <c r="E253" s="162">
        <v>26299</v>
      </c>
      <c r="F253" s="166" t="str">
        <f t="shared" si="10"/>
        <v>Date check - OK</v>
      </c>
      <c r="G253" s="68"/>
      <c r="H253" s="162" t="s">
        <v>280</v>
      </c>
      <c r="I253" s="173">
        <v>21853.086195380012</v>
      </c>
      <c r="J253" s="168">
        <f>IFERROR(MIN('MP Calculations'!$E$30/I253,1),"-")</f>
        <v>0.32927792945511891</v>
      </c>
      <c r="K253" s="12"/>
      <c r="L253" s="159">
        <v>57.777293</v>
      </c>
      <c r="M253" s="187" t="s">
        <v>293</v>
      </c>
      <c r="N253" s="187">
        <v>237.97403299999999</v>
      </c>
      <c r="O253" s="186">
        <f t="shared" si="11"/>
        <v>13749.495431032668</v>
      </c>
      <c r="P253" s="186">
        <f t="shared" si="12"/>
        <v>4527.4053865830547</v>
      </c>
      <c r="Q253" s="215">
        <f>IF(P253="-",0,P253/(1+'General inputs'!$H$30)^'MP Calculations'!$C$40)</f>
        <v>10056.675808976039</v>
      </c>
    </row>
    <row r="254" spans="3:17">
      <c r="C254" s="159"/>
      <c r="D254" s="165" t="s">
        <v>282</v>
      </c>
      <c r="E254" s="162">
        <v>26299</v>
      </c>
      <c r="F254" s="166" t="str">
        <f t="shared" si="10"/>
        <v>Date check - OK</v>
      </c>
      <c r="G254" s="68"/>
      <c r="H254" s="162" t="s">
        <v>280</v>
      </c>
      <c r="I254" s="173">
        <v>21853.086195380012</v>
      </c>
      <c r="J254" s="168">
        <f>IFERROR(MIN('MP Calculations'!$E$30/I254,1),"-")</f>
        <v>0.32927792945511891</v>
      </c>
      <c r="K254" s="12"/>
      <c r="L254" s="159">
        <v>56.546360999999997</v>
      </c>
      <c r="M254" s="187" t="s">
        <v>293</v>
      </c>
      <c r="N254" s="187">
        <v>237.97403299999999</v>
      </c>
      <c r="O254" s="186">
        <f t="shared" si="11"/>
        <v>13456.565578643911</v>
      </c>
      <c r="P254" s="186">
        <f t="shared" si="12"/>
        <v>4430.9500513128914</v>
      </c>
      <c r="Q254" s="215">
        <f>IF(P254="-",0,P254/(1+'General inputs'!$H$30)^'MP Calculations'!$C$40)</f>
        <v>9842.4206332118429</v>
      </c>
    </row>
    <row r="255" spans="3:17">
      <c r="C255" s="159"/>
      <c r="D255" s="165" t="s">
        <v>282</v>
      </c>
      <c r="E255" s="162">
        <v>26299</v>
      </c>
      <c r="F255" s="166" t="str">
        <f t="shared" si="10"/>
        <v>Date check - OK</v>
      </c>
      <c r="G255" s="68"/>
      <c r="H255" s="162" t="s">
        <v>280</v>
      </c>
      <c r="I255" s="173">
        <v>21853.086195380012</v>
      </c>
      <c r="J255" s="168">
        <f>IFERROR(MIN('MP Calculations'!$E$30/I255,1),"-")</f>
        <v>0.32927792945511891</v>
      </c>
      <c r="K255" s="12"/>
      <c r="L255" s="159">
        <v>82.947725000000005</v>
      </c>
      <c r="M255" s="187" t="s">
        <v>293</v>
      </c>
      <c r="N255" s="187">
        <v>237.97403299999999</v>
      </c>
      <c r="O255" s="186">
        <f t="shared" si="11"/>
        <v>19739.404646424926</v>
      </c>
      <c r="P255" s="186">
        <f t="shared" si="12"/>
        <v>6499.7502906515529</v>
      </c>
      <c r="Q255" s="215">
        <f>IF(P255="-",0,P255/(1+'General inputs'!$H$30)^'MP Calculations'!$C$40)</f>
        <v>14437.823859575718</v>
      </c>
    </row>
    <row r="256" spans="3:17">
      <c r="C256" s="159"/>
      <c r="D256" s="165" t="s">
        <v>282</v>
      </c>
      <c r="E256" s="162">
        <v>26299</v>
      </c>
      <c r="F256" s="166" t="str">
        <f t="shared" si="10"/>
        <v>Date check - OK</v>
      </c>
      <c r="G256" s="68"/>
      <c r="H256" s="162" t="s">
        <v>280</v>
      </c>
      <c r="I256" s="173">
        <v>21853.086195380012</v>
      </c>
      <c r="J256" s="168">
        <f>IFERROR(MIN('MP Calculations'!$E$30/I256,1),"-")</f>
        <v>0.32927792945511891</v>
      </c>
      <c r="K256" s="12"/>
      <c r="L256" s="159">
        <v>69.197778</v>
      </c>
      <c r="M256" s="187" t="s">
        <v>293</v>
      </c>
      <c r="N256" s="187">
        <v>237.97403299999999</v>
      </c>
      <c r="O256" s="186">
        <f t="shared" si="11"/>
        <v>16467.274305298673</v>
      </c>
      <c r="P256" s="186">
        <f t="shared" si="12"/>
        <v>5422.3099870182286</v>
      </c>
      <c r="Q256" s="215">
        <f>IF(P256="-",0,P256/(1+'General inputs'!$H$30)^'MP Calculations'!$C$40)</f>
        <v>12044.517558956844</v>
      </c>
    </row>
    <row r="257" spans="3:17">
      <c r="C257" s="159"/>
      <c r="D257" s="165" t="s">
        <v>282</v>
      </c>
      <c r="E257" s="162">
        <v>26299</v>
      </c>
      <c r="F257" s="166" t="str">
        <f t="shared" si="10"/>
        <v>Date check - OK</v>
      </c>
      <c r="G257" s="68"/>
      <c r="H257" s="162" t="s">
        <v>280</v>
      </c>
      <c r="I257" s="173">
        <v>21853.086195380012</v>
      </c>
      <c r="J257" s="168">
        <f>IFERROR(MIN('MP Calculations'!$E$30/I257,1),"-")</f>
        <v>0.32927792945511891</v>
      </c>
      <c r="K257" s="12"/>
      <c r="L257" s="159">
        <v>50.280813000000002</v>
      </c>
      <c r="M257" s="187" t="s">
        <v>293</v>
      </c>
      <c r="N257" s="187">
        <v>237.97403299999999</v>
      </c>
      <c r="O257" s="186">
        <f t="shared" si="11"/>
        <v>11965.527852128829</v>
      </c>
      <c r="P257" s="186">
        <f t="shared" si="12"/>
        <v>3939.984235986537</v>
      </c>
      <c r="Q257" s="215">
        <f>IF(P257="-",0,P257/(1+'General inputs'!$H$30)^'MP Calculations'!$C$40)</f>
        <v>8751.8436655166242</v>
      </c>
    </row>
    <row r="258" spans="3:17">
      <c r="C258" s="159"/>
      <c r="D258" s="165" t="s">
        <v>282</v>
      </c>
      <c r="E258" s="162">
        <v>26299</v>
      </c>
      <c r="F258" s="166" t="str">
        <f t="shared" si="10"/>
        <v>Date check - OK</v>
      </c>
      <c r="G258" s="68"/>
      <c r="H258" s="162" t="s">
        <v>280</v>
      </c>
      <c r="I258" s="173">
        <v>21853.086195380012</v>
      </c>
      <c r="J258" s="168">
        <f>IFERROR(MIN('MP Calculations'!$E$30/I258,1),"-")</f>
        <v>0.32927792945511891</v>
      </c>
      <c r="K258" s="12"/>
      <c r="L258" s="159">
        <v>176.07692599999999</v>
      </c>
      <c r="M258" s="187" t="s">
        <v>293</v>
      </c>
      <c r="N258" s="187">
        <v>237.97403299999999</v>
      </c>
      <c r="O258" s="186">
        <f t="shared" si="11"/>
        <v>41901.736198462553</v>
      </c>
      <c r="P258" s="186">
        <f t="shared" si="12"/>
        <v>13797.316936004356</v>
      </c>
      <c r="Q258" s="215">
        <f>IF(P258="-",0,P258/(1+'General inputs'!$H$30)^'MP Calculations'!$C$40)</f>
        <v>30647.828416313379</v>
      </c>
    </row>
    <row r="259" spans="3:17">
      <c r="C259" s="159"/>
      <c r="D259" s="165" t="s">
        <v>282</v>
      </c>
      <c r="E259" s="162">
        <v>26299</v>
      </c>
      <c r="F259" s="166" t="str">
        <f t="shared" si="10"/>
        <v>Date check - OK</v>
      </c>
      <c r="G259" s="68"/>
      <c r="H259" s="162" t="s">
        <v>280</v>
      </c>
      <c r="I259" s="173">
        <v>21853.086195380012</v>
      </c>
      <c r="J259" s="168">
        <f>IFERROR(MIN('MP Calculations'!$E$30/I259,1),"-")</f>
        <v>0.32927792945511891</v>
      </c>
      <c r="K259" s="12"/>
      <c r="L259" s="159">
        <v>0.700071</v>
      </c>
      <c r="M259" s="187" t="s">
        <v>293</v>
      </c>
      <c r="N259" s="187">
        <v>237.97403299999999</v>
      </c>
      <c r="O259" s="186">
        <f t="shared" si="11"/>
        <v>166.598719256343</v>
      </c>
      <c r="P259" s="186">
        <f t="shared" si="12"/>
        <v>54.857281326603271</v>
      </c>
      <c r="Q259" s="215">
        <f>IF(P259="-",0,P259/(1+'General inputs'!$H$30)^'MP Calculations'!$C$40)</f>
        <v>121.85387588625284</v>
      </c>
    </row>
    <row r="260" spans="3:17">
      <c r="C260" s="159"/>
      <c r="D260" s="165" t="s">
        <v>282</v>
      </c>
      <c r="E260" s="162">
        <v>26299</v>
      </c>
      <c r="F260" s="166" t="str">
        <f t="shared" si="10"/>
        <v>Date check - OK</v>
      </c>
      <c r="G260" s="68"/>
      <c r="H260" s="162" t="s">
        <v>280</v>
      </c>
      <c r="I260" s="173">
        <v>21853.086195380012</v>
      </c>
      <c r="J260" s="168">
        <f>IFERROR(MIN('MP Calculations'!$E$30/I260,1),"-")</f>
        <v>0.32927792945511891</v>
      </c>
      <c r="K260" s="12"/>
      <c r="L260" s="159">
        <v>91.169888</v>
      </c>
      <c r="M260" s="187" t="s">
        <v>293</v>
      </c>
      <c r="N260" s="187">
        <v>237.97403299999999</v>
      </c>
      <c r="O260" s="186">
        <f t="shared" si="11"/>
        <v>21696.065935518302</v>
      </c>
      <c r="P260" s="186">
        <f t="shared" si="12"/>
        <v>7144.0356685692041</v>
      </c>
      <c r="Q260" s="215">
        <f>IF(P260="-",0,P260/(1+'General inputs'!$H$30)^'MP Calculations'!$C$40)</f>
        <v>15868.967885993809</v>
      </c>
    </row>
    <row r="261" spans="3:17">
      <c r="C261" s="159"/>
      <c r="D261" s="165" t="s">
        <v>282</v>
      </c>
      <c r="E261" s="162">
        <v>26299</v>
      </c>
      <c r="F261" s="166" t="str">
        <f t="shared" si="10"/>
        <v>Date check - OK</v>
      </c>
      <c r="G261" s="68"/>
      <c r="H261" s="162" t="s">
        <v>280</v>
      </c>
      <c r="I261" s="173">
        <v>21853.086195380012</v>
      </c>
      <c r="J261" s="168">
        <f>IFERROR(MIN('MP Calculations'!$E$30/I261,1),"-")</f>
        <v>0.32927792945511891</v>
      </c>
      <c r="K261" s="12"/>
      <c r="L261" s="159">
        <v>50.661081000000003</v>
      </c>
      <c r="M261" s="187" t="s">
        <v>293</v>
      </c>
      <c r="N261" s="187">
        <v>237.97403299999999</v>
      </c>
      <c r="O261" s="186">
        <f t="shared" si="11"/>
        <v>12056.021761709673</v>
      </c>
      <c r="P261" s="186">
        <f t="shared" si="12"/>
        <v>3969.7818831616164</v>
      </c>
      <c r="Q261" s="215">
        <f>IF(P261="-",0,P261/(1+'General inputs'!$H$30)^'MP Calculations'!$C$40)</f>
        <v>8818.0328515784859</v>
      </c>
    </row>
    <row r="262" spans="3:17">
      <c r="C262" s="159"/>
      <c r="D262" s="165" t="s">
        <v>282</v>
      </c>
      <c r="E262" s="162">
        <v>26299</v>
      </c>
      <c r="F262" s="166" t="str">
        <f t="shared" si="10"/>
        <v>Date check - OK</v>
      </c>
      <c r="G262" s="68"/>
      <c r="H262" s="162" t="s">
        <v>280</v>
      </c>
      <c r="I262" s="173">
        <v>21853.086195380012</v>
      </c>
      <c r="J262" s="168">
        <f>IFERROR(MIN('MP Calculations'!$E$30/I262,1),"-")</f>
        <v>0.32927792945511891</v>
      </c>
      <c r="K262" s="12"/>
      <c r="L262" s="159">
        <v>68.372466000000003</v>
      </c>
      <c r="M262" s="187" t="s">
        <v>293</v>
      </c>
      <c r="N262" s="187">
        <v>237.97403299999999</v>
      </c>
      <c r="O262" s="186">
        <f t="shared" si="11"/>
        <v>16270.871480175378</v>
      </c>
      <c r="P262" s="186">
        <f t="shared" si="12"/>
        <v>5357.638871422494</v>
      </c>
      <c r="Q262" s="215">
        <f>IF(P262="-",0,P262/(1+'General inputs'!$H$30)^'MP Calculations'!$C$40)</f>
        <v>11900.864320906083</v>
      </c>
    </row>
    <row r="263" spans="3:17">
      <c r="C263" s="159"/>
      <c r="D263" s="165" t="s">
        <v>282</v>
      </c>
      <c r="E263" s="162">
        <v>26299</v>
      </c>
      <c r="F263" s="166" t="str">
        <f t="shared" si="10"/>
        <v>Date check - OK</v>
      </c>
      <c r="G263" s="68"/>
      <c r="H263" s="162" t="s">
        <v>280</v>
      </c>
      <c r="I263" s="173">
        <v>21853.086195380012</v>
      </c>
      <c r="J263" s="168">
        <f>IFERROR(MIN('MP Calculations'!$E$30/I263,1),"-")</f>
        <v>0.32927792945511891</v>
      </c>
      <c r="K263" s="12"/>
      <c r="L263" s="159">
        <v>29.227460000000001</v>
      </c>
      <c r="M263" s="187" t="s">
        <v>293</v>
      </c>
      <c r="N263" s="187">
        <v>237.97403299999999</v>
      </c>
      <c r="O263" s="186">
        <f t="shared" si="11"/>
        <v>6955.3765305461802</v>
      </c>
      <c r="P263" s="186">
        <f t="shared" si="12"/>
        <v>2290.2519825589748</v>
      </c>
      <c r="Q263" s="215">
        <f>IF(P263="-",0,P263/(1+'General inputs'!$H$30)^'MP Calculations'!$C$40)</f>
        <v>5087.3115488435024</v>
      </c>
    </row>
    <row r="264" spans="3:17">
      <c r="C264" s="159"/>
      <c r="D264" s="165" t="s">
        <v>282</v>
      </c>
      <c r="E264" s="162">
        <v>26299</v>
      </c>
      <c r="F264" s="166" t="str">
        <f t="shared" si="10"/>
        <v>Date check - OK</v>
      </c>
      <c r="G264" s="68"/>
      <c r="H264" s="162" t="s">
        <v>280</v>
      </c>
      <c r="I264" s="173">
        <v>21853.086195380012</v>
      </c>
      <c r="J264" s="168">
        <f>IFERROR(MIN('MP Calculations'!$E$30/I264,1),"-")</f>
        <v>0.32927792945511891</v>
      </c>
      <c r="K264" s="12"/>
      <c r="L264" s="159">
        <v>134.58307199999999</v>
      </c>
      <c r="M264" s="187" t="s">
        <v>293</v>
      </c>
      <c r="N264" s="187">
        <v>237.97403299999999</v>
      </c>
      <c r="O264" s="186">
        <f t="shared" si="11"/>
        <v>32027.276417369372</v>
      </c>
      <c r="P264" s="186">
        <f t="shared" si="12"/>
        <v>10545.875264798146</v>
      </c>
      <c r="Q264" s="215">
        <f>IF(P264="-",0,P264/(1+'General inputs'!$H$30)^'MP Calculations'!$C$40)</f>
        <v>23425.436779810374</v>
      </c>
    </row>
    <row r="265" spans="3:17">
      <c r="C265" s="159"/>
      <c r="D265" s="165" t="s">
        <v>282</v>
      </c>
      <c r="E265" s="162">
        <v>26299</v>
      </c>
      <c r="F265" s="166" t="str">
        <f t="shared" si="10"/>
        <v>Date check - OK</v>
      </c>
      <c r="G265" s="68"/>
      <c r="H265" s="162" t="s">
        <v>280</v>
      </c>
      <c r="I265" s="173">
        <v>21853.086195380012</v>
      </c>
      <c r="J265" s="168">
        <f>IFERROR(MIN('MP Calculations'!$E$30/I265,1),"-")</f>
        <v>0.32927792945511891</v>
      </c>
      <c r="K265" s="12"/>
      <c r="L265" s="159">
        <v>76.879499999999993</v>
      </c>
      <c r="M265" s="187" t="s">
        <v>293</v>
      </c>
      <c r="N265" s="187">
        <v>237.97403299999999</v>
      </c>
      <c r="O265" s="186">
        <f t="shared" si="11"/>
        <v>18295.324670023499</v>
      </c>
      <c r="P265" s="186">
        <f t="shared" si="12"/>
        <v>6024.2466260544943</v>
      </c>
      <c r="Q265" s="215">
        <f>IF(P265="-",0,P265/(1+'General inputs'!$H$30)^'MP Calculations'!$C$40)</f>
        <v>13381.592797297952</v>
      </c>
    </row>
    <row r="266" spans="3:17">
      <c r="C266" s="159"/>
      <c r="D266" s="165" t="s">
        <v>282</v>
      </c>
      <c r="E266" s="162">
        <v>26299</v>
      </c>
      <c r="F266" s="166" t="str">
        <f t="shared" si="10"/>
        <v>Date check - OK</v>
      </c>
      <c r="G266" s="68"/>
      <c r="H266" s="162" t="s">
        <v>280</v>
      </c>
      <c r="I266" s="173">
        <v>21853.086195380012</v>
      </c>
      <c r="J266" s="168">
        <f>IFERROR(MIN('MP Calculations'!$E$30/I266,1),"-")</f>
        <v>0.32927792945511891</v>
      </c>
      <c r="K266" s="12"/>
      <c r="L266" s="159">
        <v>12.857689000000001</v>
      </c>
      <c r="M266" s="187" t="s">
        <v>293</v>
      </c>
      <c r="N266" s="187">
        <v>237.97403299999999</v>
      </c>
      <c r="O266" s="186">
        <f t="shared" si="11"/>
        <v>3059.7961063897369</v>
      </c>
      <c r="P266" s="186">
        <f t="shared" si="12"/>
        <v>1007.5233264668473</v>
      </c>
      <c r="Q266" s="215">
        <f>IF(P266="-",0,P266/(1+'General inputs'!$H$30)^'MP Calculations'!$C$40)</f>
        <v>2238.0004879362782</v>
      </c>
    </row>
    <row r="267" spans="3:17">
      <c r="C267" s="159"/>
      <c r="D267" s="165" t="s">
        <v>282</v>
      </c>
      <c r="E267" s="162">
        <v>26299</v>
      </c>
      <c r="F267" s="166" t="str">
        <f t="shared" si="10"/>
        <v>Date check - OK</v>
      </c>
      <c r="G267" s="68"/>
      <c r="H267" s="162" t="s">
        <v>280</v>
      </c>
      <c r="I267" s="173">
        <v>21853.086195380012</v>
      </c>
      <c r="J267" s="168">
        <f>IFERROR(MIN('MP Calculations'!$E$30/I267,1),"-")</f>
        <v>0.32927792945511891</v>
      </c>
      <c r="K267" s="12"/>
      <c r="L267" s="159">
        <v>0.71001800000000004</v>
      </c>
      <c r="M267" s="187" t="s">
        <v>293</v>
      </c>
      <c r="N267" s="187">
        <v>237.97403299999999</v>
      </c>
      <c r="O267" s="186">
        <f t="shared" si="11"/>
        <v>168.96584696259401</v>
      </c>
      <c r="P267" s="186">
        <f t="shared" si="12"/>
        <v>55.636724236473448</v>
      </c>
      <c r="Q267" s="215">
        <f>IF(P267="-",0,P267/(1+'General inputs'!$H$30)^'MP Calculations'!$C$40)</f>
        <v>123.58524385241708</v>
      </c>
    </row>
    <row r="268" spans="3:17">
      <c r="C268" s="159"/>
      <c r="D268" s="165" t="s">
        <v>282</v>
      </c>
      <c r="E268" s="162">
        <v>26299</v>
      </c>
      <c r="F268" s="166" t="str">
        <f t="shared" si="10"/>
        <v>Date check - OK</v>
      </c>
      <c r="G268" s="68"/>
      <c r="H268" s="162" t="s">
        <v>280</v>
      </c>
      <c r="I268" s="173">
        <v>21853.086195380012</v>
      </c>
      <c r="J268" s="168">
        <f>IFERROR(MIN('MP Calculations'!$E$30/I268,1),"-")</f>
        <v>0.32927792945511891</v>
      </c>
      <c r="K268" s="12"/>
      <c r="L268" s="159">
        <v>132.44722100000001</v>
      </c>
      <c r="M268" s="187" t="s">
        <v>293</v>
      </c>
      <c r="N268" s="187">
        <v>237.97403299999999</v>
      </c>
      <c r="O268" s="186">
        <f t="shared" si="11"/>
        <v>31518.999341012295</v>
      </c>
      <c r="P268" s="186">
        <f t="shared" si="12"/>
        <v>10378.510841505786</v>
      </c>
      <c r="Q268" s="215">
        <f>IF(P268="-",0,P268/(1+'General inputs'!$H$30)^'MP Calculations'!$C$40)</f>
        <v>23053.672026427466</v>
      </c>
    </row>
    <row r="269" spans="3:17">
      <c r="C269" s="159"/>
      <c r="D269" s="165" t="s">
        <v>282</v>
      </c>
      <c r="E269" s="162">
        <v>26299</v>
      </c>
      <c r="F269" s="166" t="str">
        <f t="shared" si="10"/>
        <v>Date check - OK</v>
      </c>
      <c r="G269" s="68"/>
      <c r="H269" s="162" t="s">
        <v>280</v>
      </c>
      <c r="I269" s="173">
        <v>21853.086195380012</v>
      </c>
      <c r="J269" s="168">
        <f>IFERROR(MIN('MP Calculations'!$E$30/I269,1),"-")</f>
        <v>0.32927792945511891</v>
      </c>
      <c r="K269" s="12"/>
      <c r="L269" s="159">
        <v>98.746807000000004</v>
      </c>
      <c r="M269" s="187" t="s">
        <v>293</v>
      </c>
      <c r="N269" s="187">
        <v>237.97403299999999</v>
      </c>
      <c r="O269" s="186">
        <f t="shared" si="11"/>
        <v>23499.175907662629</v>
      </c>
      <c r="P269" s="186">
        <f t="shared" si="12"/>
        <v>7737.7599867767649</v>
      </c>
      <c r="Q269" s="215">
        <f>IF(P269="-",0,P269/(1+'General inputs'!$H$30)^'MP Calculations'!$C$40)</f>
        <v>17187.801186367898</v>
      </c>
    </row>
    <row r="270" spans="3:17">
      <c r="C270" s="159"/>
      <c r="D270" s="165" t="s">
        <v>282</v>
      </c>
      <c r="E270" s="162">
        <v>26299</v>
      </c>
      <c r="F270" s="166" t="str">
        <f t="shared" si="10"/>
        <v>Date check - OK</v>
      </c>
      <c r="G270" s="68"/>
      <c r="H270" s="162" t="s">
        <v>280</v>
      </c>
      <c r="I270" s="173">
        <v>21853.086195380012</v>
      </c>
      <c r="J270" s="168">
        <f>IFERROR(MIN('MP Calculations'!$E$30/I270,1),"-")</f>
        <v>0.32927792945511891</v>
      </c>
      <c r="K270" s="12"/>
      <c r="L270" s="159">
        <v>67.000382000000002</v>
      </c>
      <c r="M270" s="187" t="s">
        <v>293</v>
      </c>
      <c r="N270" s="187">
        <v>237.97403299999999</v>
      </c>
      <c r="O270" s="186">
        <f t="shared" si="11"/>
        <v>15944.351117080605</v>
      </c>
      <c r="P270" s="186">
        <f t="shared" si="12"/>
        <v>5250.122922337714</v>
      </c>
      <c r="Q270" s="215">
        <f>IF(P270="-",0,P270/(1+'General inputs'!$H$30)^'MP Calculations'!$C$40)</f>
        <v>11662.040325280619</v>
      </c>
    </row>
    <row r="271" spans="3:17">
      <c r="C271" s="159"/>
      <c r="D271" s="165" t="s">
        <v>282</v>
      </c>
      <c r="E271" s="162">
        <v>26299</v>
      </c>
      <c r="F271" s="166" t="str">
        <f t="shared" si="10"/>
        <v>Date check - OK</v>
      </c>
      <c r="G271" s="68"/>
      <c r="H271" s="162" t="s">
        <v>280</v>
      </c>
      <c r="I271" s="173">
        <v>21853.086195380012</v>
      </c>
      <c r="J271" s="168">
        <f>IFERROR(MIN('MP Calculations'!$E$30/I271,1),"-")</f>
        <v>0.32927792945511891</v>
      </c>
      <c r="K271" s="12"/>
      <c r="L271" s="159">
        <v>7.0468479999999998</v>
      </c>
      <c r="M271" s="187" t="s">
        <v>293</v>
      </c>
      <c r="N271" s="187">
        <v>237.97403299999999</v>
      </c>
      <c r="O271" s="186">
        <f t="shared" si="11"/>
        <v>1676.9668384979839</v>
      </c>
      <c r="P271" s="186">
        <f t="shared" si="12"/>
        <v>552.18816834551296</v>
      </c>
      <c r="Q271" s="215">
        <f>IF(P271="-",0,P271/(1+'General inputs'!$H$30)^'MP Calculations'!$C$40)</f>
        <v>1226.5695073518102</v>
      </c>
    </row>
    <row r="272" spans="3:17">
      <c r="C272" s="159"/>
      <c r="D272" s="165" t="s">
        <v>282</v>
      </c>
      <c r="E272" s="162">
        <v>26299</v>
      </c>
      <c r="F272" s="166" t="str">
        <f t="shared" si="10"/>
        <v>Date check - OK</v>
      </c>
      <c r="G272" s="68"/>
      <c r="H272" s="162" t="s">
        <v>280</v>
      </c>
      <c r="I272" s="173">
        <v>21853.086195380012</v>
      </c>
      <c r="J272" s="168">
        <f>IFERROR(MIN('MP Calculations'!$E$30/I272,1),"-")</f>
        <v>0.32927792945511891</v>
      </c>
      <c r="K272" s="12"/>
      <c r="L272" s="159">
        <v>0.599715</v>
      </c>
      <c r="M272" s="187" t="s">
        <v>293</v>
      </c>
      <c r="N272" s="187">
        <v>237.97403299999999</v>
      </c>
      <c r="O272" s="186">
        <f t="shared" si="11"/>
        <v>142.716597200595</v>
      </c>
      <c r="P272" s="186">
        <f t="shared" si="12"/>
        <v>46.993425625092144</v>
      </c>
      <c r="Q272" s="215">
        <f>IF(P272="-",0,P272/(1+'General inputs'!$H$30)^'MP Calculations'!$C$40)</f>
        <v>104.385979675096</v>
      </c>
    </row>
    <row r="273" spans="3:17">
      <c r="C273" s="159"/>
      <c r="D273" s="165" t="s">
        <v>282</v>
      </c>
      <c r="E273" s="162">
        <v>26299</v>
      </c>
      <c r="F273" s="166" t="str">
        <f t="shared" si="10"/>
        <v>Date check - OK</v>
      </c>
      <c r="G273" s="68"/>
      <c r="H273" s="162" t="s">
        <v>280</v>
      </c>
      <c r="I273" s="173">
        <v>21853.086195380012</v>
      </c>
      <c r="J273" s="168">
        <f>IFERROR(MIN('MP Calculations'!$E$30/I273,1),"-")</f>
        <v>0.32927792945511891</v>
      </c>
      <c r="K273" s="12"/>
      <c r="L273" s="159">
        <v>33.964492</v>
      </c>
      <c r="M273" s="187" t="s">
        <v>293</v>
      </c>
      <c r="N273" s="187">
        <v>237.97403299999999</v>
      </c>
      <c r="O273" s="186">
        <f t="shared" si="11"/>
        <v>8082.6671400362357</v>
      </c>
      <c r="P273" s="186">
        <f t="shared" si="12"/>
        <v>2661.4439003460593</v>
      </c>
      <c r="Q273" s="215">
        <f>IF(P273="-",0,P273/(1+'General inputs'!$H$30)^'MP Calculations'!$C$40)</f>
        <v>5911.8360747804545</v>
      </c>
    </row>
    <row r="274" spans="3:17">
      <c r="C274" s="159"/>
      <c r="D274" s="165" t="s">
        <v>282</v>
      </c>
      <c r="E274" s="162">
        <v>26299</v>
      </c>
      <c r="F274" s="166" t="str">
        <f t="shared" si="10"/>
        <v>Date check - OK</v>
      </c>
      <c r="G274" s="68"/>
      <c r="H274" s="162" t="s">
        <v>280</v>
      </c>
      <c r="I274" s="173">
        <v>21853.086195380012</v>
      </c>
      <c r="J274" s="168">
        <f>IFERROR(MIN('MP Calculations'!$E$30/I274,1),"-")</f>
        <v>0.32927792945511891</v>
      </c>
      <c r="K274" s="12"/>
      <c r="L274" s="159">
        <v>0.60108200000000001</v>
      </c>
      <c r="M274" s="187" t="s">
        <v>293</v>
      </c>
      <c r="N274" s="187">
        <v>237.97403299999999</v>
      </c>
      <c r="O274" s="186">
        <f t="shared" si="11"/>
        <v>143.04190770370599</v>
      </c>
      <c r="P274" s="186">
        <f t="shared" si="12"/>
        <v>47.100543193986532</v>
      </c>
      <c r="Q274" s="215">
        <f>IF(P274="-",0,P274/(1+'General inputs'!$H$30)^'MP Calculations'!$C$40)</f>
        <v>104.6239187531845</v>
      </c>
    </row>
    <row r="275" spans="3:17">
      <c r="C275" s="159"/>
      <c r="D275" s="165" t="s">
        <v>282</v>
      </c>
      <c r="E275" s="162">
        <v>26299</v>
      </c>
      <c r="F275" s="166" t="str">
        <f t="shared" si="10"/>
        <v>Date check - OK</v>
      </c>
      <c r="G275" s="68"/>
      <c r="H275" s="162" t="s">
        <v>280</v>
      </c>
      <c r="I275" s="173">
        <v>21853.086195380012</v>
      </c>
      <c r="J275" s="168">
        <f>IFERROR(MIN('MP Calculations'!$E$30/I275,1),"-")</f>
        <v>0.32927792945511891</v>
      </c>
      <c r="K275" s="12"/>
      <c r="L275" s="159">
        <v>4.4294529999999996</v>
      </c>
      <c r="M275" s="187" t="s">
        <v>293</v>
      </c>
      <c r="N275" s="187">
        <v>237.97403299999999</v>
      </c>
      <c r="O275" s="186">
        <f t="shared" si="11"/>
        <v>1054.0947943939489</v>
      </c>
      <c r="P275" s="186">
        <f t="shared" si="12"/>
        <v>347.09015134745874</v>
      </c>
      <c r="Q275" s="215">
        <f>IF(P275="-",0,P275/(1+'General inputs'!$H$30)^'MP Calculations'!$C$40)</f>
        <v>770.98753712979146</v>
      </c>
    </row>
    <row r="276" spans="3:17">
      <c r="C276" s="159"/>
      <c r="D276" s="165" t="s">
        <v>282</v>
      </c>
      <c r="E276" s="162">
        <v>26299</v>
      </c>
      <c r="F276" s="166" t="str">
        <f t="shared" si="10"/>
        <v>Date check - OK</v>
      </c>
      <c r="G276" s="68"/>
      <c r="H276" s="162" t="s">
        <v>280</v>
      </c>
      <c r="I276" s="173">
        <v>21853.086195380012</v>
      </c>
      <c r="J276" s="168">
        <f>IFERROR(MIN('MP Calculations'!$E$30/I276,1),"-")</f>
        <v>0.32927792945511891</v>
      </c>
      <c r="K276" s="12"/>
      <c r="L276" s="159">
        <v>17.549236000000001</v>
      </c>
      <c r="M276" s="187" t="s">
        <v>293</v>
      </c>
      <c r="N276" s="187">
        <v>237.97403299999999</v>
      </c>
      <c r="O276" s="186">
        <f t="shared" si="11"/>
        <v>4176.2624669887882</v>
      </c>
      <c r="P276" s="186">
        <f t="shared" si="12"/>
        <v>1375.1510579911951</v>
      </c>
      <c r="Q276" s="215">
        <f>IF(P276="-",0,P276/(1+'General inputs'!$H$30)^'MP Calculations'!$C$40)</f>
        <v>3054.6079261140089</v>
      </c>
    </row>
    <row r="277" spans="3:17">
      <c r="C277" s="159"/>
      <c r="D277" s="165" t="s">
        <v>282</v>
      </c>
      <c r="E277" s="162">
        <v>26299</v>
      </c>
      <c r="F277" s="166" t="str">
        <f t="shared" si="10"/>
        <v>Date check - OK</v>
      </c>
      <c r="G277" s="68"/>
      <c r="H277" s="162" t="s">
        <v>280</v>
      </c>
      <c r="I277" s="173">
        <v>21853.086195380012</v>
      </c>
      <c r="J277" s="168">
        <f>IFERROR(MIN('MP Calculations'!$E$30/I277,1),"-")</f>
        <v>0.32927792945511891</v>
      </c>
      <c r="K277" s="12"/>
      <c r="L277" s="159">
        <v>64.663870000000003</v>
      </c>
      <c r="M277" s="187" t="s">
        <v>293</v>
      </c>
      <c r="N277" s="187">
        <v>237.97403299999999</v>
      </c>
      <c r="O277" s="186">
        <f t="shared" si="11"/>
        <v>15388.321933287711</v>
      </c>
      <c r="P277" s="186">
        <f t="shared" si="12"/>
        <v>5067.0347839817696</v>
      </c>
      <c r="Q277" s="215">
        <f>IF(P277="-",0,P277/(1+'General inputs'!$H$30)^'MP Calculations'!$C$40)</f>
        <v>11255.348656500253</v>
      </c>
    </row>
    <row r="278" spans="3:17">
      <c r="C278" s="159"/>
      <c r="D278" s="165" t="s">
        <v>282</v>
      </c>
      <c r="E278" s="162">
        <v>26299</v>
      </c>
      <c r="F278" s="166" t="str">
        <f t="shared" si="10"/>
        <v>Date check - OK</v>
      </c>
      <c r="G278" s="68"/>
      <c r="H278" s="162" t="s">
        <v>280</v>
      </c>
      <c r="I278" s="173">
        <v>21853.086195380012</v>
      </c>
      <c r="J278" s="168">
        <f>IFERROR(MIN('MP Calculations'!$E$30/I278,1),"-")</f>
        <v>0.32927792945511891</v>
      </c>
      <c r="K278" s="12"/>
      <c r="L278" s="159">
        <v>67.713226000000006</v>
      </c>
      <c r="M278" s="187" t="s">
        <v>293</v>
      </c>
      <c r="N278" s="187">
        <v>237.97403299999999</v>
      </c>
      <c r="O278" s="186">
        <f t="shared" si="11"/>
        <v>16113.989478660458</v>
      </c>
      <c r="P278" s="186">
        <f t="shared" si="12"/>
        <v>5305.9810907948868</v>
      </c>
      <c r="Q278" s="215">
        <f>IF(P278="-",0,P278/(1+'General inputs'!$H$30)^'MP Calculations'!$C$40)</f>
        <v>11786.117460745823</v>
      </c>
    </row>
    <row r="279" spans="3:17">
      <c r="C279" s="159"/>
      <c r="D279" s="165" t="s">
        <v>282</v>
      </c>
      <c r="E279" s="162">
        <v>26299</v>
      </c>
      <c r="F279" s="166" t="str">
        <f t="shared" ref="F279:F342" si="13">IF(E279="","-",IF(OR(E279&lt;$E$15,E279&gt;$E$16),"ERROR - date outside of range","Date check - OK"))</f>
        <v>Date check - OK</v>
      </c>
      <c r="G279" s="68"/>
      <c r="H279" s="162" t="s">
        <v>280</v>
      </c>
      <c r="I279" s="173">
        <v>21853.086195380012</v>
      </c>
      <c r="J279" s="168">
        <f>IFERROR(MIN('MP Calculations'!$E$30/I279,1),"-")</f>
        <v>0.32927792945511891</v>
      </c>
      <c r="K279" s="12"/>
      <c r="L279" s="159">
        <v>27.888124999999999</v>
      </c>
      <c r="M279" s="187" t="s">
        <v>293</v>
      </c>
      <c r="N279" s="187">
        <v>237.97403299999999</v>
      </c>
      <c r="O279" s="186">
        <f t="shared" ref="O279:O342" si="14">IF(N279="","-",L279*N279)</f>
        <v>6636.6495790581248</v>
      </c>
      <c r="P279" s="186">
        <f t="shared" ref="P279:P342" si="15">IF(O279="-","-",IF(OR(E279&lt;$E$15,E279&gt;$E$16),0,O279*J279))</f>
        <v>2185.3022319114457</v>
      </c>
      <c r="Q279" s="215">
        <f>IF(P279="-",0,P279/(1+'General inputs'!$H$30)^'MP Calculations'!$C$40)</f>
        <v>4854.1878215928164</v>
      </c>
    </row>
    <row r="280" spans="3:17">
      <c r="C280" s="159"/>
      <c r="D280" s="165" t="s">
        <v>282</v>
      </c>
      <c r="E280" s="162">
        <v>26299</v>
      </c>
      <c r="F280" s="166" t="str">
        <f t="shared" si="13"/>
        <v>Date check - OK</v>
      </c>
      <c r="G280" s="68"/>
      <c r="H280" s="162" t="s">
        <v>280</v>
      </c>
      <c r="I280" s="173">
        <v>21853.086195380012</v>
      </c>
      <c r="J280" s="168">
        <f>IFERROR(MIN('MP Calculations'!$E$30/I280,1),"-")</f>
        <v>0.32927792945511891</v>
      </c>
      <c r="K280" s="12"/>
      <c r="L280" s="159">
        <v>93.382970999999998</v>
      </c>
      <c r="M280" s="187" t="s">
        <v>293</v>
      </c>
      <c r="N280" s="187">
        <v>237.97403299999999</v>
      </c>
      <c r="O280" s="186">
        <f t="shared" si="14"/>
        <v>22222.722222392043</v>
      </c>
      <c r="P280" s="186">
        <f t="shared" si="15"/>
        <v>7317.4519602455102</v>
      </c>
      <c r="Q280" s="215">
        <f>IF(P280="-",0,P280/(1+'General inputs'!$H$30)^'MP Calculations'!$C$40)</f>
        <v>16254.175588081134</v>
      </c>
    </row>
    <row r="281" spans="3:17">
      <c r="C281" s="159"/>
      <c r="D281" s="165" t="s">
        <v>282</v>
      </c>
      <c r="E281" s="162">
        <v>26299</v>
      </c>
      <c r="F281" s="166" t="str">
        <f t="shared" si="13"/>
        <v>Date check - OK</v>
      </c>
      <c r="G281" s="68"/>
      <c r="H281" s="162" t="s">
        <v>280</v>
      </c>
      <c r="I281" s="173">
        <v>21853.086195380012</v>
      </c>
      <c r="J281" s="168">
        <f>IFERROR(MIN('MP Calculations'!$E$30/I281,1),"-")</f>
        <v>0.32927792945511891</v>
      </c>
      <c r="K281" s="12"/>
      <c r="L281" s="159">
        <v>0.70835000000000004</v>
      </c>
      <c r="M281" s="187" t="s">
        <v>293</v>
      </c>
      <c r="N281" s="187">
        <v>237.97403299999999</v>
      </c>
      <c r="O281" s="186">
        <f t="shared" si="14"/>
        <v>168.56890627555001</v>
      </c>
      <c r="P281" s="186">
        <f t="shared" si="15"/>
        <v>55.506020428927108</v>
      </c>
      <c r="Q281" s="215">
        <f>IF(P281="-",0,P281/(1+'General inputs'!$H$30)^'MP Calculations'!$C$40)</f>
        <v>123.29491292172824</v>
      </c>
    </row>
    <row r="282" spans="3:17">
      <c r="C282" s="159"/>
      <c r="D282" s="165" t="s">
        <v>282</v>
      </c>
      <c r="E282" s="162">
        <v>26299</v>
      </c>
      <c r="F282" s="166" t="str">
        <f t="shared" si="13"/>
        <v>Date check - OK</v>
      </c>
      <c r="G282" s="68"/>
      <c r="H282" s="162" t="s">
        <v>280</v>
      </c>
      <c r="I282" s="173">
        <v>21853.086195380012</v>
      </c>
      <c r="J282" s="168">
        <f>IFERROR(MIN('MP Calculations'!$E$30/I282,1),"-")</f>
        <v>0.32927792945511891</v>
      </c>
      <c r="K282" s="12"/>
      <c r="L282" s="159">
        <v>71.870197000000005</v>
      </c>
      <c r="M282" s="187" t="s">
        <v>293</v>
      </c>
      <c r="N282" s="187">
        <v>237.97403299999999</v>
      </c>
      <c r="O282" s="186">
        <f t="shared" si="14"/>
        <v>17103.240632594501</v>
      </c>
      <c r="P282" s="186">
        <f t="shared" si="15"/>
        <v>5631.7196624733751</v>
      </c>
      <c r="Q282" s="215">
        <f>IF(P282="-",0,P282/(1+'General inputs'!$H$30)^'MP Calculations'!$C$40)</f>
        <v>12509.676968705375</v>
      </c>
    </row>
    <row r="283" spans="3:17">
      <c r="C283" s="159"/>
      <c r="D283" s="165" t="s">
        <v>282</v>
      </c>
      <c r="E283" s="162">
        <v>26299</v>
      </c>
      <c r="F283" s="166" t="str">
        <f t="shared" si="13"/>
        <v>Date check - OK</v>
      </c>
      <c r="G283" s="68"/>
      <c r="H283" s="162" t="s">
        <v>280</v>
      </c>
      <c r="I283" s="173">
        <v>21853.086195380012</v>
      </c>
      <c r="J283" s="168">
        <f>IFERROR(MIN('MP Calculations'!$E$30/I283,1),"-")</f>
        <v>0.32927792945511891</v>
      </c>
      <c r="K283" s="12"/>
      <c r="L283" s="159">
        <v>5.7922029999999998</v>
      </c>
      <c r="M283" s="187" t="s">
        <v>293</v>
      </c>
      <c r="N283" s="187">
        <v>237.97403299999999</v>
      </c>
      <c r="O283" s="186">
        <f t="shared" si="14"/>
        <v>1378.3939078646988</v>
      </c>
      <c r="P283" s="186">
        <f t="shared" si="15"/>
        <v>453.87469195523795</v>
      </c>
      <c r="Q283" s="215">
        <f>IF(P283="-",0,P283/(1+'General inputs'!$H$30)^'MP Calculations'!$C$40)</f>
        <v>1008.1868631467112</v>
      </c>
    </row>
    <row r="284" spans="3:17">
      <c r="C284" s="159"/>
      <c r="D284" s="165" t="s">
        <v>282</v>
      </c>
      <c r="E284" s="162">
        <v>26299</v>
      </c>
      <c r="F284" s="166" t="str">
        <f t="shared" si="13"/>
        <v>Date check - OK</v>
      </c>
      <c r="G284" s="68"/>
      <c r="H284" s="162" t="s">
        <v>280</v>
      </c>
      <c r="I284" s="173">
        <v>21853.086195380012</v>
      </c>
      <c r="J284" s="168">
        <f>IFERROR(MIN('MP Calculations'!$E$30/I284,1),"-")</f>
        <v>0.32927792945511891</v>
      </c>
      <c r="K284" s="12"/>
      <c r="L284" s="159">
        <v>0.90016099999999999</v>
      </c>
      <c r="M284" s="187" t="s">
        <v>293</v>
      </c>
      <c r="N284" s="187">
        <v>237.97403299999999</v>
      </c>
      <c r="O284" s="186">
        <f t="shared" si="14"/>
        <v>214.21494351931298</v>
      </c>
      <c r="P284" s="186">
        <f t="shared" si="15"/>
        <v>70.536253060384624</v>
      </c>
      <c r="Q284" s="215">
        <f>IF(P284="-",0,P284/(1+'General inputs'!$H$30)^'MP Calculations'!$C$40)</f>
        <v>156.68140341714661</v>
      </c>
    </row>
    <row r="285" spans="3:17">
      <c r="C285" s="159"/>
      <c r="D285" s="165" t="s">
        <v>282</v>
      </c>
      <c r="E285" s="162">
        <v>26299</v>
      </c>
      <c r="F285" s="166" t="str">
        <f t="shared" si="13"/>
        <v>Date check - OK</v>
      </c>
      <c r="G285" s="68"/>
      <c r="H285" s="162" t="s">
        <v>280</v>
      </c>
      <c r="I285" s="173">
        <v>21853.086195380012</v>
      </c>
      <c r="J285" s="168">
        <f>IFERROR(MIN('MP Calculations'!$E$30/I285,1),"-")</f>
        <v>0.32927792945511891</v>
      </c>
      <c r="K285" s="12"/>
      <c r="L285" s="159">
        <v>79.581243999999998</v>
      </c>
      <c r="M285" s="187" t="s">
        <v>293</v>
      </c>
      <c r="N285" s="187">
        <v>237.97403299999999</v>
      </c>
      <c r="O285" s="186">
        <f t="shared" si="14"/>
        <v>18938.26958583705</v>
      </c>
      <c r="P285" s="186">
        <f t="shared" si="15"/>
        <v>6235.9541966872757</v>
      </c>
      <c r="Q285" s="215">
        <f>IF(P285="-",0,P285/(1+'General inputs'!$H$30)^'MP Calculations'!$C$40)</f>
        <v>13851.856496340517</v>
      </c>
    </row>
    <row r="286" spans="3:17">
      <c r="C286" s="159"/>
      <c r="D286" s="165" t="s">
        <v>282</v>
      </c>
      <c r="E286" s="162">
        <v>26299</v>
      </c>
      <c r="F286" s="166" t="str">
        <f t="shared" si="13"/>
        <v>Date check - OK</v>
      </c>
      <c r="G286" s="68"/>
      <c r="H286" s="162" t="s">
        <v>280</v>
      </c>
      <c r="I286" s="173">
        <v>21853.086195380012</v>
      </c>
      <c r="J286" s="168">
        <f>IFERROR(MIN('MP Calculations'!$E$30/I286,1),"-")</f>
        <v>0.32927792945511891</v>
      </c>
      <c r="K286" s="12"/>
      <c r="L286" s="159">
        <v>49.868662</v>
      </c>
      <c r="M286" s="187" t="s">
        <v>293</v>
      </c>
      <c r="N286" s="187">
        <v>237.97403299999999</v>
      </c>
      <c r="O286" s="186">
        <f t="shared" si="14"/>
        <v>11867.446616453846</v>
      </c>
      <c r="P286" s="186">
        <f t="shared" si="15"/>
        <v>3907.6882497850793</v>
      </c>
      <c r="Q286" s="215">
        <f>IF(P286="-",0,P286/(1+'General inputs'!$H$30)^'MP Calculations'!$C$40)</f>
        <v>8680.1049464432799</v>
      </c>
    </row>
    <row r="287" spans="3:17">
      <c r="C287" s="159"/>
      <c r="D287" s="165" t="s">
        <v>282</v>
      </c>
      <c r="E287" s="162">
        <v>26299</v>
      </c>
      <c r="F287" s="166" t="str">
        <f t="shared" si="13"/>
        <v>Date check - OK</v>
      </c>
      <c r="G287" s="68"/>
      <c r="H287" s="162" t="s">
        <v>280</v>
      </c>
      <c r="I287" s="173">
        <v>21853.086195380012</v>
      </c>
      <c r="J287" s="168">
        <f>IFERROR(MIN('MP Calculations'!$E$30/I287,1),"-")</f>
        <v>0.32927792945511891</v>
      </c>
      <c r="K287" s="12"/>
      <c r="L287" s="159">
        <v>48.320653</v>
      </c>
      <c r="M287" s="187" t="s">
        <v>293</v>
      </c>
      <c r="N287" s="187">
        <v>237.97403299999999</v>
      </c>
      <c r="O287" s="186">
        <f t="shared" si="14"/>
        <v>11499.060671603549</v>
      </c>
      <c r="P287" s="186">
        <f t="shared" si="15"/>
        <v>3786.3868886244059</v>
      </c>
      <c r="Q287" s="215">
        <f>IF(P287="-",0,P287/(1+'General inputs'!$H$30)^'MP Calculations'!$C$40)</f>
        <v>8410.659566536382</v>
      </c>
    </row>
    <row r="288" spans="3:17">
      <c r="C288" s="159"/>
      <c r="D288" s="165" t="s">
        <v>282</v>
      </c>
      <c r="E288" s="162">
        <v>26299</v>
      </c>
      <c r="F288" s="166" t="str">
        <f t="shared" si="13"/>
        <v>Date check - OK</v>
      </c>
      <c r="G288" s="68"/>
      <c r="H288" s="162" t="s">
        <v>280</v>
      </c>
      <c r="I288" s="173">
        <v>21853.086195380012</v>
      </c>
      <c r="J288" s="168">
        <f>IFERROR(MIN('MP Calculations'!$E$30/I288,1),"-")</f>
        <v>0.32927792945511891</v>
      </c>
      <c r="K288" s="12"/>
      <c r="L288" s="159">
        <v>82.834027000000006</v>
      </c>
      <c r="M288" s="187" t="s">
        <v>293</v>
      </c>
      <c r="N288" s="187">
        <v>237.97403299999999</v>
      </c>
      <c r="O288" s="186">
        <f t="shared" si="14"/>
        <v>19712.34747482089</v>
      </c>
      <c r="P288" s="186">
        <f t="shared" si="15"/>
        <v>6490.8409612088644</v>
      </c>
      <c r="Q288" s="215">
        <f>IF(P288="-",0,P288/(1+'General inputs'!$H$30)^'MP Calculations'!$C$40)</f>
        <v>14418.033664037672</v>
      </c>
    </row>
    <row r="289" spans="3:17">
      <c r="C289" s="159"/>
      <c r="D289" s="165" t="s">
        <v>282</v>
      </c>
      <c r="E289" s="162">
        <v>26299</v>
      </c>
      <c r="F289" s="166" t="str">
        <f t="shared" si="13"/>
        <v>Date check - OK</v>
      </c>
      <c r="G289" s="68"/>
      <c r="H289" s="162" t="s">
        <v>280</v>
      </c>
      <c r="I289" s="173">
        <v>21853.086195380012</v>
      </c>
      <c r="J289" s="168">
        <f>IFERROR(MIN('MP Calculations'!$E$30/I289,1),"-")</f>
        <v>0.32927792945511891</v>
      </c>
      <c r="K289" s="12"/>
      <c r="L289" s="159">
        <v>53.506197999999998</v>
      </c>
      <c r="M289" s="187" t="s">
        <v>293</v>
      </c>
      <c r="N289" s="187">
        <v>237.97403299999999</v>
      </c>
      <c r="O289" s="186">
        <f t="shared" si="14"/>
        <v>12733.085728556533</v>
      </c>
      <c r="P289" s="186">
        <f t="shared" si="15"/>
        <v>4192.7241042736196</v>
      </c>
      <c r="Q289" s="215">
        <f>IF(P289="-",0,P289/(1+'General inputs'!$H$30)^'MP Calculations'!$C$40)</f>
        <v>9313.2519562119687</v>
      </c>
    </row>
    <row r="290" spans="3:17">
      <c r="C290" s="159"/>
      <c r="D290" s="165" t="s">
        <v>282</v>
      </c>
      <c r="E290" s="162">
        <v>26299</v>
      </c>
      <c r="F290" s="166" t="str">
        <f t="shared" si="13"/>
        <v>Date check - OK</v>
      </c>
      <c r="G290" s="68"/>
      <c r="H290" s="162" t="s">
        <v>280</v>
      </c>
      <c r="I290" s="173">
        <v>21853.086195380012</v>
      </c>
      <c r="J290" s="168">
        <f>IFERROR(MIN('MP Calculations'!$E$30/I290,1),"-")</f>
        <v>0.32927792945511891</v>
      </c>
      <c r="K290" s="12"/>
      <c r="L290" s="159">
        <v>40.877279000000001</v>
      </c>
      <c r="M290" s="187" t="s">
        <v>293</v>
      </c>
      <c r="N290" s="187">
        <v>237.97403299999999</v>
      </c>
      <c r="O290" s="186">
        <f t="shared" si="14"/>
        <v>9727.7309416962071</v>
      </c>
      <c r="P290" s="186">
        <f t="shared" si="15"/>
        <v>3203.1271027782213</v>
      </c>
      <c r="Q290" s="215">
        <f>IF(P290="-",0,P290/(1+'General inputs'!$H$30)^'MP Calculations'!$C$40)</f>
        <v>7115.0710168450487</v>
      </c>
    </row>
    <row r="291" spans="3:17">
      <c r="C291" s="159"/>
      <c r="D291" s="165" t="s">
        <v>282</v>
      </c>
      <c r="E291" s="162">
        <v>26299</v>
      </c>
      <c r="F291" s="166" t="str">
        <f t="shared" si="13"/>
        <v>Date check - OK</v>
      </c>
      <c r="G291" s="68"/>
      <c r="H291" s="162" t="s">
        <v>280</v>
      </c>
      <c r="I291" s="173">
        <v>21853.086195380012</v>
      </c>
      <c r="J291" s="168">
        <f>IFERROR(MIN('MP Calculations'!$E$30/I291,1),"-")</f>
        <v>0.32927792945511891</v>
      </c>
      <c r="K291" s="12"/>
      <c r="L291" s="159">
        <v>3.9883329999999999</v>
      </c>
      <c r="M291" s="187" t="s">
        <v>293</v>
      </c>
      <c r="N291" s="187">
        <v>237.97403299999999</v>
      </c>
      <c r="O291" s="186">
        <f t="shared" si="14"/>
        <v>949.11968895698897</v>
      </c>
      <c r="P291" s="186">
        <f t="shared" si="15"/>
        <v>312.52416598484382</v>
      </c>
      <c r="Q291" s="215">
        <f>IF(P291="-",0,P291/(1+'General inputs'!$H$30)^'MP Calculations'!$C$40)</f>
        <v>694.20649387711592</v>
      </c>
    </row>
    <row r="292" spans="3:17">
      <c r="C292" s="159"/>
      <c r="D292" s="165" t="s">
        <v>282</v>
      </c>
      <c r="E292" s="162">
        <v>26299</v>
      </c>
      <c r="F292" s="166" t="str">
        <f t="shared" si="13"/>
        <v>Date check - OK</v>
      </c>
      <c r="G292" s="68"/>
      <c r="H292" s="162" t="s">
        <v>280</v>
      </c>
      <c r="I292" s="173">
        <v>21853.086195380012</v>
      </c>
      <c r="J292" s="168">
        <f>IFERROR(MIN('MP Calculations'!$E$30/I292,1),"-")</f>
        <v>0.32927792945511891</v>
      </c>
      <c r="K292" s="12"/>
      <c r="L292" s="159">
        <v>31.426971999999999</v>
      </c>
      <c r="M292" s="187" t="s">
        <v>293</v>
      </c>
      <c r="N292" s="187">
        <v>237.97403299999999</v>
      </c>
      <c r="O292" s="186">
        <f t="shared" si="14"/>
        <v>7478.8032718180757</v>
      </c>
      <c r="P292" s="186">
        <f t="shared" si="15"/>
        <v>2462.6048561464249</v>
      </c>
      <c r="Q292" s="215">
        <f>IF(P292="-",0,P292/(1+'General inputs'!$H$30)^'MP Calculations'!$C$40)</f>
        <v>5470.1570920217282</v>
      </c>
    </row>
    <row r="293" spans="3:17">
      <c r="C293" s="159"/>
      <c r="D293" s="165" t="s">
        <v>282</v>
      </c>
      <c r="E293" s="162">
        <v>26299</v>
      </c>
      <c r="F293" s="166" t="str">
        <f t="shared" si="13"/>
        <v>Date check - OK</v>
      </c>
      <c r="G293" s="68"/>
      <c r="H293" s="162" t="s">
        <v>280</v>
      </c>
      <c r="I293" s="173">
        <v>21853.086195380012</v>
      </c>
      <c r="J293" s="168">
        <f>IFERROR(MIN('MP Calculations'!$E$30/I293,1),"-")</f>
        <v>0.32927792945511891</v>
      </c>
      <c r="K293" s="12"/>
      <c r="L293" s="159">
        <v>16.090481</v>
      </c>
      <c r="M293" s="187" t="s">
        <v>293</v>
      </c>
      <c r="N293" s="187">
        <v>237.97403299999999</v>
      </c>
      <c r="O293" s="186">
        <f t="shared" si="14"/>
        <v>3829.1166564798732</v>
      </c>
      <c r="P293" s="186">
        <f t="shared" si="15"/>
        <v>1260.8436042878004</v>
      </c>
      <c r="Q293" s="215">
        <f>IF(P293="-",0,P293/(1+'General inputs'!$H$30)^'MP Calculations'!$C$40)</f>
        <v>2800.6980359479389</v>
      </c>
    </row>
    <row r="294" spans="3:17">
      <c r="C294" s="159"/>
      <c r="D294" s="165" t="s">
        <v>282</v>
      </c>
      <c r="E294" s="162">
        <v>26299</v>
      </c>
      <c r="F294" s="166" t="str">
        <f t="shared" si="13"/>
        <v>Date check - OK</v>
      </c>
      <c r="G294" s="68"/>
      <c r="H294" s="162" t="s">
        <v>280</v>
      </c>
      <c r="I294" s="173">
        <v>21853.086195380012</v>
      </c>
      <c r="J294" s="168">
        <f>IFERROR(MIN('MP Calculations'!$E$30/I294,1),"-")</f>
        <v>0.32927792945511891</v>
      </c>
      <c r="K294" s="12"/>
      <c r="L294" s="159">
        <v>12.615943</v>
      </c>
      <c r="M294" s="187" t="s">
        <v>293</v>
      </c>
      <c r="N294" s="187">
        <v>237.97403299999999</v>
      </c>
      <c r="O294" s="186">
        <f t="shared" si="14"/>
        <v>3002.2668358081187</v>
      </c>
      <c r="P294" s="186">
        <f t="shared" si="15"/>
        <v>988.58020736666879</v>
      </c>
      <c r="Q294" s="215">
        <f>IF(P294="-",0,P294/(1+'General inputs'!$H$30)^'MP Calculations'!$C$40)</f>
        <v>2195.9223457478461</v>
      </c>
    </row>
    <row r="295" spans="3:17">
      <c r="C295" s="159"/>
      <c r="D295" s="165" t="s">
        <v>282</v>
      </c>
      <c r="E295" s="162">
        <v>26299</v>
      </c>
      <c r="F295" s="166" t="str">
        <f t="shared" si="13"/>
        <v>Date check - OK</v>
      </c>
      <c r="G295" s="68"/>
      <c r="H295" s="162" t="s">
        <v>280</v>
      </c>
      <c r="I295" s="173">
        <v>21853.086195380012</v>
      </c>
      <c r="J295" s="168">
        <f>IFERROR(MIN('MP Calculations'!$E$30/I295,1),"-")</f>
        <v>0.32927792945511891</v>
      </c>
      <c r="K295" s="12"/>
      <c r="L295" s="159">
        <v>134.889735</v>
      </c>
      <c r="M295" s="187" t="s">
        <v>293</v>
      </c>
      <c r="N295" s="187">
        <v>237.97403299999999</v>
      </c>
      <c r="O295" s="186">
        <f t="shared" si="14"/>
        <v>32100.254248251254</v>
      </c>
      <c r="P295" s="186">
        <f t="shared" si="15"/>
        <v>10569.905253847057</v>
      </c>
      <c r="Q295" s="215">
        <f>IF(P295="-",0,P295/(1+'General inputs'!$H$30)^'MP Calculations'!$C$40)</f>
        <v>23478.814330288693</v>
      </c>
    </row>
    <row r="296" spans="3:17">
      <c r="C296" s="159"/>
      <c r="D296" s="165" t="s">
        <v>282</v>
      </c>
      <c r="E296" s="162">
        <v>26299</v>
      </c>
      <c r="F296" s="166" t="str">
        <f t="shared" si="13"/>
        <v>Date check - OK</v>
      </c>
      <c r="G296" s="68"/>
      <c r="H296" s="162" t="s">
        <v>280</v>
      </c>
      <c r="I296" s="173">
        <v>21853.086195380012</v>
      </c>
      <c r="J296" s="168">
        <f>IFERROR(MIN('MP Calculations'!$E$30/I296,1),"-")</f>
        <v>0.32927792945511891</v>
      </c>
      <c r="K296" s="12"/>
      <c r="L296" s="159">
        <v>46.333696000000003</v>
      </c>
      <c r="M296" s="187" t="s">
        <v>293</v>
      </c>
      <c r="N296" s="187">
        <v>237.97403299999999</v>
      </c>
      <c r="O296" s="186">
        <f t="shared" si="14"/>
        <v>11026.216500915969</v>
      </c>
      <c r="P296" s="186">
        <f t="shared" si="15"/>
        <v>3630.6897391454763</v>
      </c>
      <c r="Q296" s="215">
        <f>IF(P296="-",0,P296/(1+'General inputs'!$H$30)^'MP Calculations'!$C$40)</f>
        <v>8064.8112002002226</v>
      </c>
    </row>
    <row r="297" spans="3:17">
      <c r="C297" s="159"/>
      <c r="D297" s="165" t="s">
        <v>282</v>
      </c>
      <c r="E297" s="162">
        <v>26299</v>
      </c>
      <c r="F297" s="166" t="str">
        <f t="shared" si="13"/>
        <v>Date check - OK</v>
      </c>
      <c r="G297" s="68"/>
      <c r="H297" s="162" t="s">
        <v>280</v>
      </c>
      <c r="I297" s="173">
        <v>21853.086195380012</v>
      </c>
      <c r="J297" s="168">
        <f>IFERROR(MIN('MP Calculations'!$E$30/I297,1),"-")</f>
        <v>0.32927792945511891</v>
      </c>
      <c r="K297" s="12"/>
      <c r="L297" s="159">
        <v>19.518227</v>
      </c>
      <c r="M297" s="187" t="s">
        <v>293</v>
      </c>
      <c r="N297" s="187">
        <v>237.97403299999999</v>
      </c>
      <c r="O297" s="186">
        <f t="shared" si="14"/>
        <v>4644.8311961994905</v>
      </c>
      <c r="P297" s="186">
        <f t="shared" si="15"/>
        <v>1529.4403989531115</v>
      </c>
      <c r="Q297" s="215">
        <f>IF(P297="-",0,P297/(1+'General inputs'!$H$30)^'MP Calculations'!$C$40)</f>
        <v>3397.3291428693792</v>
      </c>
    </row>
    <row r="298" spans="3:17">
      <c r="C298" s="159"/>
      <c r="D298" s="165" t="s">
        <v>282</v>
      </c>
      <c r="E298" s="162">
        <v>26299</v>
      </c>
      <c r="F298" s="166" t="str">
        <f t="shared" si="13"/>
        <v>Date check - OK</v>
      </c>
      <c r="G298" s="68"/>
      <c r="H298" s="162" t="s">
        <v>280</v>
      </c>
      <c r="I298" s="173">
        <v>21853.086195380012</v>
      </c>
      <c r="J298" s="168">
        <f>IFERROR(MIN('MP Calculations'!$E$30/I298,1),"-")</f>
        <v>0.32927792945511891</v>
      </c>
      <c r="K298" s="12"/>
      <c r="L298" s="159">
        <v>49.784309</v>
      </c>
      <c r="M298" s="187" t="s">
        <v>293</v>
      </c>
      <c r="N298" s="187">
        <v>237.97403299999999</v>
      </c>
      <c r="O298" s="186">
        <f t="shared" si="14"/>
        <v>11847.372792848197</v>
      </c>
      <c r="P298" s="186">
        <f t="shared" si="15"/>
        <v>3901.0783827119635</v>
      </c>
      <c r="Q298" s="215">
        <f>IF(P298="-",0,P298/(1+'General inputs'!$H$30)^'MP Calculations'!$C$40)</f>
        <v>8665.4225213854879</v>
      </c>
    </row>
    <row r="299" spans="3:17">
      <c r="C299" s="159"/>
      <c r="D299" s="165" t="s">
        <v>282</v>
      </c>
      <c r="E299" s="162">
        <v>26299</v>
      </c>
      <c r="F299" s="166" t="str">
        <f t="shared" si="13"/>
        <v>Date check - OK</v>
      </c>
      <c r="G299" s="68"/>
      <c r="H299" s="162" t="s">
        <v>280</v>
      </c>
      <c r="I299" s="173">
        <v>21853.086195380012</v>
      </c>
      <c r="J299" s="168">
        <f>IFERROR(MIN('MP Calculations'!$E$30/I299,1),"-")</f>
        <v>0.32927792945511891</v>
      </c>
      <c r="K299" s="12"/>
      <c r="L299" s="159">
        <v>79.414460000000005</v>
      </c>
      <c r="M299" s="187" t="s">
        <v>293</v>
      </c>
      <c r="N299" s="187">
        <v>237.97403299999999</v>
      </c>
      <c r="O299" s="186">
        <f t="shared" si="14"/>
        <v>18898.579324717182</v>
      </c>
      <c r="P299" s="186">
        <f t="shared" si="15"/>
        <v>6222.8850696861928</v>
      </c>
      <c r="Q299" s="215">
        <f>IF(P299="-",0,P299/(1+'General inputs'!$H$30)^'MP Calculations'!$C$40)</f>
        <v>13822.826188220612</v>
      </c>
    </row>
    <row r="300" spans="3:17">
      <c r="C300" s="159"/>
      <c r="D300" s="165" t="s">
        <v>282</v>
      </c>
      <c r="E300" s="162">
        <v>26299</v>
      </c>
      <c r="F300" s="166" t="str">
        <f t="shared" si="13"/>
        <v>Date check - OK</v>
      </c>
      <c r="G300" s="68"/>
      <c r="H300" s="162" t="s">
        <v>280</v>
      </c>
      <c r="I300" s="173">
        <v>21853.086195380012</v>
      </c>
      <c r="J300" s="168">
        <f>IFERROR(MIN('MP Calculations'!$E$30/I300,1),"-")</f>
        <v>0.32927792945511891</v>
      </c>
      <c r="K300" s="12"/>
      <c r="L300" s="159">
        <v>1.2189179999999999</v>
      </c>
      <c r="M300" s="187" t="s">
        <v>293</v>
      </c>
      <c r="N300" s="187">
        <v>237.97403299999999</v>
      </c>
      <c r="O300" s="186">
        <f t="shared" si="14"/>
        <v>290.07083235629398</v>
      </c>
      <c r="P300" s="186">
        <f t="shared" si="15"/>
        <v>95.513923073603394</v>
      </c>
      <c r="Q300" s="215">
        <f>IF(P300="-",0,P300/(1+'General inputs'!$H$30)^'MP Calculations'!$C$40)</f>
        <v>212.16402720226881</v>
      </c>
    </row>
    <row r="301" spans="3:17">
      <c r="C301" s="159"/>
      <c r="D301" s="165" t="s">
        <v>282</v>
      </c>
      <c r="E301" s="162">
        <v>26299</v>
      </c>
      <c r="F301" s="166" t="str">
        <f t="shared" si="13"/>
        <v>Date check - OK</v>
      </c>
      <c r="G301" s="68"/>
      <c r="H301" s="162" t="s">
        <v>280</v>
      </c>
      <c r="I301" s="173">
        <v>21853.086195380012</v>
      </c>
      <c r="J301" s="168">
        <f>IFERROR(MIN('MP Calculations'!$E$30/I301,1),"-")</f>
        <v>0.32927792945511891</v>
      </c>
      <c r="K301" s="12"/>
      <c r="L301" s="159">
        <v>49.601042</v>
      </c>
      <c r="M301" s="187" t="s">
        <v>293</v>
      </c>
      <c r="N301" s="187">
        <v>237.97403299999999</v>
      </c>
      <c r="O301" s="186">
        <f t="shared" si="14"/>
        <v>11803.760005742386</v>
      </c>
      <c r="P301" s="186">
        <f t="shared" si="15"/>
        <v>3886.7176544759955</v>
      </c>
      <c r="Q301" s="215">
        <f>IF(P301="-",0,P301/(1+'General inputs'!$H$30)^'MP Calculations'!$C$40)</f>
        <v>8633.5231936429518</v>
      </c>
    </row>
    <row r="302" spans="3:17">
      <c r="C302" s="159"/>
      <c r="D302" s="165" t="s">
        <v>282</v>
      </c>
      <c r="E302" s="162">
        <v>26299</v>
      </c>
      <c r="F302" s="166" t="str">
        <f t="shared" si="13"/>
        <v>Date check - OK</v>
      </c>
      <c r="G302" s="68"/>
      <c r="H302" s="162" t="s">
        <v>280</v>
      </c>
      <c r="I302" s="173">
        <v>21853.086195380012</v>
      </c>
      <c r="J302" s="168">
        <f>IFERROR(MIN('MP Calculations'!$E$30/I302,1),"-")</f>
        <v>0.32927792945511891</v>
      </c>
      <c r="K302" s="12"/>
      <c r="L302" s="159">
        <v>138.39735999999999</v>
      </c>
      <c r="M302" s="187" t="s">
        <v>293</v>
      </c>
      <c r="N302" s="187">
        <v>237.97403299999999</v>
      </c>
      <c r="O302" s="186">
        <f t="shared" si="14"/>
        <v>32934.977915752876</v>
      </c>
      <c r="P302" s="186">
        <f t="shared" si="15"/>
        <v>10844.761334749175</v>
      </c>
      <c r="Q302" s="215">
        <f>IF(P302="-",0,P302/(1+'General inputs'!$H$30)^'MP Calculations'!$C$40)</f>
        <v>24089.349120910669</v>
      </c>
    </row>
    <row r="303" spans="3:17">
      <c r="C303" s="159"/>
      <c r="D303" s="165" t="s">
        <v>282</v>
      </c>
      <c r="E303" s="162">
        <v>26299</v>
      </c>
      <c r="F303" s="166" t="str">
        <f t="shared" si="13"/>
        <v>Date check - OK</v>
      </c>
      <c r="G303" s="68"/>
      <c r="H303" s="162" t="s">
        <v>280</v>
      </c>
      <c r="I303" s="173">
        <v>21853.086195380012</v>
      </c>
      <c r="J303" s="168">
        <f>IFERROR(MIN('MP Calculations'!$E$30/I303,1),"-")</f>
        <v>0.32927792945511891</v>
      </c>
      <c r="K303" s="12"/>
      <c r="L303" s="159">
        <v>121.025857</v>
      </c>
      <c r="M303" s="187" t="s">
        <v>293</v>
      </c>
      <c r="N303" s="187">
        <v>237.97403299999999</v>
      </c>
      <c r="O303" s="186">
        <f t="shared" si="14"/>
        <v>28801.01128757128</v>
      </c>
      <c r="P303" s="186">
        <f t="shared" si="15"/>
        <v>9483.5373629849801</v>
      </c>
      <c r="Q303" s="215">
        <f>IF(P303="-",0,P303/(1+'General inputs'!$H$30)^'MP Calculations'!$C$40)</f>
        <v>21065.677278312323</v>
      </c>
    </row>
    <row r="304" spans="3:17">
      <c r="C304" s="159"/>
      <c r="D304" s="165" t="s">
        <v>282</v>
      </c>
      <c r="E304" s="162">
        <v>26299</v>
      </c>
      <c r="F304" s="166" t="str">
        <f t="shared" si="13"/>
        <v>Date check - OK</v>
      </c>
      <c r="G304" s="68"/>
      <c r="H304" s="162" t="s">
        <v>280</v>
      </c>
      <c r="I304" s="173">
        <v>21853.086195380012</v>
      </c>
      <c r="J304" s="168">
        <f>IFERROR(MIN('MP Calculations'!$E$30/I304,1),"-")</f>
        <v>0.32927792945511891</v>
      </c>
      <c r="K304" s="12"/>
      <c r="L304" s="159">
        <v>97.112150999999997</v>
      </c>
      <c r="M304" s="187" t="s">
        <v>293</v>
      </c>
      <c r="N304" s="187">
        <v>237.97403299999999</v>
      </c>
      <c r="O304" s="186">
        <f t="shared" si="14"/>
        <v>23110.170226774982</v>
      </c>
      <c r="P304" s="186">
        <f t="shared" si="15"/>
        <v>7609.6690016278017</v>
      </c>
      <c r="Q304" s="215">
        <f>IF(P304="-",0,P304/(1+'General inputs'!$H$30)^'MP Calculations'!$C$40)</f>
        <v>16903.274089343857</v>
      </c>
    </row>
    <row r="305" spans="3:17">
      <c r="C305" s="159"/>
      <c r="D305" s="165" t="s">
        <v>282</v>
      </c>
      <c r="E305" s="162">
        <v>26299</v>
      </c>
      <c r="F305" s="166" t="str">
        <f t="shared" si="13"/>
        <v>Date check - OK</v>
      </c>
      <c r="G305" s="68"/>
      <c r="H305" s="162" t="s">
        <v>280</v>
      </c>
      <c r="I305" s="173">
        <v>21853.086195380012</v>
      </c>
      <c r="J305" s="168">
        <f>IFERROR(MIN('MP Calculations'!$E$30/I305,1),"-")</f>
        <v>0.32927792945511891</v>
      </c>
      <c r="K305" s="12"/>
      <c r="L305" s="159">
        <v>67.972680999999994</v>
      </c>
      <c r="M305" s="187" t="s">
        <v>293</v>
      </c>
      <c r="N305" s="187">
        <v>237.97403299999999</v>
      </c>
      <c r="O305" s="186">
        <f t="shared" si="14"/>
        <v>16175.73303139247</v>
      </c>
      <c r="P305" s="186">
        <f t="shared" si="15"/>
        <v>5326.3118799956865</v>
      </c>
      <c r="Q305" s="215">
        <f>IF(P305="-",0,P305/(1+'General inputs'!$H$30)^'MP Calculations'!$C$40)</f>
        <v>11831.278019272124</v>
      </c>
    </row>
    <row r="306" spans="3:17">
      <c r="C306" s="159"/>
      <c r="D306" s="165" t="s">
        <v>282</v>
      </c>
      <c r="E306" s="162">
        <v>26299</v>
      </c>
      <c r="F306" s="166" t="str">
        <f t="shared" si="13"/>
        <v>Date check - OK</v>
      </c>
      <c r="G306" s="68"/>
      <c r="H306" s="162" t="s">
        <v>280</v>
      </c>
      <c r="I306" s="173">
        <v>21853.086195380012</v>
      </c>
      <c r="J306" s="168">
        <f>IFERROR(MIN('MP Calculations'!$E$30/I306,1),"-")</f>
        <v>0.32927792945511891</v>
      </c>
      <c r="K306" s="12"/>
      <c r="L306" s="159">
        <v>72.928614999999994</v>
      </c>
      <c r="M306" s="187" t="s">
        <v>293</v>
      </c>
      <c r="N306" s="187">
        <v>237.97403299999999</v>
      </c>
      <c r="O306" s="186">
        <f t="shared" si="14"/>
        <v>17355.116632654292</v>
      </c>
      <c r="P306" s="186">
        <f t="shared" si="15"/>
        <v>5714.656870252501</v>
      </c>
      <c r="Q306" s="215">
        <f>IF(P306="-",0,P306/(1+'General inputs'!$H$30)^'MP Calculations'!$C$40)</f>
        <v>12693.904476497835</v>
      </c>
    </row>
    <row r="307" spans="3:17">
      <c r="C307" s="159"/>
      <c r="D307" s="165" t="s">
        <v>282</v>
      </c>
      <c r="E307" s="162">
        <v>26299</v>
      </c>
      <c r="F307" s="166" t="str">
        <f t="shared" si="13"/>
        <v>Date check - OK</v>
      </c>
      <c r="G307" s="68"/>
      <c r="H307" s="162" t="s">
        <v>280</v>
      </c>
      <c r="I307" s="173">
        <v>21853.086195380012</v>
      </c>
      <c r="J307" s="168">
        <f>IFERROR(MIN('MP Calculations'!$E$30/I307,1),"-")</f>
        <v>0.32927792945511891</v>
      </c>
      <c r="K307" s="12"/>
      <c r="L307" s="159">
        <v>0.59923000000000004</v>
      </c>
      <c r="M307" s="187" t="s">
        <v>293</v>
      </c>
      <c r="N307" s="187">
        <v>237.97403299999999</v>
      </c>
      <c r="O307" s="186">
        <f t="shared" si="14"/>
        <v>142.60117979459</v>
      </c>
      <c r="P307" s="186">
        <f t="shared" si="15"/>
        <v>46.955421220619733</v>
      </c>
      <c r="Q307" s="215">
        <f>IF(P307="-",0,P307/(1+'General inputs'!$H$30)^'MP Calculations'!$C$40)</f>
        <v>104.30156090927818</v>
      </c>
    </row>
    <row r="308" spans="3:17">
      <c r="C308" s="159"/>
      <c r="D308" s="165" t="s">
        <v>282</v>
      </c>
      <c r="E308" s="162">
        <v>26299</v>
      </c>
      <c r="F308" s="166" t="str">
        <f t="shared" si="13"/>
        <v>Date check - OK</v>
      </c>
      <c r="G308" s="68"/>
      <c r="H308" s="162" t="s">
        <v>280</v>
      </c>
      <c r="I308" s="173">
        <v>21853.086195380012</v>
      </c>
      <c r="J308" s="168">
        <f>IFERROR(MIN('MP Calculations'!$E$30/I308,1),"-")</f>
        <v>0.32927792945511891</v>
      </c>
      <c r="K308" s="12"/>
      <c r="L308" s="159">
        <v>88.774829999999994</v>
      </c>
      <c r="M308" s="187" t="s">
        <v>293</v>
      </c>
      <c r="N308" s="187">
        <v>237.97403299999999</v>
      </c>
      <c r="O308" s="186">
        <f t="shared" si="14"/>
        <v>21126.104323989388</v>
      </c>
      <c r="P308" s="186">
        <f t="shared" si="15"/>
        <v>6956.3598892560603</v>
      </c>
      <c r="Q308" s="215">
        <f>IF(P308="-",0,P308/(1+'General inputs'!$H$30)^'MP Calculations'!$C$40)</f>
        <v>15452.085740793711</v>
      </c>
    </row>
    <row r="309" spans="3:17">
      <c r="C309" s="159"/>
      <c r="D309" s="165" t="s">
        <v>282</v>
      </c>
      <c r="E309" s="162">
        <v>26299</v>
      </c>
      <c r="F309" s="166" t="str">
        <f t="shared" si="13"/>
        <v>Date check - OK</v>
      </c>
      <c r="G309" s="68"/>
      <c r="H309" s="162" t="s">
        <v>280</v>
      </c>
      <c r="I309" s="173">
        <v>21853.086195380012</v>
      </c>
      <c r="J309" s="168">
        <f>IFERROR(MIN('MP Calculations'!$E$30/I309,1),"-")</f>
        <v>0.32927792945511891</v>
      </c>
      <c r="K309" s="12"/>
      <c r="L309" s="159">
        <v>134.95447799999999</v>
      </c>
      <c r="M309" s="187" t="s">
        <v>293</v>
      </c>
      <c r="N309" s="187">
        <v>237.97403299999999</v>
      </c>
      <c r="O309" s="186">
        <f t="shared" si="14"/>
        <v>32115.66140106977</v>
      </c>
      <c r="P309" s="186">
        <f t="shared" si="15"/>
        <v>10574.978489225938</v>
      </c>
      <c r="Q309" s="215">
        <f>IF(P309="-",0,P309/(1+'General inputs'!$H$30)^'MP Calculations'!$C$40)</f>
        <v>23490.08345225847</v>
      </c>
    </row>
    <row r="310" spans="3:17">
      <c r="C310" s="159"/>
      <c r="D310" s="165" t="s">
        <v>282</v>
      </c>
      <c r="E310" s="162">
        <v>26299</v>
      </c>
      <c r="F310" s="166" t="str">
        <f t="shared" si="13"/>
        <v>Date check - OK</v>
      </c>
      <c r="G310" s="68"/>
      <c r="H310" s="162" t="s">
        <v>280</v>
      </c>
      <c r="I310" s="173">
        <v>21853.086195380012</v>
      </c>
      <c r="J310" s="168">
        <f>IFERROR(MIN('MP Calculations'!$E$30/I310,1),"-")</f>
        <v>0.32927792945511891</v>
      </c>
      <c r="K310" s="12"/>
      <c r="L310" s="159">
        <v>188.28039200000001</v>
      </c>
      <c r="M310" s="187" t="s">
        <v>293</v>
      </c>
      <c r="N310" s="187">
        <v>237.97403299999999</v>
      </c>
      <c r="O310" s="186">
        <f t="shared" si="14"/>
        <v>44805.844219060935</v>
      </c>
      <c r="P310" s="186">
        <f t="shared" si="15"/>
        <v>14753.575611940994</v>
      </c>
      <c r="Q310" s="215">
        <f>IF(P310="-",0,P310/(1+'General inputs'!$H$30)^'MP Calculations'!$C$40)</f>
        <v>32771.955299652509</v>
      </c>
    </row>
    <row r="311" spans="3:17">
      <c r="C311" s="159"/>
      <c r="D311" s="165" t="s">
        <v>282</v>
      </c>
      <c r="E311" s="162">
        <v>26299</v>
      </c>
      <c r="F311" s="166" t="str">
        <f t="shared" si="13"/>
        <v>Date check - OK</v>
      </c>
      <c r="G311" s="68"/>
      <c r="H311" s="162" t="s">
        <v>280</v>
      </c>
      <c r="I311" s="173">
        <v>21853.086195380012</v>
      </c>
      <c r="J311" s="168">
        <f>IFERROR(MIN('MP Calculations'!$E$30/I311,1),"-")</f>
        <v>0.32927792945511891</v>
      </c>
      <c r="K311" s="12"/>
      <c r="L311" s="159">
        <v>9.3938550000000003</v>
      </c>
      <c r="M311" s="187" t="s">
        <v>293</v>
      </c>
      <c r="N311" s="187">
        <v>237.97403299999999</v>
      </c>
      <c r="O311" s="186">
        <f t="shared" si="14"/>
        <v>2235.4935597672152</v>
      </c>
      <c r="P311" s="186">
        <f t="shared" si="15"/>
        <v>736.09869067040177</v>
      </c>
      <c r="Q311" s="215">
        <f>IF(P311="-",0,P311/(1+'General inputs'!$H$30)^'MP Calculations'!$C$40)</f>
        <v>1635.0879286007503</v>
      </c>
    </row>
    <row r="312" spans="3:17">
      <c r="C312" s="159"/>
      <c r="D312" s="165" t="s">
        <v>284</v>
      </c>
      <c r="E312" s="162">
        <v>26299</v>
      </c>
      <c r="F312" s="166" t="str">
        <f t="shared" si="13"/>
        <v>Date check - OK</v>
      </c>
      <c r="G312" s="68"/>
      <c r="H312" s="162" t="s">
        <v>280</v>
      </c>
      <c r="I312" s="173">
        <v>21853.086195380012</v>
      </c>
      <c r="J312" s="168">
        <f>IFERROR(MIN('MP Calculations'!$E$30/I312,1),"-")</f>
        <v>0.32927792945511891</v>
      </c>
      <c r="K312" s="12"/>
      <c r="L312" s="159">
        <v>49.157786000000002</v>
      </c>
      <c r="M312" s="187" t="s">
        <v>293</v>
      </c>
      <c r="N312" s="187">
        <v>315.45229399999999</v>
      </c>
      <c r="O312" s="186">
        <f t="shared" si="14"/>
        <v>15506.936361661084</v>
      </c>
      <c r="P312" s="186">
        <f t="shared" si="15"/>
        <v>5106.0918973600565</v>
      </c>
      <c r="Q312" s="215">
        <f>IF(P312="-",0,P312/(1+'General inputs'!$H$30)^'MP Calculations'!$C$40)</f>
        <v>11342.105793036748</v>
      </c>
    </row>
    <row r="313" spans="3:17">
      <c r="C313" s="159"/>
      <c r="D313" s="165" t="s">
        <v>284</v>
      </c>
      <c r="E313" s="162">
        <v>26299</v>
      </c>
      <c r="F313" s="166" t="str">
        <f t="shared" si="13"/>
        <v>Date check - OK</v>
      </c>
      <c r="G313" s="68"/>
      <c r="H313" s="162" t="s">
        <v>280</v>
      </c>
      <c r="I313" s="173">
        <v>21853.086195380012</v>
      </c>
      <c r="J313" s="168">
        <f>IFERROR(MIN('MP Calculations'!$E$30/I313,1),"-")</f>
        <v>0.32927792945511891</v>
      </c>
      <c r="K313" s="12"/>
      <c r="L313" s="159">
        <v>1.218855</v>
      </c>
      <c r="M313" s="187" t="s">
        <v>293</v>
      </c>
      <c r="N313" s="187">
        <v>315.45229399999999</v>
      </c>
      <c r="O313" s="186">
        <f t="shared" si="14"/>
        <v>384.49060580336999</v>
      </c>
      <c r="P313" s="186">
        <f t="shared" si="15"/>
        <v>126.604270573878</v>
      </c>
      <c r="Q313" s="215">
        <f>IF(P313="-",0,P313/(1+'General inputs'!$H$30)^'MP Calculations'!$C$40)</f>
        <v>281.22467428398437</v>
      </c>
    </row>
    <row r="314" spans="3:17">
      <c r="C314" s="159"/>
      <c r="D314" s="165" t="s">
        <v>284</v>
      </c>
      <c r="E314" s="162">
        <v>26299</v>
      </c>
      <c r="F314" s="166" t="str">
        <f t="shared" si="13"/>
        <v>Date check - OK</v>
      </c>
      <c r="G314" s="68"/>
      <c r="H314" s="162" t="s">
        <v>280</v>
      </c>
      <c r="I314" s="173">
        <v>21853.086195380012</v>
      </c>
      <c r="J314" s="168">
        <f>IFERROR(MIN('MP Calculations'!$E$30/I314,1),"-")</f>
        <v>0.32927792945511891</v>
      </c>
      <c r="K314" s="12"/>
      <c r="L314" s="159">
        <v>17.515049000000001</v>
      </c>
      <c r="M314" s="187" t="s">
        <v>293</v>
      </c>
      <c r="N314" s="187">
        <v>315.45229399999999</v>
      </c>
      <c r="O314" s="186">
        <f t="shared" si="14"/>
        <v>5525.1623865724059</v>
      </c>
      <c r="P314" s="186">
        <f t="shared" si="15"/>
        <v>1819.3140305538652</v>
      </c>
      <c r="Q314" s="215">
        <f>IF(P314="-",0,P314/(1+'General inputs'!$H$30)^'MP Calculations'!$C$40)</f>
        <v>4041.2222537488269</v>
      </c>
    </row>
    <row r="315" spans="3:17">
      <c r="C315" s="159"/>
      <c r="D315" s="165" t="s">
        <v>284</v>
      </c>
      <c r="E315" s="162">
        <v>26299</v>
      </c>
      <c r="F315" s="166" t="str">
        <f t="shared" si="13"/>
        <v>Date check - OK</v>
      </c>
      <c r="G315" s="68"/>
      <c r="H315" s="162" t="s">
        <v>280</v>
      </c>
      <c r="I315" s="173">
        <v>21853.086195380012</v>
      </c>
      <c r="J315" s="168">
        <f>IFERROR(MIN('MP Calculations'!$E$30/I315,1),"-")</f>
        <v>0.32927792945511891</v>
      </c>
      <c r="K315" s="12"/>
      <c r="L315" s="159">
        <v>3.7704369999999998</v>
      </c>
      <c r="M315" s="187" t="s">
        <v>293</v>
      </c>
      <c r="N315" s="187">
        <v>315.45229399999999</v>
      </c>
      <c r="O315" s="186">
        <f t="shared" si="14"/>
        <v>1189.393001032478</v>
      </c>
      <c r="P315" s="186">
        <f t="shared" si="15"/>
        <v>391.64086468838445</v>
      </c>
      <c r="Q315" s="215">
        <f>IF(P315="-",0,P315/(1+'General inputs'!$H$30)^'MP Calculations'!$C$40)</f>
        <v>869.94754686429735</v>
      </c>
    </row>
    <row r="316" spans="3:17">
      <c r="C316" s="159"/>
      <c r="D316" s="165" t="s">
        <v>284</v>
      </c>
      <c r="E316" s="162">
        <v>26299</v>
      </c>
      <c r="F316" s="166" t="str">
        <f t="shared" si="13"/>
        <v>Date check - OK</v>
      </c>
      <c r="G316" s="68"/>
      <c r="H316" s="162" t="s">
        <v>280</v>
      </c>
      <c r="I316" s="173">
        <v>21853.086195380012</v>
      </c>
      <c r="J316" s="168">
        <f>IFERROR(MIN('MP Calculations'!$E$30/I316,1),"-")</f>
        <v>0.32927792945511891</v>
      </c>
      <c r="K316" s="12"/>
      <c r="L316" s="159">
        <v>12.003871999999999</v>
      </c>
      <c r="M316" s="187" t="s">
        <v>293</v>
      </c>
      <c r="N316" s="187">
        <v>315.45229399999999</v>
      </c>
      <c r="O316" s="186">
        <f t="shared" si="14"/>
        <v>3786.6489592823677</v>
      </c>
      <c r="P316" s="186">
        <f t="shared" si="15"/>
        <v>1246.8599288858788</v>
      </c>
      <c r="Q316" s="215">
        <f>IF(P316="-",0,P316/(1+'General inputs'!$H$30)^'MP Calculations'!$C$40)</f>
        <v>2769.6362515201886</v>
      </c>
    </row>
    <row r="317" spans="3:17">
      <c r="C317" s="159"/>
      <c r="D317" s="165" t="s">
        <v>283</v>
      </c>
      <c r="E317" s="162">
        <v>26299</v>
      </c>
      <c r="F317" s="166" t="str">
        <f t="shared" si="13"/>
        <v>Date check - OK</v>
      </c>
      <c r="G317" s="68"/>
      <c r="H317" s="162" t="s">
        <v>280</v>
      </c>
      <c r="I317" s="173">
        <v>21853.086195380012</v>
      </c>
      <c r="J317" s="168">
        <f>IFERROR(MIN('MP Calculations'!$E$30/I317,1),"-")</f>
        <v>0.32927792945511891</v>
      </c>
      <c r="K317" s="12"/>
      <c r="L317" s="159">
        <v>15.739637</v>
      </c>
      <c r="M317" s="187" t="s">
        <v>293</v>
      </c>
      <c r="N317" s="187">
        <v>192.78728599999999</v>
      </c>
      <c r="O317" s="186">
        <f t="shared" si="14"/>
        <v>3034.4018998551819</v>
      </c>
      <c r="P317" s="186">
        <f t="shared" si="15"/>
        <v>999.16157471899339</v>
      </c>
      <c r="Q317" s="215">
        <f>IF(P317="-",0,P317/(1+'General inputs'!$H$30)^'MP Calculations'!$C$40)</f>
        <v>2219.4266207114633</v>
      </c>
    </row>
    <row r="318" spans="3:17">
      <c r="C318" s="159"/>
      <c r="D318" s="165" t="s">
        <v>283</v>
      </c>
      <c r="E318" s="162">
        <v>26299</v>
      </c>
      <c r="F318" s="166" t="str">
        <f t="shared" si="13"/>
        <v>Date check - OK</v>
      </c>
      <c r="G318" s="68"/>
      <c r="H318" s="162" t="s">
        <v>280</v>
      </c>
      <c r="I318" s="173">
        <v>21853.086195380012</v>
      </c>
      <c r="J318" s="168">
        <f>IFERROR(MIN('MP Calculations'!$E$30/I318,1),"-")</f>
        <v>0.32927792945511891</v>
      </c>
      <c r="K318" s="12"/>
      <c r="L318" s="159">
        <v>20.724240000000002</v>
      </c>
      <c r="M318" s="187" t="s">
        <v>293</v>
      </c>
      <c r="N318" s="187">
        <v>192.78728599999999</v>
      </c>
      <c r="O318" s="186">
        <f t="shared" si="14"/>
        <v>3995.3699840126401</v>
      </c>
      <c r="P318" s="186">
        <f t="shared" si="15"/>
        <v>1315.5871557428136</v>
      </c>
      <c r="Q318" s="215">
        <f>IF(P318="-",0,P318/(1+'General inputs'!$H$30)^'MP Calculations'!$C$40)</f>
        <v>2922.2992849208235</v>
      </c>
    </row>
    <row r="319" spans="3:17">
      <c r="C319" s="159"/>
      <c r="D319" s="165" t="s">
        <v>283</v>
      </c>
      <c r="E319" s="162">
        <v>26299</v>
      </c>
      <c r="F319" s="166" t="str">
        <f t="shared" si="13"/>
        <v>Date check - OK</v>
      </c>
      <c r="G319" s="68"/>
      <c r="H319" s="162" t="s">
        <v>280</v>
      </c>
      <c r="I319" s="173">
        <v>21853.086195380012</v>
      </c>
      <c r="J319" s="168">
        <f>IFERROR(MIN('MP Calculations'!$E$30/I319,1),"-")</f>
        <v>0.32927792945511891</v>
      </c>
      <c r="K319" s="12"/>
      <c r="L319" s="159">
        <v>22.980277000000001</v>
      </c>
      <c r="M319" s="187" t="s">
        <v>293</v>
      </c>
      <c r="N319" s="187">
        <v>192.78728599999999</v>
      </c>
      <c r="O319" s="186">
        <f t="shared" si="14"/>
        <v>4430.3052343582222</v>
      </c>
      <c r="P319" s="186">
        <f t="shared" si="15"/>
        <v>1458.8017344236507</v>
      </c>
      <c r="Q319" s="215">
        <f>IF(P319="-",0,P319/(1+'General inputs'!$H$30)^'MP Calculations'!$C$40)</f>
        <v>3240.4202539819294</v>
      </c>
    </row>
    <row r="320" spans="3:17">
      <c r="C320" s="159"/>
      <c r="D320" s="165" t="s">
        <v>283</v>
      </c>
      <c r="E320" s="162">
        <v>26299</v>
      </c>
      <c r="F320" s="166" t="str">
        <f t="shared" si="13"/>
        <v>Date check - OK</v>
      </c>
      <c r="G320" s="68"/>
      <c r="H320" s="162" t="s">
        <v>280</v>
      </c>
      <c r="I320" s="173">
        <v>21853.086195380012</v>
      </c>
      <c r="J320" s="168">
        <f>IFERROR(MIN('MP Calculations'!$E$30/I320,1),"-")</f>
        <v>0.32927792945511891</v>
      </c>
      <c r="K320" s="12"/>
      <c r="L320" s="159">
        <v>1.063766</v>
      </c>
      <c r="M320" s="187" t="s">
        <v>293</v>
      </c>
      <c r="N320" s="187">
        <v>192.78728599999999</v>
      </c>
      <c r="O320" s="186">
        <f t="shared" si="14"/>
        <v>205.08056007907598</v>
      </c>
      <c r="P320" s="186">
        <f t="shared" si="15"/>
        <v>67.528502194334251</v>
      </c>
      <c r="Q320" s="215">
        <f>IF(P320="-",0,P320/(1+'General inputs'!$H$30)^'MP Calculations'!$C$40)</f>
        <v>150.0003194868948</v>
      </c>
    </row>
    <row r="321" spans="3:17">
      <c r="C321" s="159"/>
      <c r="D321" s="165" t="s">
        <v>282</v>
      </c>
      <c r="E321" s="162">
        <v>26665</v>
      </c>
      <c r="F321" s="166" t="str">
        <f t="shared" si="13"/>
        <v>Date check - OK</v>
      </c>
      <c r="G321" s="68"/>
      <c r="H321" s="162" t="s">
        <v>280</v>
      </c>
      <c r="I321" s="173">
        <v>21853.086195380012</v>
      </c>
      <c r="J321" s="168">
        <f>IFERROR(MIN('MP Calculations'!$E$30/I321,1),"-")</f>
        <v>0.32927792945511891</v>
      </c>
      <c r="K321" s="12"/>
      <c r="L321" s="159">
        <v>35.821072999999998</v>
      </c>
      <c r="M321" s="187" t="s">
        <v>293</v>
      </c>
      <c r="N321" s="187">
        <v>237.97403299999999</v>
      </c>
      <c r="O321" s="186">
        <f t="shared" si="14"/>
        <v>8524.4852081974077</v>
      </c>
      <c r="P321" s="186">
        <f t="shared" si="15"/>
        <v>2806.9248390260304</v>
      </c>
      <c r="Q321" s="215">
        <f>IF(P321="-",0,P321/(1+'General inputs'!$H$30)^'MP Calculations'!$C$40)</f>
        <v>6234.9912843903003</v>
      </c>
    </row>
    <row r="322" spans="3:17">
      <c r="C322" s="159"/>
      <c r="D322" s="165" t="s">
        <v>282</v>
      </c>
      <c r="E322" s="162">
        <v>26665</v>
      </c>
      <c r="F322" s="166" t="str">
        <f t="shared" si="13"/>
        <v>Date check - OK</v>
      </c>
      <c r="G322" s="68"/>
      <c r="H322" s="162" t="s">
        <v>280</v>
      </c>
      <c r="I322" s="173">
        <v>21853.086195380012</v>
      </c>
      <c r="J322" s="168">
        <f>IFERROR(MIN('MP Calculations'!$E$30/I322,1),"-")</f>
        <v>0.32927792945511891</v>
      </c>
      <c r="K322" s="12"/>
      <c r="L322" s="159">
        <v>65.956018</v>
      </c>
      <c r="M322" s="187" t="s">
        <v>293</v>
      </c>
      <c r="N322" s="187">
        <v>237.97403299999999</v>
      </c>
      <c r="O322" s="186">
        <f t="shared" si="14"/>
        <v>15695.819604080594</v>
      </c>
      <c r="P322" s="186">
        <f t="shared" si="15"/>
        <v>5168.2869803327221</v>
      </c>
      <c r="Q322" s="215">
        <f>IF(P322="-",0,P322/(1+'General inputs'!$H$30)^'MP Calculations'!$C$40)</f>
        <v>11480.259047044454</v>
      </c>
    </row>
    <row r="323" spans="3:17">
      <c r="C323" s="159"/>
      <c r="D323" s="165" t="s">
        <v>282</v>
      </c>
      <c r="E323" s="162">
        <v>26689</v>
      </c>
      <c r="F323" s="166" t="str">
        <f t="shared" si="13"/>
        <v>Date check - OK</v>
      </c>
      <c r="G323" s="68"/>
      <c r="H323" s="162" t="s">
        <v>280</v>
      </c>
      <c r="I323" s="173">
        <v>21853.086195380012</v>
      </c>
      <c r="J323" s="168">
        <f>IFERROR(MIN('MP Calculations'!$E$30/I323,1),"-")</f>
        <v>0.32927792945511891</v>
      </c>
      <c r="K323" s="12"/>
      <c r="L323" s="159">
        <v>67.181168</v>
      </c>
      <c r="M323" s="187" t="s">
        <v>293</v>
      </c>
      <c r="N323" s="187">
        <v>237.97403299999999</v>
      </c>
      <c r="O323" s="186">
        <f t="shared" si="14"/>
        <v>15987.373490610544</v>
      </c>
      <c r="P323" s="186">
        <f t="shared" si="15"/>
        <v>5264.2892404138966</v>
      </c>
      <c r="Q323" s="215">
        <f>IF(P323="-",0,P323/(1+'General inputs'!$H$30)^'MP Calculations'!$C$40)</f>
        <v>11693.507811872654</v>
      </c>
    </row>
    <row r="324" spans="3:17">
      <c r="C324" s="159"/>
      <c r="D324" s="165" t="s">
        <v>282</v>
      </c>
      <c r="E324" s="162">
        <v>26689</v>
      </c>
      <c r="F324" s="166" t="str">
        <f t="shared" si="13"/>
        <v>Date check - OK</v>
      </c>
      <c r="G324" s="68"/>
      <c r="H324" s="162" t="s">
        <v>280</v>
      </c>
      <c r="I324" s="173">
        <v>21853.086195380012</v>
      </c>
      <c r="J324" s="168">
        <f>IFERROR(MIN('MP Calculations'!$E$30/I324,1),"-")</f>
        <v>0.32927792945511891</v>
      </c>
      <c r="K324" s="12"/>
      <c r="L324" s="159">
        <v>33.631371000000001</v>
      </c>
      <c r="M324" s="187" t="s">
        <v>293</v>
      </c>
      <c r="N324" s="187">
        <v>237.97403299999999</v>
      </c>
      <c r="O324" s="186">
        <f t="shared" si="14"/>
        <v>8003.3929921892432</v>
      </c>
      <c r="P324" s="186">
        <f t="shared" si="15"/>
        <v>2635.3406730836828</v>
      </c>
      <c r="Q324" s="215">
        <f>IF(P324="-",0,P324/(1+'General inputs'!$H$30)^'MP Calculations'!$C$40)</f>
        <v>5853.8532630526379</v>
      </c>
    </row>
    <row r="325" spans="3:17">
      <c r="C325" s="159"/>
      <c r="D325" s="165" t="s">
        <v>288</v>
      </c>
      <c r="E325" s="162">
        <v>26845</v>
      </c>
      <c r="F325" s="166" t="str">
        <f t="shared" si="13"/>
        <v>Date check - OK</v>
      </c>
      <c r="G325" s="68"/>
      <c r="H325" s="162" t="s">
        <v>280</v>
      </c>
      <c r="I325" s="173">
        <v>21853.086195380012</v>
      </c>
      <c r="J325" s="168">
        <f>IFERROR(MIN('MP Calculations'!$E$30/I325,1),"-")</f>
        <v>0.32927792945511891</v>
      </c>
      <c r="K325" s="12"/>
      <c r="L325" s="159">
        <v>1</v>
      </c>
      <c r="M325" s="187" t="s">
        <v>294</v>
      </c>
      <c r="N325" s="187">
        <v>881334.54362400004</v>
      </c>
      <c r="O325" s="186">
        <f t="shared" si="14"/>
        <v>881334.54362400004</v>
      </c>
      <c r="P325" s="186">
        <f t="shared" si="15"/>
        <v>290204.01368178293</v>
      </c>
      <c r="Q325" s="215">
        <f>IF(P325="-",0,P325/(1+'General inputs'!$H$30)^'MP Calculations'!$C$40)</f>
        <v>644626.98496367538</v>
      </c>
    </row>
    <row r="326" spans="3:17">
      <c r="C326" s="159"/>
      <c r="D326" s="165" t="s">
        <v>287</v>
      </c>
      <c r="E326" s="162">
        <v>26845</v>
      </c>
      <c r="F326" s="166" t="str">
        <f t="shared" si="13"/>
        <v>Date check - OK</v>
      </c>
      <c r="G326" s="68"/>
      <c r="H326" s="162" t="s">
        <v>280</v>
      </c>
      <c r="I326" s="173">
        <v>21853.086195380012</v>
      </c>
      <c r="J326" s="168">
        <f>IFERROR(MIN('MP Calculations'!$E$30/I326,1),"-")</f>
        <v>0.32927792945511891</v>
      </c>
      <c r="K326" s="12"/>
      <c r="L326" s="159">
        <v>1</v>
      </c>
      <c r="M326" s="187" t="s">
        <v>294</v>
      </c>
      <c r="N326" s="187">
        <v>7525.0630870000005</v>
      </c>
      <c r="O326" s="186">
        <f t="shared" si="14"/>
        <v>7525.0630870000005</v>
      </c>
      <c r="P326" s="186">
        <f t="shared" si="15"/>
        <v>2477.8371923065056</v>
      </c>
      <c r="Q326" s="215">
        <f>IF(P326="-",0,P326/(1+'General inputs'!$H$30)^'MP Calculations'!$C$40)</f>
        <v>5503.992512863264</v>
      </c>
    </row>
    <row r="327" spans="3:17">
      <c r="C327" s="159"/>
      <c r="D327" s="165" t="s">
        <v>282</v>
      </c>
      <c r="E327" s="162">
        <v>27030</v>
      </c>
      <c r="F327" s="166" t="str">
        <f t="shared" si="13"/>
        <v>Date check - OK</v>
      </c>
      <c r="G327" s="68"/>
      <c r="H327" s="162" t="s">
        <v>280</v>
      </c>
      <c r="I327" s="173">
        <v>21853.086195380012</v>
      </c>
      <c r="J327" s="168">
        <f>IFERROR(MIN('MP Calculations'!$E$30/I327,1),"-")</f>
        <v>0.32927792945511891</v>
      </c>
      <c r="K327" s="12"/>
      <c r="L327" s="159">
        <v>61.288953999999997</v>
      </c>
      <c r="M327" s="187" t="s">
        <v>293</v>
      </c>
      <c r="N327" s="187">
        <v>237.97403299999999</v>
      </c>
      <c r="O327" s="186">
        <f t="shared" si="14"/>
        <v>14585.17956173148</v>
      </c>
      <c r="P327" s="186">
        <f t="shared" si="15"/>
        <v>4802.5777268180609</v>
      </c>
      <c r="Q327" s="215">
        <f>IF(P327="-",0,P327/(1+'General inputs'!$H$30)^'MP Calculations'!$C$40)</f>
        <v>10667.913102977069</v>
      </c>
    </row>
    <row r="328" spans="3:17">
      <c r="C328" s="159"/>
      <c r="D328" s="165" t="s">
        <v>282</v>
      </c>
      <c r="E328" s="162">
        <v>27030</v>
      </c>
      <c r="F328" s="166" t="str">
        <f t="shared" si="13"/>
        <v>Date check - OK</v>
      </c>
      <c r="G328" s="68"/>
      <c r="H328" s="162" t="s">
        <v>280</v>
      </c>
      <c r="I328" s="173">
        <v>21853.086195380012</v>
      </c>
      <c r="J328" s="168">
        <f>IFERROR(MIN('MP Calculations'!$E$30/I328,1),"-")</f>
        <v>0.32927792945511891</v>
      </c>
      <c r="K328" s="12"/>
      <c r="L328" s="159">
        <v>33.487012999999997</v>
      </c>
      <c r="M328" s="187" t="s">
        <v>293</v>
      </c>
      <c r="N328" s="187">
        <v>237.97403299999999</v>
      </c>
      <c r="O328" s="186">
        <f t="shared" si="14"/>
        <v>7969.0395367334277</v>
      </c>
      <c r="P328" s="186">
        <f t="shared" si="15"/>
        <v>2624.028838401563</v>
      </c>
      <c r="Q328" s="215">
        <f>IF(P328="-",0,P328/(1+'General inputs'!$H$30)^'MP Calculations'!$C$40)</f>
        <v>5828.7264090404178</v>
      </c>
    </row>
    <row r="329" spans="3:17">
      <c r="C329" s="159"/>
      <c r="D329" s="165" t="s">
        <v>282</v>
      </c>
      <c r="E329" s="162">
        <v>27030</v>
      </c>
      <c r="F329" s="166" t="str">
        <f t="shared" si="13"/>
        <v>Date check - OK</v>
      </c>
      <c r="G329" s="68"/>
      <c r="H329" s="162" t="s">
        <v>280</v>
      </c>
      <c r="I329" s="173">
        <v>21853.086195380012</v>
      </c>
      <c r="J329" s="168">
        <f>IFERROR(MIN('MP Calculations'!$E$30/I329,1),"-")</f>
        <v>0.32927792945511891</v>
      </c>
      <c r="K329" s="12"/>
      <c r="L329" s="159">
        <v>30.901202999999999</v>
      </c>
      <c r="M329" s="187" t="s">
        <v>293</v>
      </c>
      <c r="N329" s="187">
        <v>237.97403299999999</v>
      </c>
      <c r="O329" s="186">
        <f t="shared" si="14"/>
        <v>7353.6839024616984</v>
      </c>
      <c r="P329" s="186">
        <f t="shared" si="15"/>
        <v>2421.4058092700266</v>
      </c>
      <c r="Q329" s="215">
        <f>IF(P329="-",0,P329/(1+'General inputs'!$H$30)^'MP Calculations'!$C$40)</f>
        <v>5378.6421021552151</v>
      </c>
    </row>
    <row r="330" spans="3:17">
      <c r="C330" s="159"/>
      <c r="D330" s="165" t="s">
        <v>282</v>
      </c>
      <c r="E330" s="162">
        <v>27030</v>
      </c>
      <c r="F330" s="166" t="str">
        <f t="shared" si="13"/>
        <v>Date check - OK</v>
      </c>
      <c r="G330" s="68"/>
      <c r="H330" s="162" t="s">
        <v>280</v>
      </c>
      <c r="I330" s="173">
        <v>21853.086195380012</v>
      </c>
      <c r="J330" s="168">
        <f>IFERROR(MIN('MP Calculations'!$E$30/I330,1),"-")</f>
        <v>0.32927792945511891</v>
      </c>
      <c r="K330" s="12"/>
      <c r="L330" s="159">
        <v>0.60287599999999997</v>
      </c>
      <c r="M330" s="187" t="s">
        <v>293</v>
      </c>
      <c r="N330" s="187">
        <v>237.97403299999999</v>
      </c>
      <c r="O330" s="186">
        <f t="shared" si="14"/>
        <v>143.46883311890798</v>
      </c>
      <c r="P330" s="186">
        <f t="shared" si="15"/>
        <v>47.241120310736008</v>
      </c>
      <c r="Q330" s="215">
        <f>IF(P330="-",0,P330/(1+'General inputs'!$H$30)^'MP Calculations'!$C$40)</f>
        <v>104.93618115705486</v>
      </c>
    </row>
    <row r="331" spans="3:17">
      <c r="C331" s="159"/>
      <c r="D331" s="165" t="s">
        <v>283</v>
      </c>
      <c r="E331" s="162">
        <v>27030</v>
      </c>
      <c r="F331" s="166" t="str">
        <f t="shared" si="13"/>
        <v>Date check - OK</v>
      </c>
      <c r="G331" s="68"/>
      <c r="H331" s="162" t="s">
        <v>280</v>
      </c>
      <c r="I331" s="173">
        <v>21853.086195380012</v>
      </c>
      <c r="J331" s="168">
        <f>IFERROR(MIN('MP Calculations'!$E$30/I331,1),"-")</f>
        <v>0.32927792945511891</v>
      </c>
      <c r="K331" s="12"/>
      <c r="L331" s="159">
        <v>4.2377479999999998</v>
      </c>
      <c r="M331" s="187" t="s">
        <v>293</v>
      </c>
      <c r="N331" s="187">
        <v>192.78728599999999</v>
      </c>
      <c r="O331" s="186">
        <f t="shared" si="14"/>
        <v>816.98393567192795</v>
      </c>
      <c r="P331" s="186">
        <f t="shared" si="15"/>
        <v>269.01477873614652</v>
      </c>
      <c r="Q331" s="215">
        <f>IF(P331="-",0,P331/(1+'General inputs'!$H$30)^'MP Calculations'!$C$40)</f>
        <v>597.55957034249036</v>
      </c>
    </row>
    <row r="332" spans="3:17">
      <c r="C332" s="159"/>
      <c r="D332" s="165" t="s">
        <v>282</v>
      </c>
      <c r="E332" s="162">
        <v>27030</v>
      </c>
      <c r="F332" s="166" t="str">
        <f t="shared" si="13"/>
        <v>Date check - OK</v>
      </c>
      <c r="G332" s="68"/>
      <c r="H332" s="162" t="s">
        <v>280</v>
      </c>
      <c r="I332" s="173">
        <v>21853.086195380012</v>
      </c>
      <c r="J332" s="168">
        <f>IFERROR(MIN('MP Calculations'!$E$30/I332,1),"-")</f>
        <v>0.32927792945511891</v>
      </c>
      <c r="K332" s="12"/>
      <c r="L332" s="159">
        <v>55.268093999999998</v>
      </c>
      <c r="M332" s="187" t="s">
        <v>293</v>
      </c>
      <c r="N332" s="187">
        <v>237.97403299999999</v>
      </c>
      <c r="O332" s="186">
        <f t="shared" si="14"/>
        <v>13152.371225403102</v>
      </c>
      <c r="P332" s="186">
        <f t="shared" si="15"/>
        <v>4330.7855645258187</v>
      </c>
      <c r="Q332" s="215">
        <f>IF(P332="-",0,P332/(1+'General inputs'!$H$30)^'MP Calculations'!$C$40)</f>
        <v>9619.9263599631413</v>
      </c>
    </row>
    <row r="333" spans="3:17">
      <c r="C333" s="159"/>
      <c r="D333" s="165" t="s">
        <v>282</v>
      </c>
      <c r="E333" s="162">
        <v>27030</v>
      </c>
      <c r="F333" s="166" t="str">
        <f t="shared" si="13"/>
        <v>Date check - OK</v>
      </c>
      <c r="G333" s="68"/>
      <c r="H333" s="162" t="s">
        <v>280</v>
      </c>
      <c r="I333" s="173">
        <v>21853.086195380012</v>
      </c>
      <c r="J333" s="168">
        <f>IFERROR(MIN('MP Calculations'!$E$30/I333,1),"-")</f>
        <v>0.32927792945511891</v>
      </c>
      <c r="K333" s="12"/>
      <c r="L333" s="159">
        <v>2.7394959999999999</v>
      </c>
      <c r="M333" s="187" t="s">
        <v>293</v>
      </c>
      <c r="N333" s="187">
        <v>237.97403299999999</v>
      </c>
      <c r="O333" s="186">
        <f t="shared" si="14"/>
        <v>651.92891150736796</v>
      </c>
      <c r="P333" s="186">
        <f t="shared" si="15"/>
        <v>214.66580213307557</v>
      </c>
      <c r="Q333" s="215">
        <f>IF(P333="-",0,P333/(1+'General inputs'!$H$30)^'MP Calculations'!$C$40)</f>
        <v>476.83478615009921</v>
      </c>
    </row>
    <row r="334" spans="3:17">
      <c r="C334" s="159"/>
      <c r="D334" s="165" t="s">
        <v>282</v>
      </c>
      <c r="E334" s="162">
        <v>27030</v>
      </c>
      <c r="F334" s="166" t="str">
        <f t="shared" si="13"/>
        <v>Date check - OK</v>
      </c>
      <c r="G334" s="68"/>
      <c r="H334" s="162" t="s">
        <v>280</v>
      </c>
      <c r="I334" s="173">
        <v>21853.086195380012</v>
      </c>
      <c r="J334" s="168">
        <f>IFERROR(MIN('MP Calculations'!$E$30/I334,1),"-")</f>
        <v>0.32927792945511891</v>
      </c>
      <c r="K334" s="12"/>
      <c r="L334" s="159">
        <v>6.6185309999999999</v>
      </c>
      <c r="M334" s="187" t="s">
        <v>293</v>
      </c>
      <c r="N334" s="187">
        <v>237.97403299999999</v>
      </c>
      <c r="O334" s="186">
        <f t="shared" si="14"/>
        <v>1575.038514605523</v>
      </c>
      <c r="P334" s="186">
        <f t="shared" si="15"/>
        <v>518.62542090137265</v>
      </c>
      <c r="Q334" s="215">
        <f>IF(P334="-",0,P334/(1+'General inputs'!$H$30)^'MP Calculations'!$C$40)</f>
        <v>1152.0169454574134</v>
      </c>
    </row>
    <row r="335" spans="3:17">
      <c r="C335" s="159"/>
      <c r="D335" s="165" t="s">
        <v>282</v>
      </c>
      <c r="E335" s="162">
        <v>27030</v>
      </c>
      <c r="F335" s="166" t="str">
        <f t="shared" si="13"/>
        <v>Date check - OK</v>
      </c>
      <c r="G335" s="68"/>
      <c r="H335" s="162" t="s">
        <v>280</v>
      </c>
      <c r="I335" s="173">
        <v>21853.086195380012</v>
      </c>
      <c r="J335" s="168">
        <f>IFERROR(MIN('MP Calculations'!$E$30/I335,1),"-")</f>
        <v>0.32927792945511891</v>
      </c>
      <c r="K335" s="12"/>
      <c r="L335" s="159">
        <v>21.206271000000001</v>
      </c>
      <c r="M335" s="187" t="s">
        <v>293</v>
      </c>
      <c r="N335" s="187">
        <v>237.97403299999999</v>
      </c>
      <c r="O335" s="186">
        <f t="shared" si="14"/>
        <v>5046.5418347609429</v>
      </c>
      <c r="P335" s="186">
        <f t="shared" si="15"/>
        <v>1661.7148462587202</v>
      </c>
      <c r="Q335" s="215">
        <f>IF(P335="-",0,P335/(1+'General inputs'!$H$30)^'MP Calculations'!$C$40)</f>
        <v>3691.1489183871963</v>
      </c>
    </row>
    <row r="336" spans="3:17">
      <c r="C336" s="159"/>
      <c r="D336" s="165" t="s">
        <v>283</v>
      </c>
      <c r="E336" s="162">
        <v>27030</v>
      </c>
      <c r="F336" s="166" t="str">
        <f t="shared" si="13"/>
        <v>Date check - OK</v>
      </c>
      <c r="G336" s="68"/>
      <c r="H336" s="162" t="s">
        <v>280</v>
      </c>
      <c r="I336" s="173">
        <v>21853.086195380012</v>
      </c>
      <c r="J336" s="168">
        <f>IFERROR(MIN('MP Calculations'!$E$30/I336,1),"-")</f>
        <v>0.32927792945511891</v>
      </c>
      <c r="K336" s="12"/>
      <c r="L336" s="159">
        <v>0.67637400000000003</v>
      </c>
      <c r="M336" s="187" t="s">
        <v>293</v>
      </c>
      <c r="N336" s="187">
        <v>192.78728599999999</v>
      </c>
      <c r="O336" s="186">
        <f t="shared" si="14"/>
        <v>130.39630778096401</v>
      </c>
      <c r="P336" s="186">
        <f t="shared" si="15"/>
        <v>42.936626234708243</v>
      </c>
      <c r="Q336" s="215">
        <f>IF(P336="-",0,P336/(1+'General inputs'!$H$30)^'MP Calculations'!$C$40)</f>
        <v>95.374655791432531</v>
      </c>
    </row>
    <row r="337" spans="3:17">
      <c r="C337" s="159"/>
      <c r="D337" s="165" t="s">
        <v>282</v>
      </c>
      <c r="E337" s="162">
        <v>27030</v>
      </c>
      <c r="F337" s="166" t="str">
        <f t="shared" si="13"/>
        <v>Date check - OK</v>
      </c>
      <c r="G337" s="68"/>
      <c r="H337" s="162" t="s">
        <v>280</v>
      </c>
      <c r="I337" s="173">
        <v>21853.086195380012</v>
      </c>
      <c r="J337" s="168">
        <f>IFERROR(MIN('MP Calculations'!$E$30/I337,1),"-")</f>
        <v>0.32927792945511891</v>
      </c>
      <c r="K337" s="12"/>
      <c r="L337" s="159">
        <v>0.77081299999999997</v>
      </c>
      <c r="M337" s="187" t="s">
        <v>293</v>
      </c>
      <c r="N337" s="187">
        <v>237.97403299999999</v>
      </c>
      <c r="O337" s="186">
        <f t="shared" si="14"/>
        <v>183.43347829882899</v>
      </c>
      <c r="P337" s="186">
        <f t="shared" si="15"/>
        <v>60.400595926988899</v>
      </c>
      <c r="Q337" s="215">
        <f>IF(P337="-",0,P337/(1+'General inputs'!$H$30)^'MP Calculations'!$C$40)</f>
        <v>134.16717966250596</v>
      </c>
    </row>
    <row r="338" spans="3:17">
      <c r="C338" s="159"/>
      <c r="D338" s="165" t="s">
        <v>282</v>
      </c>
      <c r="E338" s="162">
        <v>27030</v>
      </c>
      <c r="F338" s="166" t="str">
        <f t="shared" si="13"/>
        <v>Date check - OK</v>
      </c>
      <c r="G338" s="68"/>
      <c r="H338" s="162" t="s">
        <v>280</v>
      </c>
      <c r="I338" s="173">
        <v>21853.086195380012</v>
      </c>
      <c r="J338" s="168">
        <f>IFERROR(MIN('MP Calculations'!$E$30/I338,1),"-")</f>
        <v>0.32927792945511891</v>
      </c>
      <c r="K338" s="12"/>
      <c r="L338" s="159">
        <v>3.7140049999999998</v>
      </c>
      <c r="M338" s="187" t="s">
        <v>293</v>
      </c>
      <c r="N338" s="187">
        <v>237.97403299999999</v>
      </c>
      <c r="O338" s="186">
        <f t="shared" si="14"/>
        <v>883.83674843216488</v>
      </c>
      <c r="P338" s="186">
        <f t="shared" si="15"/>
        <v>291.02793450008807</v>
      </c>
      <c r="Q338" s="215">
        <f>IF(P338="-",0,P338/(1+'General inputs'!$H$30)^'MP Calculations'!$C$40)</f>
        <v>646.457151218837</v>
      </c>
    </row>
    <row r="339" spans="3:17">
      <c r="C339" s="159"/>
      <c r="D339" s="165" t="s">
        <v>282</v>
      </c>
      <c r="E339" s="162">
        <v>27030</v>
      </c>
      <c r="F339" s="166" t="str">
        <f t="shared" si="13"/>
        <v>Date check - OK</v>
      </c>
      <c r="G339" s="68"/>
      <c r="H339" s="162" t="s">
        <v>280</v>
      </c>
      <c r="I339" s="173">
        <v>21853.086195380012</v>
      </c>
      <c r="J339" s="168">
        <f>IFERROR(MIN('MP Calculations'!$E$30/I339,1),"-")</f>
        <v>0.32927792945511891</v>
      </c>
      <c r="K339" s="12"/>
      <c r="L339" s="159">
        <v>0.59459300000000004</v>
      </c>
      <c r="M339" s="187" t="s">
        <v>293</v>
      </c>
      <c r="N339" s="187">
        <v>237.97403299999999</v>
      </c>
      <c r="O339" s="186">
        <f t="shared" si="14"/>
        <v>141.49769420356901</v>
      </c>
      <c r="P339" s="186">
        <f t="shared" si="15"/>
        <v>46.592067770024784</v>
      </c>
      <c r="Q339" s="215">
        <f>IF(P339="-",0,P339/(1+'General inputs'!$H$30)^'MP Calculations'!$C$40)</f>
        <v>103.49444788433564</v>
      </c>
    </row>
    <row r="340" spans="3:17">
      <c r="C340" s="159"/>
      <c r="D340" s="165" t="s">
        <v>282</v>
      </c>
      <c r="E340" s="162">
        <v>27030</v>
      </c>
      <c r="F340" s="166" t="str">
        <f t="shared" si="13"/>
        <v>Date check - OK</v>
      </c>
      <c r="G340" s="68"/>
      <c r="H340" s="162" t="s">
        <v>280</v>
      </c>
      <c r="I340" s="173">
        <v>21853.086195380012</v>
      </c>
      <c r="J340" s="168">
        <f>IFERROR(MIN('MP Calculations'!$E$30/I340,1),"-")</f>
        <v>0.32927792945511891</v>
      </c>
      <c r="K340" s="12"/>
      <c r="L340" s="159">
        <v>36.491619</v>
      </c>
      <c r="M340" s="187" t="s">
        <v>293</v>
      </c>
      <c r="N340" s="187">
        <v>237.97403299999999</v>
      </c>
      <c r="O340" s="186">
        <f t="shared" si="14"/>
        <v>8684.0577441294263</v>
      </c>
      <c r="P340" s="186">
        <f t="shared" si="15"/>
        <v>2859.4685532556282</v>
      </c>
      <c r="Q340" s="215">
        <f>IF(P340="-",0,P340/(1+'General inputs'!$H$30)^'MP Calculations'!$C$40)</f>
        <v>6351.7060591203253</v>
      </c>
    </row>
    <row r="341" spans="3:17">
      <c r="C341" s="159"/>
      <c r="D341" s="165" t="s">
        <v>282</v>
      </c>
      <c r="E341" s="162">
        <v>27030</v>
      </c>
      <c r="F341" s="166" t="str">
        <f t="shared" si="13"/>
        <v>Date check - OK</v>
      </c>
      <c r="G341" s="68"/>
      <c r="H341" s="162" t="s">
        <v>280</v>
      </c>
      <c r="I341" s="173">
        <v>21853.086195380012</v>
      </c>
      <c r="J341" s="168">
        <f>IFERROR(MIN('MP Calculations'!$E$30/I341,1),"-")</f>
        <v>0.32927792945511891</v>
      </c>
      <c r="K341" s="12"/>
      <c r="L341" s="159">
        <v>28.970302</v>
      </c>
      <c r="M341" s="187" t="s">
        <v>293</v>
      </c>
      <c r="N341" s="187">
        <v>237.97403299999999</v>
      </c>
      <c r="O341" s="186">
        <f t="shared" si="14"/>
        <v>6894.1796041679654</v>
      </c>
      <c r="P341" s="186">
        <f t="shared" si="15"/>
        <v>2270.1011853521391</v>
      </c>
      <c r="Q341" s="215">
        <f>IF(P341="-",0,P341/(1+'General inputs'!$H$30)^'MP Calculations'!$C$40)</f>
        <v>5042.5508045544839</v>
      </c>
    </row>
    <row r="342" spans="3:17">
      <c r="C342" s="159"/>
      <c r="D342" s="165" t="s">
        <v>282</v>
      </c>
      <c r="E342" s="162">
        <v>27030</v>
      </c>
      <c r="F342" s="166" t="str">
        <f t="shared" si="13"/>
        <v>Date check - OK</v>
      </c>
      <c r="G342" s="68"/>
      <c r="H342" s="162" t="s">
        <v>280</v>
      </c>
      <c r="I342" s="173">
        <v>21853.086195380012</v>
      </c>
      <c r="J342" s="168">
        <f>IFERROR(MIN('MP Calculations'!$E$30/I342,1),"-")</f>
        <v>0.32927792945511891</v>
      </c>
      <c r="K342" s="12"/>
      <c r="L342" s="159">
        <v>7.6930360000000002</v>
      </c>
      <c r="M342" s="187" t="s">
        <v>293</v>
      </c>
      <c r="N342" s="187">
        <v>237.97403299999999</v>
      </c>
      <c r="O342" s="186">
        <f t="shared" si="14"/>
        <v>1830.7428029341879</v>
      </c>
      <c r="P342" s="186">
        <f t="shared" si="15"/>
        <v>602.82319951503018</v>
      </c>
      <c r="Q342" s="215">
        <f>IF(P342="-",0,P342/(1+'General inputs'!$H$30)^'MP Calculations'!$C$40)</f>
        <v>1339.0445453853608</v>
      </c>
    </row>
    <row r="343" spans="3:17">
      <c r="C343" s="159"/>
      <c r="D343" s="165" t="s">
        <v>283</v>
      </c>
      <c r="E343" s="162">
        <v>27030</v>
      </c>
      <c r="F343" s="166" t="str">
        <f t="shared" ref="F343:F406" si="16">IF(E343="","-",IF(OR(E343&lt;$E$15,E343&gt;$E$16),"ERROR - date outside of range","Date check - OK"))</f>
        <v>Date check - OK</v>
      </c>
      <c r="G343" s="68"/>
      <c r="H343" s="162" t="s">
        <v>280</v>
      </c>
      <c r="I343" s="173">
        <v>21853.086195380012</v>
      </c>
      <c r="J343" s="168">
        <f>IFERROR(MIN('MP Calculations'!$E$30/I343,1),"-")</f>
        <v>0.32927792945511891</v>
      </c>
      <c r="K343" s="12"/>
      <c r="L343" s="159">
        <v>12.694428</v>
      </c>
      <c r="M343" s="187" t="s">
        <v>293</v>
      </c>
      <c r="N343" s="187">
        <v>192.78728599999999</v>
      </c>
      <c r="O343" s="186">
        <f t="shared" ref="O343:O406" si="17">IF(N343="","-",L343*N343)</f>
        <v>2447.3243214424078</v>
      </c>
      <c r="P343" s="186">
        <f t="shared" ref="P343:P406" si="18">IF(O343="-","-",IF(OR(E343&lt;$E$15,E343&gt;$E$16),0,O343*J343))</f>
        <v>805.84988526970994</v>
      </c>
      <c r="Q343" s="215">
        <f>IF(P343="-",0,P343/(1+'General inputs'!$H$30)^'MP Calculations'!$C$40)</f>
        <v>1790.0254902895779</v>
      </c>
    </row>
    <row r="344" spans="3:17">
      <c r="C344" s="159"/>
      <c r="D344" s="165" t="s">
        <v>282</v>
      </c>
      <c r="E344" s="162">
        <v>27030</v>
      </c>
      <c r="F344" s="166" t="str">
        <f t="shared" si="16"/>
        <v>Date check - OK</v>
      </c>
      <c r="G344" s="68"/>
      <c r="H344" s="162" t="s">
        <v>280</v>
      </c>
      <c r="I344" s="173">
        <v>21853.086195380012</v>
      </c>
      <c r="J344" s="168">
        <f>IFERROR(MIN('MP Calculations'!$E$30/I344,1),"-")</f>
        <v>0.32927792945511891</v>
      </c>
      <c r="K344" s="12"/>
      <c r="L344" s="159">
        <v>25.462083</v>
      </c>
      <c r="M344" s="187" t="s">
        <v>293</v>
      </c>
      <c r="N344" s="187">
        <v>237.97403299999999</v>
      </c>
      <c r="O344" s="186">
        <f t="shared" si="17"/>
        <v>6059.3145800907387</v>
      </c>
      <c r="P344" s="186">
        <f t="shared" si="18"/>
        <v>1995.1985588494917</v>
      </c>
      <c r="Q344" s="215">
        <f>IF(P344="-",0,P344/(1+'General inputs'!$H$30)^'MP Calculations'!$C$40)</f>
        <v>4431.912622701795</v>
      </c>
    </row>
    <row r="345" spans="3:17">
      <c r="C345" s="159"/>
      <c r="D345" s="165" t="s">
        <v>283</v>
      </c>
      <c r="E345" s="162">
        <v>27030</v>
      </c>
      <c r="F345" s="166" t="str">
        <f t="shared" si="16"/>
        <v>Date check - OK</v>
      </c>
      <c r="G345" s="68"/>
      <c r="H345" s="162" t="s">
        <v>280</v>
      </c>
      <c r="I345" s="173">
        <v>21853.086195380012</v>
      </c>
      <c r="J345" s="168">
        <f>IFERROR(MIN('MP Calculations'!$E$30/I345,1),"-")</f>
        <v>0.32927792945511891</v>
      </c>
      <c r="K345" s="12"/>
      <c r="L345" s="159">
        <v>3.4989129999999999</v>
      </c>
      <c r="M345" s="187" t="s">
        <v>293</v>
      </c>
      <c r="N345" s="187">
        <v>192.78728599999999</v>
      </c>
      <c r="O345" s="186">
        <f t="shared" si="17"/>
        <v>674.54594122011792</v>
      </c>
      <c r="P345" s="186">
        <f t="shared" si="18"/>
        <v>222.11309084731477</v>
      </c>
      <c r="Q345" s="215">
        <f>IF(P345="-",0,P345/(1+'General inputs'!$H$30)^'MP Calculations'!$C$40)</f>
        <v>493.37736669234545</v>
      </c>
    </row>
    <row r="346" spans="3:17">
      <c r="C346" s="159"/>
      <c r="D346" s="165" t="s">
        <v>283</v>
      </c>
      <c r="E346" s="162">
        <v>27030</v>
      </c>
      <c r="F346" s="166" t="str">
        <f t="shared" si="16"/>
        <v>Date check - OK</v>
      </c>
      <c r="G346" s="68"/>
      <c r="H346" s="162" t="s">
        <v>280</v>
      </c>
      <c r="I346" s="173">
        <v>21853.086195380012</v>
      </c>
      <c r="J346" s="168">
        <f>IFERROR(MIN('MP Calculations'!$E$30/I346,1),"-")</f>
        <v>0.32927792945511891</v>
      </c>
      <c r="K346" s="12"/>
      <c r="L346" s="159">
        <v>89.623647000000005</v>
      </c>
      <c r="M346" s="187" t="s">
        <v>293</v>
      </c>
      <c r="N346" s="187">
        <v>192.78728599999999</v>
      </c>
      <c r="O346" s="186">
        <f t="shared" si="17"/>
        <v>17278.299666552044</v>
      </c>
      <c r="P346" s="186">
        <f t="shared" si="18"/>
        <v>5689.3627387073284</v>
      </c>
      <c r="Q346" s="215">
        <f>IF(P346="-",0,P346/(1+'General inputs'!$H$30)^'MP Calculations'!$C$40)</f>
        <v>12637.718900191097</v>
      </c>
    </row>
    <row r="347" spans="3:17">
      <c r="C347" s="159"/>
      <c r="D347" s="165" t="s">
        <v>283</v>
      </c>
      <c r="E347" s="162">
        <v>27030</v>
      </c>
      <c r="F347" s="166" t="str">
        <f t="shared" si="16"/>
        <v>Date check - OK</v>
      </c>
      <c r="G347" s="68"/>
      <c r="H347" s="162" t="s">
        <v>280</v>
      </c>
      <c r="I347" s="173">
        <v>21853.086195380012</v>
      </c>
      <c r="J347" s="168">
        <f>IFERROR(MIN('MP Calculations'!$E$30/I347,1),"-")</f>
        <v>0.32927792945511891</v>
      </c>
      <c r="K347" s="12"/>
      <c r="L347" s="159">
        <v>15.898220999999999</v>
      </c>
      <c r="M347" s="187" t="s">
        <v>293</v>
      </c>
      <c r="N347" s="187">
        <v>192.78728599999999</v>
      </c>
      <c r="O347" s="186">
        <f t="shared" si="17"/>
        <v>3064.974878818206</v>
      </c>
      <c r="P347" s="186">
        <f t="shared" si="18"/>
        <v>1009.2285819292129</v>
      </c>
      <c r="Q347" s="215">
        <f>IF(P347="-",0,P347/(1+'General inputs'!$H$30)^'MP Calculations'!$C$40)</f>
        <v>2241.7883531465195</v>
      </c>
    </row>
    <row r="348" spans="3:17">
      <c r="C348" s="159"/>
      <c r="D348" s="165" t="s">
        <v>282</v>
      </c>
      <c r="E348" s="162">
        <v>27030</v>
      </c>
      <c r="F348" s="166" t="str">
        <f t="shared" si="16"/>
        <v>Date check - OK</v>
      </c>
      <c r="G348" s="68"/>
      <c r="H348" s="162" t="s">
        <v>280</v>
      </c>
      <c r="I348" s="173">
        <v>21853.086195380012</v>
      </c>
      <c r="J348" s="168">
        <f>IFERROR(MIN('MP Calculations'!$E$30/I348,1),"-")</f>
        <v>0.32927792945511891</v>
      </c>
      <c r="K348" s="12"/>
      <c r="L348" s="159">
        <v>86.458709999999996</v>
      </c>
      <c r="M348" s="187" t="s">
        <v>293</v>
      </c>
      <c r="N348" s="187">
        <v>237.97403299999999</v>
      </c>
      <c r="O348" s="186">
        <f t="shared" si="17"/>
        <v>20574.927906677429</v>
      </c>
      <c r="P348" s="186">
        <f t="shared" si="18"/>
        <v>6774.8696597990875</v>
      </c>
      <c r="Q348" s="215">
        <f>IF(P348="-",0,P348/(1+'General inputs'!$H$30)^'MP Calculations'!$C$40)</f>
        <v>15048.943489482534</v>
      </c>
    </row>
    <row r="349" spans="3:17">
      <c r="C349" s="159"/>
      <c r="D349" s="165" t="s">
        <v>283</v>
      </c>
      <c r="E349" s="162">
        <v>27030</v>
      </c>
      <c r="F349" s="166" t="str">
        <f t="shared" si="16"/>
        <v>Date check - OK</v>
      </c>
      <c r="G349" s="68"/>
      <c r="H349" s="162" t="s">
        <v>280</v>
      </c>
      <c r="I349" s="173">
        <v>21853.086195380012</v>
      </c>
      <c r="J349" s="168">
        <f>IFERROR(MIN('MP Calculations'!$E$30/I349,1),"-")</f>
        <v>0.32927792945511891</v>
      </c>
      <c r="K349" s="12"/>
      <c r="L349" s="159">
        <v>71.489832000000007</v>
      </c>
      <c r="M349" s="187" t="s">
        <v>293</v>
      </c>
      <c r="N349" s="187">
        <v>192.78728599999999</v>
      </c>
      <c r="O349" s="186">
        <f t="shared" si="17"/>
        <v>13782.330687875952</v>
      </c>
      <c r="P349" s="186">
        <f t="shared" si="18"/>
        <v>4538.2173119695381</v>
      </c>
      <c r="Q349" s="215">
        <f>IF(P349="-",0,P349/(1+'General inputs'!$H$30)^'MP Calculations'!$C$40)</f>
        <v>10080.69221996608</v>
      </c>
    </row>
    <row r="350" spans="3:17">
      <c r="C350" s="159"/>
      <c r="D350" s="165" t="s">
        <v>283</v>
      </c>
      <c r="E350" s="162">
        <v>27030</v>
      </c>
      <c r="F350" s="166" t="str">
        <f t="shared" si="16"/>
        <v>Date check - OK</v>
      </c>
      <c r="G350" s="68"/>
      <c r="H350" s="162" t="s">
        <v>280</v>
      </c>
      <c r="I350" s="173">
        <v>21853.086195380012</v>
      </c>
      <c r="J350" s="168">
        <f>IFERROR(MIN('MP Calculations'!$E$30/I350,1),"-")</f>
        <v>0.32927792945511891</v>
      </c>
      <c r="K350" s="12"/>
      <c r="L350" s="159">
        <v>71.769893999999994</v>
      </c>
      <c r="M350" s="187" t="s">
        <v>293</v>
      </c>
      <c r="N350" s="187">
        <v>192.78728599999999</v>
      </c>
      <c r="O350" s="186">
        <f t="shared" si="17"/>
        <v>13836.323080767683</v>
      </c>
      <c r="P350" s="186">
        <f t="shared" si="18"/>
        <v>4555.9958153072548</v>
      </c>
      <c r="Q350" s="215">
        <f>IF(P350="-",0,P350/(1+'General inputs'!$H$30)^'MP Calculations'!$C$40)</f>
        <v>10120.183413965642</v>
      </c>
    </row>
    <row r="351" spans="3:17">
      <c r="C351" s="159"/>
      <c r="D351" s="165" t="s">
        <v>283</v>
      </c>
      <c r="E351" s="162">
        <v>27030</v>
      </c>
      <c r="F351" s="166" t="str">
        <f t="shared" si="16"/>
        <v>Date check - OK</v>
      </c>
      <c r="G351" s="68"/>
      <c r="H351" s="162" t="s">
        <v>280</v>
      </c>
      <c r="I351" s="173">
        <v>21853.086195380012</v>
      </c>
      <c r="J351" s="168">
        <f>IFERROR(MIN('MP Calculations'!$E$30/I351,1),"-")</f>
        <v>0.32927792945511891</v>
      </c>
      <c r="K351" s="12"/>
      <c r="L351" s="159">
        <v>1.799183</v>
      </c>
      <c r="M351" s="187" t="s">
        <v>293</v>
      </c>
      <c r="N351" s="187">
        <v>192.78728599999999</v>
      </c>
      <c r="O351" s="186">
        <f t="shared" si="17"/>
        <v>346.85960758733796</v>
      </c>
      <c r="P351" s="186">
        <f t="shared" si="18"/>
        <v>114.2132133979737</v>
      </c>
      <c r="Q351" s="215">
        <f>IF(P351="-",0,P351/(1+'General inputs'!$H$30)^'MP Calculations'!$C$40)</f>
        <v>253.70055521175698</v>
      </c>
    </row>
    <row r="352" spans="3:17">
      <c r="C352" s="159"/>
      <c r="D352" s="165" t="s">
        <v>283</v>
      </c>
      <c r="E352" s="162">
        <v>27030</v>
      </c>
      <c r="F352" s="166" t="str">
        <f t="shared" si="16"/>
        <v>Date check - OK</v>
      </c>
      <c r="G352" s="68"/>
      <c r="H352" s="162" t="s">
        <v>280</v>
      </c>
      <c r="I352" s="173">
        <v>21853.086195380012</v>
      </c>
      <c r="J352" s="168">
        <f>IFERROR(MIN('MP Calculations'!$E$30/I352,1),"-")</f>
        <v>0.32927792945511891</v>
      </c>
      <c r="K352" s="12"/>
      <c r="L352" s="159">
        <v>61.070582999999999</v>
      </c>
      <c r="M352" s="187" t="s">
        <v>293</v>
      </c>
      <c r="N352" s="187">
        <v>192.78728599999999</v>
      </c>
      <c r="O352" s="186">
        <f t="shared" si="17"/>
        <v>11773.631951007737</v>
      </c>
      <c r="P352" s="186">
        <f t="shared" si="18"/>
        <v>3876.7971509944596</v>
      </c>
      <c r="Q352" s="215">
        <f>IF(P352="-",0,P352/(1+'General inputs'!$H$30)^'MP Calculations'!$C$40)</f>
        <v>8611.4868883296949</v>
      </c>
    </row>
    <row r="353" spans="3:17">
      <c r="C353" s="159"/>
      <c r="D353" s="165" t="s">
        <v>283</v>
      </c>
      <c r="E353" s="162">
        <v>27030</v>
      </c>
      <c r="F353" s="166" t="str">
        <f t="shared" si="16"/>
        <v>Date check - OK</v>
      </c>
      <c r="G353" s="68"/>
      <c r="H353" s="162" t="s">
        <v>280</v>
      </c>
      <c r="I353" s="173">
        <v>21853.086195380012</v>
      </c>
      <c r="J353" s="168">
        <f>IFERROR(MIN('MP Calculations'!$E$30/I353,1),"-")</f>
        <v>0.32927792945511891</v>
      </c>
      <c r="K353" s="12"/>
      <c r="L353" s="159">
        <v>61.845551</v>
      </c>
      <c r="M353" s="187" t="s">
        <v>293</v>
      </c>
      <c r="N353" s="187">
        <v>192.78728599999999</v>
      </c>
      <c r="O353" s="186">
        <f t="shared" si="17"/>
        <v>11923.035928464586</v>
      </c>
      <c r="P353" s="186">
        <f t="shared" si="18"/>
        <v>3925.9925833438101</v>
      </c>
      <c r="Q353" s="215">
        <f>IF(P353="-",0,P353/(1+'General inputs'!$H$30)^'MP Calculations'!$C$40)</f>
        <v>8720.7641613315773</v>
      </c>
    </row>
    <row r="354" spans="3:17">
      <c r="C354" s="159"/>
      <c r="D354" s="165" t="s">
        <v>283</v>
      </c>
      <c r="E354" s="162">
        <v>27030</v>
      </c>
      <c r="F354" s="166" t="str">
        <f t="shared" si="16"/>
        <v>Date check - OK</v>
      </c>
      <c r="G354" s="68"/>
      <c r="H354" s="162" t="s">
        <v>280</v>
      </c>
      <c r="I354" s="173">
        <v>21853.086195380012</v>
      </c>
      <c r="J354" s="168">
        <f>IFERROR(MIN('MP Calculations'!$E$30/I354,1),"-")</f>
        <v>0.32927792945511891</v>
      </c>
      <c r="K354" s="12"/>
      <c r="L354" s="159">
        <v>39.282794000000003</v>
      </c>
      <c r="M354" s="187" t="s">
        <v>293</v>
      </c>
      <c r="N354" s="187">
        <v>192.78728599999999</v>
      </c>
      <c r="O354" s="186">
        <f t="shared" si="17"/>
        <v>7573.223241757084</v>
      </c>
      <c r="P354" s="186">
        <f t="shared" si="18"/>
        <v>2493.6952683471559</v>
      </c>
      <c r="Q354" s="215">
        <f>IF(P354="-",0,P354/(1+'General inputs'!$H$30)^'MP Calculations'!$C$40)</f>
        <v>5539.2178828218557</v>
      </c>
    </row>
    <row r="355" spans="3:17">
      <c r="C355" s="159"/>
      <c r="D355" s="165" t="s">
        <v>283</v>
      </c>
      <c r="E355" s="162">
        <v>27030</v>
      </c>
      <c r="F355" s="166" t="str">
        <f t="shared" si="16"/>
        <v>Date check - OK</v>
      </c>
      <c r="G355" s="68"/>
      <c r="H355" s="162" t="s">
        <v>280</v>
      </c>
      <c r="I355" s="173">
        <v>21853.086195380012</v>
      </c>
      <c r="J355" s="168">
        <f>IFERROR(MIN('MP Calculations'!$E$30/I355,1),"-")</f>
        <v>0.32927792945511891</v>
      </c>
      <c r="K355" s="12"/>
      <c r="L355" s="159">
        <v>0.59940099999999996</v>
      </c>
      <c r="M355" s="187" t="s">
        <v>293</v>
      </c>
      <c r="N355" s="187">
        <v>192.78728599999999</v>
      </c>
      <c r="O355" s="186">
        <f t="shared" si="17"/>
        <v>115.55689201568599</v>
      </c>
      <c r="P355" s="186">
        <f t="shared" si="18"/>
        <v>38.050334137193843</v>
      </c>
      <c r="Q355" s="215">
        <f>IF(P355="-",0,P355/(1+'General inputs'!$H$30)^'MP Calculations'!$C$40)</f>
        <v>84.520788877219459</v>
      </c>
    </row>
    <row r="356" spans="3:17">
      <c r="C356" s="159"/>
      <c r="D356" s="165" t="s">
        <v>283</v>
      </c>
      <c r="E356" s="162">
        <v>27030</v>
      </c>
      <c r="F356" s="166" t="str">
        <f t="shared" si="16"/>
        <v>Date check - OK</v>
      </c>
      <c r="G356" s="68"/>
      <c r="H356" s="162" t="s">
        <v>280</v>
      </c>
      <c r="I356" s="173">
        <v>21853.086195380012</v>
      </c>
      <c r="J356" s="168">
        <f>IFERROR(MIN('MP Calculations'!$E$30/I356,1),"-")</f>
        <v>0.32927792945511891</v>
      </c>
      <c r="K356" s="12"/>
      <c r="L356" s="159">
        <v>28.420691000000001</v>
      </c>
      <c r="M356" s="187" t="s">
        <v>293</v>
      </c>
      <c r="N356" s="187">
        <v>192.78728599999999</v>
      </c>
      <c r="O356" s="186">
        <f t="shared" si="17"/>
        <v>5479.1478841346261</v>
      </c>
      <c r="P356" s="186">
        <f t="shared" si="18"/>
        <v>1804.1624704662454</v>
      </c>
      <c r="Q356" s="215">
        <f>IF(P356="-",0,P356/(1+'General inputs'!$H$30)^'MP Calculations'!$C$40)</f>
        <v>4007.5662599089615</v>
      </c>
    </row>
    <row r="357" spans="3:17">
      <c r="C357" s="159"/>
      <c r="D357" s="165" t="s">
        <v>282</v>
      </c>
      <c r="E357" s="162">
        <v>27030</v>
      </c>
      <c r="F357" s="166" t="str">
        <f t="shared" si="16"/>
        <v>Date check - OK</v>
      </c>
      <c r="G357" s="68"/>
      <c r="H357" s="162" t="s">
        <v>280</v>
      </c>
      <c r="I357" s="173">
        <v>21853.086195380012</v>
      </c>
      <c r="J357" s="168">
        <f>IFERROR(MIN('MP Calculations'!$E$30/I357,1),"-")</f>
        <v>0.32927792945511891</v>
      </c>
      <c r="K357" s="12"/>
      <c r="L357" s="159">
        <v>17.692613000000001</v>
      </c>
      <c r="M357" s="187" t="s">
        <v>293</v>
      </c>
      <c r="N357" s="187">
        <v>237.97403299999999</v>
      </c>
      <c r="O357" s="186">
        <f t="shared" si="17"/>
        <v>4210.3824699182296</v>
      </c>
      <c r="P357" s="186">
        <f t="shared" si="18"/>
        <v>1386.3860219088042</v>
      </c>
      <c r="Q357" s="215">
        <f>IF(P357="-",0,P357/(1+'General inputs'!$H$30)^'MP Calculations'!$C$40)</f>
        <v>3079.5640279421714</v>
      </c>
    </row>
    <row r="358" spans="3:17">
      <c r="C358" s="159"/>
      <c r="D358" s="165" t="s">
        <v>283</v>
      </c>
      <c r="E358" s="162">
        <v>27030</v>
      </c>
      <c r="F358" s="166" t="str">
        <f t="shared" si="16"/>
        <v>Date check - OK</v>
      </c>
      <c r="G358" s="68"/>
      <c r="H358" s="162" t="s">
        <v>280</v>
      </c>
      <c r="I358" s="173">
        <v>21853.086195380012</v>
      </c>
      <c r="J358" s="168">
        <f>IFERROR(MIN('MP Calculations'!$E$30/I358,1),"-")</f>
        <v>0.32927792945511891</v>
      </c>
      <c r="K358" s="12"/>
      <c r="L358" s="159">
        <v>7.8114569999999999</v>
      </c>
      <c r="M358" s="187" t="s">
        <v>293</v>
      </c>
      <c r="N358" s="187">
        <v>192.78728599999999</v>
      </c>
      <c r="O358" s="186">
        <f t="shared" si="17"/>
        <v>1505.949594735702</v>
      </c>
      <c r="P358" s="186">
        <f t="shared" si="18"/>
        <v>495.87596441834739</v>
      </c>
      <c r="Q358" s="215">
        <f>IF(P358="-",0,P358/(1+'General inputs'!$H$30)^'MP Calculations'!$C$40)</f>
        <v>1101.4838278889727</v>
      </c>
    </row>
    <row r="359" spans="3:17">
      <c r="C359" s="159"/>
      <c r="D359" s="165" t="s">
        <v>283</v>
      </c>
      <c r="E359" s="162">
        <v>27030</v>
      </c>
      <c r="F359" s="166" t="str">
        <f t="shared" si="16"/>
        <v>Date check - OK</v>
      </c>
      <c r="G359" s="68"/>
      <c r="H359" s="162" t="s">
        <v>280</v>
      </c>
      <c r="I359" s="173">
        <v>21853.086195380012</v>
      </c>
      <c r="J359" s="168">
        <f>IFERROR(MIN('MP Calculations'!$E$30/I359,1),"-")</f>
        <v>0.32927792945511891</v>
      </c>
      <c r="K359" s="12"/>
      <c r="L359" s="159">
        <v>1.8802350000000001</v>
      </c>
      <c r="M359" s="187" t="s">
        <v>293</v>
      </c>
      <c r="N359" s="187">
        <v>192.78728599999999</v>
      </c>
      <c r="O359" s="186">
        <f t="shared" si="17"/>
        <v>362.48540269221002</v>
      </c>
      <c r="P359" s="186">
        <f t="shared" si="18"/>
        <v>119.35844285619591</v>
      </c>
      <c r="Q359" s="215">
        <f>IF(P359="-",0,P359/(1+'General inputs'!$H$30)^'MP Calculations'!$C$40)</f>
        <v>265.12959683844161</v>
      </c>
    </row>
    <row r="360" spans="3:17">
      <c r="C360" s="159"/>
      <c r="D360" s="165" t="s">
        <v>283</v>
      </c>
      <c r="E360" s="162">
        <v>27030</v>
      </c>
      <c r="F360" s="166" t="str">
        <f t="shared" si="16"/>
        <v>Date check - OK</v>
      </c>
      <c r="G360" s="68"/>
      <c r="H360" s="162" t="s">
        <v>280</v>
      </c>
      <c r="I360" s="173">
        <v>21853.086195380012</v>
      </c>
      <c r="J360" s="168">
        <f>IFERROR(MIN('MP Calculations'!$E$30/I360,1),"-")</f>
        <v>0.32927792945511891</v>
      </c>
      <c r="K360" s="12"/>
      <c r="L360" s="159">
        <v>71.860714999999999</v>
      </c>
      <c r="M360" s="187" t="s">
        <v>293</v>
      </c>
      <c r="N360" s="187">
        <v>192.78728599999999</v>
      </c>
      <c r="O360" s="186">
        <f t="shared" si="17"/>
        <v>13853.83221486949</v>
      </c>
      <c r="P360" s="186">
        <f t="shared" si="18"/>
        <v>4561.7611867308497</v>
      </c>
      <c r="Q360" s="215">
        <f>IF(P360="-",0,P360/(1+'General inputs'!$H$30)^'MP Calculations'!$C$40)</f>
        <v>10132.989970121902</v>
      </c>
    </row>
    <row r="361" spans="3:17">
      <c r="C361" s="159"/>
      <c r="D361" s="165" t="s">
        <v>283</v>
      </c>
      <c r="E361" s="162">
        <v>27030</v>
      </c>
      <c r="F361" s="166" t="str">
        <f t="shared" si="16"/>
        <v>Date check - OK</v>
      </c>
      <c r="G361" s="68"/>
      <c r="H361" s="162" t="s">
        <v>280</v>
      </c>
      <c r="I361" s="173">
        <v>21853.086195380012</v>
      </c>
      <c r="J361" s="168">
        <f>IFERROR(MIN('MP Calculations'!$E$30/I361,1),"-")</f>
        <v>0.32927792945511891</v>
      </c>
      <c r="K361" s="12"/>
      <c r="L361" s="159">
        <v>7.1614069999999996</v>
      </c>
      <c r="M361" s="187" t="s">
        <v>293</v>
      </c>
      <c r="N361" s="187">
        <v>192.78728599999999</v>
      </c>
      <c r="O361" s="186">
        <f t="shared" si="17"/>
        <v>1380.628219471402</v>
      </c>
      <c r="P361" s="186">
        <f t="shared" si="18"/>
        <v>454.61040145485072</v>
      </c>
      <c r="Q361" s="215">
        <f>IF(P361="-",0,P361/(1+'General inputs'!$H$30)^'MP Calculations'!$C$40)</f>
        <v>1009.8210865694946</v>
      </c>
    </row>
    <row r="362" spans="3:17">
      <c r="C362" s="159"/>
      <c r="D362" s="165" t="s">
        <v>283</v>
      </c>
      <c r="E362" s="162">
        <v>27030</v>
      </c>
      <c r="F362" s="166" t="str">
        <f t="shared" si="16"/>
        <v>Date check - OK</v>
      </c>
      <c r="G362" s="68"/>
      <c r="H362" s="162" t="s">
        <v>280</v>
      </c>
      <c r="I362" s="173">
        <v>21853.086195380012</v>
      </c>
      <c r="J362" s="168">
        <f>IFERROR(MIN('MP Calculations'!$E$30/I362,1),"-")</f>
        <v>0.32927792945511891</v>
      </c>
      <c r="K362" s="12"/>
      <c r="L362" s="159">
        <v>15.047414</v>
      </c>
      <c r="M362" s="187" t="s">
        <v>293</v>
      </c>
      <c r="N362" s="187">
        <v>192.78728599999999</v>
      </c>
      <c r="O362" s="186">
        <f t="shared" si="17"/>
        <v>2900.9501063784037</v>
      </c>
      <c r="P362" s="186">
        <f t="shared" si="18"/>
        <v>955.2188444808877</v>
      </c>
      <c r="Q362" s="215">
        <f>IF(P362="-",0,P362/(1+'General inputs'!$H$30)^'MP Calculations'!$C$40)</f>
        <v>2121.8171171588242</v>
      </c>
    </row>
    <row r="363" spans="3:17">
      <c r="C363" s="159"/>
      <c r="D363" s="165" t="s">
        <v>283</v>
      </c>
      <c r="E363" s="162">
        <v>27030</v>
      </c>
      <c r="F363" s="166" t="str">
        <f t="shared" si="16"/>
        <v>Date check - OK</v>
      </c>
      <c r="G363" s="68"/>
      <c r="H363" s="162" t="s">
        <v>280</v>
      </c>
      <c r="I363" s="173">
        <v>21853.086195380012</v>
      </c>
      <c r="J363" s="168">
        <f>IFERROR(MIN('MP Calculations'!$E$30/I363,1),"-")</f>
        <v>0.32927792945511891</v>
      </c>
      <c r="K363" s="12"/>
      <c r="L363" s="159">
        <v>71.969729000000001</v>
      </c>
      <c r="M363" s="187" t="s">
        <v>293</v>
      </c>
      <c r="N363" s="187">
        <v>192.78728599999999</v>
      </c>
      <c r="O363" s="186">
        <f t="shared" si="17"/>
        <v>13874.848728065494</v>
      </c>
      <c r="P363" s="186">
        <f t="shared" si="18"/>
        <v>4568.6814606803955</v>
      </c>
      <c r="Q363" s="215">
        <f>IF(P363="-",0,P363/(1+'General inputs'!$H$30)^'MP Calculations'!$C$40)</f>
        <v>10148.361898561561</v>
      </c>
    </row>
    <row r="364" spans="3:17">
      <c r="C364" s="159"/>
      <c r="D364" s="165" t="s">
        <v>283</v>
      </c>
      <c r="E364" s="162">
        <v>27030</v>
      </c>
      <c r="F364" s="166" t="str">
        <f t="shared" si="16"/>
        <v>Date check - OK</v>
      </c>
      <c r="G364" s="68"/>
      <c r="H364" s="162" t="s">
        <v>280</v>
      </c>
      <c r="I364" s="173">
        <v>21853.086195380012</v>
      </c>
      <c r="J364" s="168">
        <f>IFERROR(MIN('MP Calculations'!$E$30/I364,1),"-")</f>
        <v>0.32927792945511891</v>
      </c>
      <c r="K364" s="12"/>
      <c r="L364" s="159">
        <v>18.320368999999999</v>
      </c>
      <c r="M364" s="187" t="s">
        <v>293</v>
      </c>
      <c r="N364" s="187">
        <v>192.78728599999999</v>
      </c>
      <c r="O364" s="186">
        <f t="shared" si="17"/>
        <v>3531.9342180285339</v>
      </c>
      <c r="P364" s="186">
        <f t="shared" si="18"/>
        <v>1162.9879862841201</v>
      </c>
      <c r="Q364" s="215">
        <f>IF(P364="-",0,P364/(1+'General inputs'!$H$30)^'MP Calculations'!$C$40)</f>
        <v>2583.3324275430909</v>
      </c>
    </row>
    <row r="365" spans="3:17">
      <c r="C365" s="159"/>
      <c r="D365" s="165" t="s">
        <v>283</v>
      </c>
      <c r="E365" s="162">
        <v>27030</v>
      </c>
      <c r="F365" s="166" t="str">
        <f t="shared" si="16"/>
        <v>Date check - OK</v>
      </c>
      <c r="G365" s="68"/>
      <c r="H365" s="162" t="s">
        <v>280</v>
      </c>
      <c r="I365" s="173">
        <v>21853.086195380012</v>
      </c>
      <c r="J365" s="168">
        <f>IFERROR(MIN('MP Calculations'!$E$30/I365,1),"-")</f>
        <v>0.32927792945511891</v>
      </c>
      <c r="K365" s="12"/>
      <c r="L365" s="159">
        <v>21.777009</v>
      </c>
      <c r="M365" s="187" t="s">
        <v>293</v>
      </c>
      <c r="N365" s="187">
        <v>192.78728599999999</v>
      </c>
      <c r="O365" s="186">
        <f t="shared" si="17"/>
        <v>4198.3304623075737</v>
      </c>
      <c r="P365" s="186">
        <f t="shared" si="18"/>
        <v>1382.41756179699</v>
      </c>
      <c r="Q365" s="215">
        <f>IF(P365="-",0,P365/(1+'General inputs'!$H$30)^'MP Calculations'!$C$40)</f>
        <v>3070.748931126755</v>
      </c>
    </row>
    <row r="366" spans="3:17">
      <c r="C366" s="159"/>
      <c r="D366" s="165" t="s">
        <v>283</v>
      </c>
      <c r="E366" s="162">
        <v>27030</v>
      </c>
      <c r="F366" s="166" t="str">
        <f t="shared" si="16"/>
        <v>Date check - OK</v>
      </c>
      <c r="G366" s="68"/>
      <c r="H366" s="162" t="s">
        <v>280</v>
      </c>
      <c r="I366" s="173">
        <v>21853.086195380012</v>
      </c>
      <c r="J366" s="168">
        <f>IFERROR(MIN('MP Calculations'!$E$30/I366,1),"-")</f>
        <v>0.32927792945511891</v>
      </c>
      <c r="K366" s="12"/>
      <c r="L366" s="159">
        <v>46.851844</v>
      </c>
      <c r="M366" s="187" t="s">
        <v>293</v>
      </c>
      <c r="N366" s="187">
        <v>192.78728599999999</v>
      </c>
      <c r="O366" s="186">
        <f t="shared" si="17"/>
        <v>9032.4398488553834</v>
      </c>
      <c r="P366" s="186">
        <f t="shared" si="18"/>
        <v>2974.1830913590079</v>
      </c>
      <c r="Q366" s="215">
        <f>IF(P366="-",0,P366/(1+'General inputs'!$H$30)^'MP Calculations'!$C$40)</f>
        <v>6606.5202013884218</v>
      </c>
    </row>
    <row r="367" spans="3:17">
      <c r="C367" s="159"/>
      <c r="D367" s="165" t="s">
        <v>283</v>
      </c>
      <c r="E367" s="162">
        <v>27030</v>
      </c>
      <c r="F367" s="166" t="str">
        <f t="shared" si="16"/>
        <v>Date check - OK</v>
      </c>
      <c r="G367" s="68"/>
      <c r="H367" s="162" t="s">
        <v>280</v>
      </c>
      <c r="I367" s="173">
        <v>21853.086195380012</v>
      </c>
      <c r="J367" s="168">
        <f>IFERROR(MIN('MP Calculations'!$E$30/I367,1),"-")</f>
        <v>0.32927792945511891</v>
      </c>
      <c r="K367" s="12"/>
      <c r="L367" s="159">
        <v>5.9980479999999998</v>
      </c>
      <c r="M367" s="187" t="s">
        <v>293</v>
      </c>
      <c r="N367" s="187">
        <v>192.78728599999999</v>
      </c>
      <c r="O367" s="186">
        <f t="shared" si="17"/>
        <v>1156.347395217728</v>
      </c>
      <c r="P367" s="186">
        <f t="shared" si="18"/>
        <v>380.75967602811357</v>
      </c>
      <c r="Q367" s="215">
        <f>IF(P367="-",0,P367/(1+'General inputs'!$H$30)^'MP Calculations'!$C$40)</f>
        <v>845.77728212570298</v>
      </c>
    </row>
    <row r="368" spans="3:17">
      <c r="C368" s="159"/>
      <c r="D368" s="165" t="s">
        <v>283</v>
      </c>
      <c r="E368" s="162">
        <v>27030</v>
      </c>
      <c r="F368" s="166" t="str">
        <f t="shared" si="16"/>
        <v>Date check - OK</v>
      </c>
      <c r="G368" s="68"/>
      <c r="H368" s="162" t="s">
        <v>280</v>
      </c>
      <c r="I368" s="173">
        <v>21853.086195380012</v>
      </c>
      <c r="J368" s="168">
        <f>IFERROR(MIN('MP Calculations'!$E$30/I368,1),"-")</f>
        <v>0.32927792945511891</v>
      </c>
      <c r="K368" s="12"/>
      <c r="L368" s="159">
        <v>70.092595000000003</v>
      </c>
      <c r="M368" s="187" t="s">
        <v>293</v>
      </c>
      <c r="N368" s="187">
        <v>192.78728599999999</v>
      </c>
      <c r="O368" s="186">
        <f t="shared" si="17"/>
        <v>13512.96115874717</v>
      </c>
      <c r="P368" s="186">
        <f t="shared" si="18"/>
        <v>4449.5198711597122</v>
      </c>
      <c r="Q368" s="215">
        <f>IF(P368="-",0,P368/(1+'General inputs'!$H$30)^'MP Calculations'!$C$40)</f>
        <v>9883.6695698730036</v>
      </c>
    </row>
    <row r="369" spans="3:17">
      <c r="C369" s="159"/>
      <c r="D369" s="165" t="s">
        <v>283</v>
      </c>
      <c r="E369" s="162">
        <v>27030</v>
      </c>
      <c r="F369" s="166" t="str">
        <f t="shared" si="16"/>
        <v>Date check - OK</v>
      </c>
      <c r="G369" s="68"/>
      <c r="H369" s="162" t="s">
        <v>280</v>
      </c>
      <c r="I369" s="173">
        <v>21853.086195380012</v>
      </c>
      <c r="J369" s="168">
        <f>IFERROR(MIN('MP Calculations'!$E$30/I369,1),"-")</f>
        <v>0.32927792945511891</v>
      </c>
      <c r="K369" s="12"/>
      <c r="L369" s="159">
        <v>18.913121</v>
      </c>
      <c r="M369" s="187" t="s">
        <v>293</v>
      </c>
      <c r="N369" s="187">
        <v>192.78728599999999</v>
      </c>
      <c r="O369" s="186">
        <f t="shared" si="17"/>
        <v>3646.209267379606</v>
      </c>
      <c r="P369" s="186">
        <f t="shared" si="18"/>
        <v>1200.6162379228226</v>
      </c>
      <c r="Q369" s="215">
        <f>IF(P369="-",0,P369/(1+'General inputs'!$H$30)^'MP Calculations'!$C$40)</f>
        <v>2666.9156492069678</v>
      </c>
    </row>
    <row r="370" spans="3:17">
      <c r="C370" s="159"/>
      <c r="D370" s="165" t="s">
        <v>283</v>
      </c>
      <c r="E370" s="162">
        <v>27030</v>
      </c>
      <c r="F370" s="166" t="str">
        <f t="shared" si="16"/>
        <v>Date check - OK</v>
      </c>
      <c r="G370" s="68"/>
      <c r="H370" s="162" t="s">
        <v>280</v>
      </c>
      <c r="I370" s="173">
        <v>21853.086195380012</v>
      </c>
      <c r="J370" s="168">
        <f>IFERROR(MIN('MP Calculations'!$E$30/I370,1),"-")</f>
        <v>0.32927792945511891</v>
      </c>
      <c r="K370" s="12"/>
      <c r="L370" s="159">
        <v>49.445393000000003</v>
      </c>
      <c r="M370" s="187" t="s">
        <v>293</v>
      </c>
      <c r="N370" s="187">
        <v>192.78728599999999</v>
      </c>
      <c r="O370" s="186">
        <f t="shared" si="17"/>
        <v>9532.4431216733974</v>
      </c>
      <c r="P370" s="186">
        <f t="shared" si="18"/>
        <v>3138.8231337533066</v>
      </c>
      <c r="Q370" s="215">
        <f>IF(P370="-",0,P370/(1+'General inputs'!$H$30)^'MP Calculations'!$C$40)</f>
        <v>6972.2333174354817</v>
      </c>
    </row>
    <row r="371" spans="3:17">
      <c r="C371" s="159"/>
      <c r="D371" s="165" t="s">
        <v>283</v>
      </c>
      <c r="E371" s="162">
        <v>27030</v>
      </c>
      <c r="F371" s="166" t="str">
        <f t="shared" si="16"/>
        <v>Date check - OK</v>
      </c>
      <c r="G371" s="68"/>
      <c r="H371" s="162" t="s">
        <v>280</v>
      </c>
      <c r="I371" s="173">
        <v>21853.086195380012</v>
      </c>
      <c r="J371" s="168">
        <f>IFERROR(MIN('MP Calculations'!$E$30/I371,1),"-")</f>
        <v>0.32927792945511891</v>
      </c>
      <c r="K371" s="12"/>
      <c r="L371" s="159">
        <v>49.779367999999998</v>
      </c>
      <c r="M371" s="187" t="s">
        <v>293</v>
      </c>
      <c r="N371" s="187">
        <v>192.78728599999999</v>
      </c>
      <c r="O371" s="186">
        <f t="shared" si="17"/>
        <v>9596.8292555152475</v>
      </c>
      <c r="P371" s="186">
        <f t="shared" si="18"/>
        <v>3160.0240665903711</v>
      </c>
      <c r="Q371" s="215">
        <f>IF(P371="-",0,P371/(1+'General inputs'!$H$30)^'MP Calculations'!$C$40)</f>
        <v>7019.3267164542849</v>
      </c>
    </row>
    <row r="372" spans="3:17">
      <c r="C372" s="159"/>
      <c r="D372" s="165" t="s">
        <v>283</v>
      </c>
      <c r="E372" s="162">
        <v>27030</v>
      </c>
      <c r="F372" s="166" t="str">
        <f t="shared" si="16"/>
        <v>Date check - OK</v>
      </c>
      <c r="G372" s="68"/>
      <c r="H372" s="162" t="s">
        <v>280</v>
      </c>
      <c r="I372" s="173">
        <v>21853.086195380012</v>
      </c>
      <c r="J372" s="168">
        <f>IFERROR(MIN('MP Calculations'!$E$30/I372,1),"-")</f>
        <v>0.32927792945511891</v>
      </c>
      <c r="K372" s="12"/>
      <c r="L372" s="159">
        <v>71.870558000000003</v>
      </c>
      <c r="M372" s="187" t="s">
        <v>293</v>
      </c>
      <c r="N372" s="187">
        <v>192.78728599999999</v>
      </c>
      <c r="O372" s="186">
        <f t="shared" si="17"/>
        <v>13855.729820125589</v>
      </c>
      <c r="P372" s="186">
        <f t="shared" si="18"/>
        <v>4562.3860262605012</v>
      </c>
      <c r="Q372" s="215">
        <f>IF(P372="-",0,P372/(1+'General inputs'!$H$30)^'MP Calculations'!$C$40)</f>
        <v>10134.377919299362</v>
      </c>
    </row>
    <row r="373" spans="3:17">
      <c r="C373" s="159"/>
      <c r="D373" s="165" t="s">
        <v>283</v>
      </c>
      <c r="E373" s="162">
        <v>27030</v>
      </c>
      <c r="F373" s="166" t="str">
        <f t="shared" si="16"/>
        <v>Date check - OK</v>
      </c>
      <c r="G373" s="68"/>
      <c r="H373" s="162" t="s">
        <v>280</v>
      </c>
      <c r="I373" s="173">
        <v>21853.086195380012</v>
      </c>
      <c r="J373" s="168">
        <f>IFERROR(MIN('MP Calculations'!$E$30/I373,1),"-")</f>
        <v>0.32927792945511891</v>
      </c>
      <c r="K373" s="12"/>
      <c r="L373" s="159">
        <v>19.990618000000001</v>
      </c>
      <c r="M373" s="187" t="s">
        <v>293</v>
      </c>
      <c r="N373" s="187">
        <v>192.78728599999999</v>
      </c>
      <c r="O373" s="186">
        <f t="shared" si="17"/>
        <v>3853.9369896827479</v>
      </c>
      <c r="P373" s="186">
        <f t="shared" si="18"/>
        <v>1269.0163922132292</v>
      </c>
      <c r="Q373" s="215">
        <f>IF(P373="-",0,P373/(1+'General inputs'!$H$30)^'MP Calculations'!$C$40)</f>
        <v>2818.8521599115502</v>
      </c>
    </row>
    <row r="374" spans="3:17">
      <c r="C374" s="159"/>
      <c r="D374" s="165" t="s">
        <v>283</v>
      </c>
      <c r="E374" s="162">
        <v>27030</v>
      </c>
      <c r="F374" s="166" t="str">
        <f t="shared" si="16"/>
        <v>Date check - OK</v>
      </c>
      <c r="G374" s="68"/>
      <c r="H374" s="162" t="s">
        <v>280</v>
      </c>
      <c r="I374" s="173">
        <v>21853.086195380012</v>
      </c>
      <c r="J374" s="168">
        <f>IFERROR(MIN('MP Calculations'!$E$30/I374,1),"-")</f>
        <v>0.32927792945511891</v>
      </c>
      <c r="K374" s="12"/>
      <c r="L374" s="159">
        <v>1.689964</v>
      </c>
      <c r="M374" s="187" t="s">
        <v>293</v>
      </c>
      <c r="N374" s="187">
        <v>192.78728599999999</v>
      </c>
      <c r="O374" s="186">
        <f t="shared" si="17"/>
        <v>325.80357299770401</v>
      </c>
      <c r="P374" s="186">
        <f t="shared" si="18"/>
        <v>107.27992592576366</v>
      </c>
      <c r="Q374" s="215">
        <f>IF(P374="-",0,P374/(1+'General inputs'!$H$30)^'MP Calculations'!$C$40)</f>
        <v>238.29971997727952</v>
      </c>
    </row>
    <row r="375" spans="3:17">
      <c r="C375" s="159"/>
      <c r="D375" s="165" t="s">
        <v>283</v>
      </c>
      <c r="E375" s="162">
        <v>27030</v>
      </c>
      <c r="F375" s="166" t="str">
        <f t="shared" si="16"/>
        <v>Date check - OK</v>
      </c>
      <c r="G375" s="68"/>
      <c r="H375" s="162" t="s">
        <v>280</v>
      </c>
      <c r="I375" s="173">
        <v>21853.086195380012</v>
      </c>
      <c r="J375" s="168">
        <f>IFERROR(MIN('MP Calculations'!$E$30/I375,1),"-")</f>
        <v>0.32927792945511891</v>
      </c>
      <c r="K375" s="12"/>
      <c r="L375" s="159">
        <v>70.803218000000001</v>
      </c>
      <c r="M375" s="187" t="s">
        <v>293</v>
      </c>
      <c r="N375" s="187">
        <v>192.78728599999999</v>
      </c>
      <c r="O375" s="186">
        <f t="shared" si="17"/>
        <v>13649.960238286349</v>
      </c>
      <c r="P375" s="186">
        <f t="shared" si="18"/>
        <v>4494.6306444076308</v>
      </c>
      <c r="Q375" s="215">
        <f>IF(P375="-",0,P375/(1+'General inputs'!$H$30)^'MP Calculations'!$C$40)</f>
        <v>9983.8736345213729</v>
      </c>
    </row>
    <row r="376" spans="3:17">
      <c r="C376" s="159"/>
      <c r="D376" s="165" t="s">
        <v>283</v>
      </c>
      <c r="E376" s="162">
        <v>27030</v>
      </c>
      <c r="F376" s="166" t="str">
        <f t="shared" si="16"/>
        <v>Date check - OK</v>
      </c>
      <c r="G376" s="68"/>
      <c r="H376" s="162" t="s">
        <v>280</v>
      </c>
      <c r="I376" s="173">
        <v>21853.086195380012</v>
      </c>
      <c r="J376" s="168">
        <f>IFERROR(MIN('MP Calculations'!$E$30/I376,1),"-")</f>
        <v>0.32927792945511891</v>
      </c>
      <c r="K376" s="12"/>
      <c r="L376" s="159">
        <v>11.60233</v>
      </c>
      <c r="M376" s="187" t="s">
        <v>293</v>
      </c>
      <c r="N376" s="187">
        <v>192.78728599999999</v>
      </c>
      <c r="O376" s="186">
        <f t="shared" si="17"/>
        <v>2236.7817119763799</v>
      </c>
      <c r="P376" s="186">
        <f t="shared" si="18"/>
        <v>736.52285076265855</v>
      </c>
      <c r="Q376" s="215">
        <f>IF(P376="-",0,P376/(1+'General inputs'!$H$30)^'MP Calculations'!$C$40)</f>
        <v>1636.0301107502819</v>
      </c>
    </row>
    <row r="377" spans="3:17">
      <c r="C377" s="159"/>
      <c r="D377" s="165" t="s">
        <v>283</v>
      </c>
      <c r="E377" s="162">
        <v>27030</v>
      </c>
      <c r="F377" s="166" t="str">
        <f t="shared" si="16"/>
        <v>Date check - OK</v>
      </c>
      <c r="G377" s="68"/>
      <c r="H377" s="162" t="s">
        <v>280</v>
      </c>
      <c r="I377" s="173">
        <v>21853.086195380012</v>
      </c>
      <c r="J377" s="168">
        <f>IFERROR(MIN('MP Calculations'!$E$30/I377,1),"-")</f>
        <v>0.32927792945511891</v>
      </c>
      <c r="K377" s="12"/>
      <c r="L377" s="159">
        <v>71.569795999999997</v>
      </c>
      <c r="M377" s="187" t="s">
        <v>293</v>
      </c>
      <c r="N377" s="187">
        <v>192.78728599999999</v>
      </c>
      <c r="O377" s="186">
        <f t="shared" si="17"/>
        <v>13797.746730413655</v>
      </c>
      <c r="P377" s="186">
        <f t="shared" si="18"/>
        <v>4543.2934745367456</v>
      </c>
      <c r="Q377" s="215">
        <f>IF(P377="-",0,P377/(1+'General inputs'!$H$30)^'MP Calculations'!$C$40)</f>
        <v>10091.967844067105</v>
      </c>
    </row>
    <row r="378" spans="3:17">
      <c r="C378" s="159"/>
      <c r="D378" s="165" t="s">
        <v>283</v>
      </c>
      <c r="E378" s="162">
        <v>27030</v>
      </c>
      <c r="F378" s="166" t="str">
        <f t="shared" si="16"/>
        <v>Date check - OK</v>
      </c>
      <c r="G378" s="68"/>
      <c r="H378" s="162" t="s">
        <v>280</v>
      </c>
      <c r="I378" s="173">
        <v>21853.086195380012</v>
      </c>
      <c r="J378" s="168">
        <f>IFERROR(MIN('MP Calculations'!$E$30/I378,1),"-")</f>
        <v>0.32927792945511891</v>
      </c>
      <c r="K378" s="12"/>
      <c r="L378" s="159">
        <v>58.990167</v>
      </c>
      <c r="M378" s="187" t="s">
        <v>293</v>
      </c>
      <c r="N378" s="187">
        <v>192.78728599999999</v>
      </c>
      <c r="O378" s="186">
        <f t="shared" si="17"/>
        <v>11372.554196616762</v>
      </c>
      <c r="P378" s="186">
        <f t="shared" si="18"/>
        <v>3744.7310984780906</v>
      </c>
      <c r="Q378" s="215">
        <f>IF(P378="-",0,P378/(1+'General inputs'!$H$30)^'MP Calculations'!$C$40)</f>
        <v>8318.1300178660349</v>
      </c>
    </row>
    <row r="379" spans="3:17">
      <c r="C379" s="159"/>
      <c r="D379" s="165" t="s">
        <v>283</v>
      </c>
      <c r="E379" s="162">
        <v>27030</v>
      </c>
      <c r="F379" s="166" t="str">
        <f t="shared" si="16"/>
        <v>Date check - OK</v>
      </c>
      <c r="G379" s="68"/>
      <c r="H379" s="162" t="s">
        <v>280</v>
      </c>
      <c r="I379" s="173">
        <v>21853.086195380012</v>
      </c>
      <c r="J379" s="168">
        <f>IFERROR(MIN('MP Calculations'!$E$30/I379,1),"-")</f>
        <v>0.32927792945511891</v>
      </c>
      <c r="K379" s="12"/>
      <c r="L379" s="159">
        <v>65.342212000000004</v>
      </c>
      <c r="M379" s="187" t="s">
        <v>293</v>
      </c>
      <c r="N379" s="187">
        <v>192.78728599999999</v>
      </c>
      <c r="O379" s="186">
        <f t="shared" si="17"/>
        <v>12597.147712716633</v>
      </c>
      <c r="P379" s="186">
        <f t="shared" si="18"/>
        <v>4147.9627158836201</v>
      </c>
      <c r="Q379" s="215">
        <f>IF(P379="-",0,P379/(1+'General inputs'!$H$30)^'MP Calculations'!$C$40)</f>
        <v>9213.8239763072088</v>
      </c>
    </row>
    <row r="380" spans="3:17">
      <c r="C380" s="159"/>
      <c r="D380" s="165" t="s">
        <v>283</v>
      </c>
      <c r="E380" s="162">
        <v>27030</v>
      </c>
      <c r="F380" s="166" t="str">
        <f t="shared" si="16"/>
        <v>Date check - OK</v>
      </c>
      <c r="G380" s="68"/>
      <c r="H380" s="162" t="s">
        <v>280</v>
      </c>
      <c r="I380" s="173">
        <v>21853.086195380012</v>
      </c>
      <c r="J380" s="168">
        <f>IFERROR(MIN('MP Calculations'!$E$30/I380,1),"-")</f>
        <v>0.32927792945511891</v>
      </c>
      <c r="K380" s="12"/>
      <c r="L380" s="159">
        <v>15.673830000000001</v>
      </c>
      <c r="M380" s="187" t="s">
        <v>293</v>
      </c>
      <c r="N380" s="187">
        <v>192.78728599999999</v>
      </c>
      <c r="O380" s="186">
        <f t="shared" si="17"/>
        <v>3021.7151469253799</v>
      </c>
      <c r="P380" s="186">
        <f t="shared" si="18"/>
        <v>994.9841069827595</v>
      </c>
      <c r="Q380" s="215">
        <f>IF(P380="-",0,P380/(1+'General inputs'!$H$30)^'MP Calculations'!$C$40)</f>
        <v>2210.1472575578432</v>
      </c>
    </row>
    <row r="381" spans="3:17">
      <c r="C381" s="159"/>
      <c r="D381" s="165" t="s">
        <v>283</v>
      </c>
      <c r="E381" s="162">
        <v>27030</v>
      </c>
      <c r="F381" s="166" t="str">
        <f t="shared" si="16"/>
        <v>Date check - OK</v>
      </c>
      <c r="G381" s="68"/>
      <c r="H381" s="162" t="s">
        <v>280</v>
      </c>
      <c r="I381" s="173">
        <v>21853.086195380012</v>
      </c>
      <c r="J381" s="168">
        <f>IFERROR(MIN('MP Calculations'!$E$30/I381,1),"-")</f>
        <v>0.32927792945511891</v>
      </c>
      <c r="K381" s="12"/>
      <c r="L381" s="159">
        <v>58.684310000000004</v>
      </c>
      <c r="M381" s="187" t="s">
        <v>293</v>
      </c>
      <c r="N381" s="187">
        <v>192.78728599999999</v>
      </c>
      <c r="O381" s="186">
        <f t="shared" si="17"/>
        <v>11313.588855682661</v>
      </c>
      <c r="P381" s="186">
        <f t="shared" si="18"/>
        <v>3725.3151131056948</v>
      </c>
      <c r="Q381" s="215">
        <f>IF(P381="-",0,P381/(1+'General inputs'!$H$30)^'MP Calculations'!$C$40)</f>
        <v>8275.0015030260201</v>
      </c>
    </row>
    <row r="382" spans="3:17">
      <c r="C382" s="159"/>
      <c r="D382" s="165" t="s">
        <v>283</v>
      </c>
      <c r="E382" s="162">
        <v>27030</v>
      </c>
      <c r="F382" s="166" t="str">
        <f t="shared" si="16"/>
        <v>Date check - OK</v>
      </c>
      <c r="G382" s="68"/>
      <c r="H382" s="162" t="s">
        <v>280</v>
      </c>
      <c r="I382" s="173">
        <v>21853.086195380012</v>
      </c>
      <c r="J382" s="168">
        <f>IFERROR(MIN('MP Calculations'!$E$30/I382,1),"-")</f>
        <v>0.32927792945511891</v>
      </c>
      <c r="K382" s="12"/>
      <c r="L382" s="159">
        <v>21.646742</v>
      </c>
      <c r="M382" s="187" t="s">
        <v>293</v>
      </c>
      <c r="N382" s="187">
        <v>192.78728599999999</v>
      </c>
      <c r="O382" s="186">
        <f t="shared" si="17"/>
        <v>4173.2166409222118</v>
      </c>
      <c r="P382" s="186">
        <f t="shared" si="18"/>
        <v>1374.1481346905123</v>
      </c>
      <c r="Q382" s="215">
        <f>IF(P382="-",0,P382/(1+'General inputs'!$H$30)^'MP Calculations'!$C$40)</f>
        <v>3052.3801436127724</v>
      </c>
    </row>
    <row r="383" spans="3:17">
      <c r="C383" s="159"/>
      <c r="D383" s="165" t="s">
        <v>283</v>
      </c>
      <c r="E383" s="162">
        <v>27030</v>
      </c>
      <c r="F383" s="166" t="str">
        <f t="shared" si="16"/>
        <v>Date check - OK</v>
      </c>
      <c r="G383" s="68"/>
      <c r="H383" s="162" t="s">
        <v>280</v>
      </c>
      <c r="I383" s="173">
        <v>21853.086195380012</v>
      </c>
      <c r="J383" s="168">
        <f>IFERROR(MIN('MP Calculations'!$E$30/I383,1),"-")</f>
        <v>0.32927792945511891</v>
      </c>
      <c r="K383" s="12"/>
      <c r="L383" s="159">
        <v>66.271054000000007</v>
      </c>
      <c r="M383" s="187" t="s">
        <v>293</v>
      </c>
      <c r="N383" s="187">
        <v>192.78728599999999</v>
      </c>
      <c r="O383" s="186">
        <f t="shared" si="17"/>
        <v>12776.216641019444</v>
      </c>
      <c r="P383" s="186">
        <f t="shared" si="18"/>
        <v>4206.9261618249166</v>
      </c>
      <c r="Q383" s="215">
        <f>IF(P383="-",0,P383/(1+'General inputs'!$H$30)^'MP Calculations'!$C$40)</f>
        <v>9344.7988305071394</v>
      </c>
    </row>
    <row r="384" spans="3:17">
      <c r="C384" s="159"/>
      <c r="D384" s="165" t="s">
        <v>282</v>
      </c>
      <c r="E384" s="162">
        <v>27030</v>
      </c>
      <c r="F384" s="166" t="str">
        <f t="shared" si="16"/>
        <v>Date check - OK</v>
      </c>
      <c r="G384" s="68"/>
      <c r="H384" s="162" t="s">
        <v>280</v>
      </c>
      <c r="I384" s="173">
        <v>21853.086195380012</v>
      </c>
      <c r="J384" s="168">
        <f>IFERROR(MIN('MP Calculations'!$E$30/I384,1),"-")</f>
        <v>0.32927792945511891</v>
      </c>
      <c r="K384" s="12"/>
      <c r="L384" s="159">
        <v>0.80064299999999999</v>
      </c>
      <c r="M384" s="187" t="s">
        <v>293</v>
      </c>
      <c r="N384" s="187">
        <v>237.97403299999999</v>
      </c>
      <c r="O384" s="186">
        <f t="shared" si="17"/>
        <v>190.532243703219</v>
      </c>
      <c r="P384" s="186">
        <f t="shared" si="18"/>
        <v>62.738062701034067</v>
      </c>
      <c r="Q384" s="215">
        <f>IF(P384="-",0,P384/(1+'General inputs'!$H$30)^'MP Calculations'!$C$40)</f>
        <v>139.35936890857803</v>
      </c>
    </row>
    <row r="385" spans="3:17">
      <c r="C385" s="159"/>
      <c r="D385" s="165" t="s">
        <v>282</v>
      </c>
      <c r="E385" s="162">
        <v>27030</v>
      </c>
      <c r="F385" s="166" t="str">
        <f t="shared" si="16"/>
        <v>Date check - OK</v>
      </c>
      <c r="G385" s="68"/>
      <c r="H385" s="162" t="s">
        <v>280</v>
      </c>
      <c r="I385" s="173">
        <v>21853.086195380012</v>
      </c>
      <c r="J385" s="168">
        <f>IFERROR(MIN('MP Calculations'!$E$30/I385,1),"-")</f>
        <v>0.32927792945511891</v>
      </c>
      <c r="K385" s="12"/>
      <c r="L385" s="159">
        <v>86.601004000000003</v>
      </c>
      <c r="M385" s="187" t="s">
        <v>293</v>
      </c>
      <c r="N385" s="187">
        <v>237.97403299999999</v>
      </c>
      <c r="O385" s="186">
        <f t="shared" si="17"/>
        <v>20608.790183729132</v>
      </c>
      <c r="P385" s="186">
        <f t="shared" si="18"/>
        <v>6786.0197602733078</v>
      </c>
      <c r="Q385" s="215">
        <f>IF(P385="-",0,P385/(1+'General inputs'!$H$30)^'MP Calculations'!$C$40)</f>
        <v>15073.71108507692</v>
      </c>
    </row>
    <row r="386" spans="3:17">
      <c r="C386" s="159"/>
      <c r="D386" s="165" t="s">
        <v>282</v>
      </c>
      <c r="E386" s="162">
        <v>27030</v>
      </c>
      <c r="F386" s="166" t="str">
        <f t="shared" si="16"/>
        <v>Date check - OK</v>
      </c>
      <c r="G386" s="68"/>
      <c r="H386" s="162" t="s">
        <v>280</v>
      </c>
      <c r="I386" s="173">
        <v>21853.086195380012</v>
      </c>
      <c r="J386" s="168">
        <f>IFERROR(MIN('MP Calculations'!$E$30/I386,1),"-")</f>
        <v>0.32927792945511891</v>
      </c>
      <c r="K386" s="12"/>
      <c r="L386" s="159">
        <v>15.994395000000001</v>
      </c>
      <c r="M386" s="187" t="s">
        <v>293</v>
      </c>
      <c r="N386" s="187">
        <v>237.97403299999999</v>
      </c>
      <c r="O386" s="186">
        <f t="shared" si="17"/>
        <v>3806.2506835450349</v>
      </c>
      <c r="P386" s="186">
        <f t="shared" si="18"/>
        <v>1253.31434406484</v>
      </c>
      <c r="Q386" s="215">
        <f>IF(P386="-",0,P386/(1+'General inputs'!$H$30)^'MP Calculations'!$C$40)</f>
        <v>2783.9733729946001</v>
      </c>
    </row>
    <row r="387" spans="3:17">
      <c r="C387" s="159"/>
      <c r="D387" s="165" t="s">
        <v>283</v>
      </c>
      <c r="E387" s="162">
        <v>27030</v>
      </c>
      <c r="F387" s="166" t="str">
        <f t="shared" si="16"/>
        <v>Date check - OK</v>
      </c>
      <c r="G387" s="68"/>
      <c r="H387" s="162" t="s">
        <v>280</v>
      </c>
      <c r="I387" s="173">
        <v>21853.086195380012</v>
      </c>
      <c r="J387" s="168">
        <f>IFERROR(MIN('MP Calculations'!$E$30/I387,1),"-")</f>
        <v>0.32927792945511891</v>
      </c>
      <c r="K387" s="12"/>
      <c r="L387" s="159">
        <v>36.977679000000002</v>
      </c>
      <c r="M387" s="187" t="s">
        <v>293</v>
      </c>
      <c r="N387" s="187">
        <v>192.78728599999999</v>
      </c>
      <c r="O387" s="186">
        <f t="shared" si="17"/>
        <v>7128.8263769891946</v>
      </c>
      <c r="P387" s="186">
        <f t="shared" si="18"/>
        <v>2347.3651888600389</v>
      </c>
      <c r="Q387" s="215">
        <f>IF(P387="-",0,P387/(1+'General inputs'!$H$30)^'MP Calculations'!$C$40)</f>
        <v>5214.1764860729163</v>
      </c>
    </row>
    <row r="388" spans="3:17">
      <c r="C388" s="159"/>
      <c r="D388" s="165" t="s">
        <v>282</v>
      </c>
      <c r="E388" s="162">
        <v>27324</v>
      </c>
      <c r="F388" s="166" t="str">
        <f t="shared" si="16"/>
        <v>Date check - OK</v>
      </c>
      <c r="G388" s="68"/>
      <c r="H388" s="162" t="s">
        <v>280</v>
      </c>
      <c r="I388" s="173">
        <v>21853.086195380012</v>
      </c>
      <c r="J388" s="168">
        <f>IFERROR(MIN('MP Calculations'!$E$30/I388,1),"-")</f>
        <v>0.32927792945511891</v>
      </c>
      <c r="K388" s="12"/>
      <c r="L388" s="159">
        <v>4.6988620000000001</v>
      </c>
      <c r="M388" s="187" t="s">
        <v>293</v>
      </c>
      <c r="N388" s="187">
        <v>237.97403299999999</v>
      </c>
      <c r="O388" s="186">
        <f t="shared" si="17"/>
        <v>1118.207140650446</v>
      </c>
      <c r="P388" s="186">
        <f t="shared" si="18"/>
        <v>368.20093197530781</v>
      </c>
      <c r="Q388" s="215">
        <f>IF(P388="-",0,P388/(1+'General inputs'!$H$30)^'MP Calculations'!$C$40)</f>
        <v>817.88068203743592</v>
      </c>
    </row>
    <row r="389" spans="3:17">
      <c r="C389" s="159"/>
      <c r="D389" s="165" t="s">
        <v>282</v>
      </c>
      <c r="E389" s="162">
        <v>27324</v>
      </c>
      <c r="F389" s="166" t="str">
        <f t="shared" si="16"/>
        <v>Date check - OK</v>
      </c>
      <c r="G389" s="68"/>
      <c r="H389" s="162" t="s">
        <v>280</v>
      </c>
      <c r="I389" s="173">
        <v>21853.086195380012</v>
      </c>
      <c r="J389" s="168">
        <f>IFERROR(MIN('MP Calculations'!$E$30/I389,1),"-")</f>
        <v>0.32927792945511891</v>
      </c>
      <c r="K389" s="12"/>
      <c r="L389" s="159">
        <v>32.582707999999997</v>
      </c>
      <c r="M389" s="187" t="s">
        <v>293</v>
      </c>
      <c r="N389" s="187">
        <v>237.97403299999999</v>
      </c>
      <c r="O389" s="186">
        <f t="shared" si="17"/>
        <v>7753.8384288213629</v>
      </c>
      <c r="P389" s="186">
        <f t="shared" si="18"/>
        <v>2553.167863171831</v>
      </c>
      <c r="Q389" s="215">
        <f>IF(P389="-",0,P389/(1+'General inputs'!$H$30)^'MP Calculations'!$C$40)</f>
        <v>5671.3237038386351</v>
      </c>
    </row>
    <row r="390" spans="3:17">
      <c r="C390" s="159"/>
      <c r="D390" s="165" t="s">
        <v>282</v>
      </c>
      <c r="E390" s="162">
        <v>27324</v>
      </c>
      <c r="F390" s="166" t="str">
        <f t="shared" si="16"/>
        <v>Date check - OK</v>
      </c>
      <c r="G390" s="68"/>
      <c r="H390" s="162" t="s">
        <v>280</v>
      </c>
      <c r="I390" s="173">
        <v>21853.086195380012</v>
      </c>
      <c r="J390" s="168">
        <f>IFERROR(MIN('MP Calculations'!$E$30/I390,1),"-")</f>
        <v>0.32927792945511891</v>
      </c>
      <c r="K390" s="12"/>
      <c r="L390" s="159">
        <v>4.2854099999999997</v>
      </c>
      <c r="M390" s="187" t="s">
        <v>293</v>
      </c>
      <c r="N390" s="187">
        <v>237.97403299999999</v>
      </c>
      <c r="O390" s="186">
        <f t="shared" si="17"/>
        <v>1019.8163007585299</v>
      </c>
      <c r="P390" s="186">
        <f t="shared" si="18"/>
        <v>335.80299993834757</v>
      </c>
      <c r="Q390" s="215">
        <f>IF(P390="-",0,P390/(1+'General inputs'!$H$30)^'MP Calculations'!$C$40)</f>
        <v>745.91551180052704</v>
      </c>
    </row>
    <row r="391" spans="3:17">
      <c r="C391" s="159"/>
      <c r="D391" s="165" t="s">
        <v>282</v>
      </c>
      <c r="E391" s="162">
        <v>27395</v>
      </c>
      <c r="F391" s="166" t="str">
        <f t="shared" si="16"/>
        <v>Date check - OK</v>
      </c>
      <c r="G391" s="68"/>
      <c r="H391" s="162" t="s">
        <v>280</v>
      </c>
      <c r="I391" s="173">
        <v>21853.086195380012</v>
      </c>
      <c r="J391" s="168">
        <f>IFERROR(MIN('MP Calculations'!$E$30/I391,1),"-")</f>
        <v>0.32927792945511891</v>
      </c>
      <c r="K391" s="12"/>
      <c r="L391" s="159">
        <v>75.546505999999994</v>
      </c>
      <c r="M391" s="187" t="s">
        <v>293</v>
      </c>
      <c r="N391" s="187">
        <v>237.97403299999999</v>
      </c>
      <c r="O391" s="186">
        <f t="shared" si="17"/>
        <v>17978.106711878696</v>
      </c>
      <c r="P391" s="186">
        <f t="shared" si="18"/>
        <v>5919.7937536105928</v>
      </c>
      <c r="Q391" s="215">
        <f>IF(P391="-",0,P391/(1+'General inputs'!$H$30)^'MP Calculations'!$C$40)</f>
        <v>13149.572780138093</v>
      </c>
    </row>
    <row r="392" spans="3:17">
      <c r="C392" s="159"/>
      <c r="D392" s="165" t="s">
        <v>282</v>
      </c>
      <c r="E392" s="162">
        <v>27395</v>
      </c>
      <c r="F392" s="166" t="str">
        <f t="shared" si="16"/>
        <v>Date check - OK</v>
      </c>
      <c r="G392" s="68"/>
      <c r="H392" s="162" t="s">
        <v>280</v>
      </c>
      <c r="I392" s="173">
        <v>21853.086195380012</v>
      </c>
      <c r="J392" s="168">
        <f>IFERROR(MIN('MP Calculations'!$E$30/I392,1),"-")</f>
        <v>0.32927792945511891</v>
      </c>
      <c r="K392" s="12"/>
      <c r="L392" s="159">
        <v>69.708883999999998</v>
      </c>
      <c r="M392" s="187" t="s">
        <v>293</v>
      </c>
      <c r="N392" s="187">
        <v>237.97403299999999</v>
      </c>
      <c r="O392" s="186">
        <f t="shared" si="17"/>
        <v>16588.90426140917</v>
      </c>
      <c r="P392" s="186">
        <f t="shared" si="18"/>
        <v>5462.3600471260106</v>
      </c>
      <c r="Q392" s="215">
        <f>IF(P392="-",0,P392/(1+'General inputs'!$H$30)^'MP Calculations'!$C$40)</f>
        <v>12133.480317146685</v>
      </c>
    </row>
    <row r="393" spans="3:17">
      <c r="C393" s="159"/>
      <c r="D393" s="165" t="s">
        <v>289</v>
      </c>
      <c r="E393" s="162">
        <v>27715</v>
      </c>
      <c r="F393" s="166" t="str">
        <f t="shared" si="16"/>
        <v>Date check - OK</v>
      </c>
      <c r="G393" s="68"/>
      <c r="H393" s="162" t="s">
        <v>280</v>
      </c>
      <c r="I393" s="173">
        <v>21853.086195380012</v>
      </c>
      <c r="J393" s="168">
        <f>IFERROR(MIN('MP Calculations'!$E$30/I393,1),"-")</f>
        <v>0.32927792945511891</v>
      </c>
      <c r="K393" s="12"/>
      <c r="L393" s="159">
        <v>0.90579699999999996</v>
      </c>
      <c r="M393" s="187" t="s">
        <v>293</v>
      </c>
      <c r="N393" s="187">
        <v>421.28581700000001</v>
      </c>
      <c r="O393" s="186">
        <f t="shared" si="17"/>
        <v>381.59942918114899</v>
      </c>
      <c r="P393" s="186">
        <f t="shared" si="18"/>
        <v>125.65226992202402</v>
      </c>
      <c r="Q393" s="215">
        <f>IF(P393="-",0,P393/(1+'General inputs'!$H$30)^'MP Calculations'!$C$40)</f>
        <v>279.11000570272552</v>
      </c>
    </row>
    <row r="394" spans="3:17">
      <c r="C394" s="159"/>
      <c r="D394" s="165" t="s">
        <v>290</v>
      </c>
      <c r="E394" s="162">
        <v>27715</v>
      </c>
      <c r="F394" s="166" t="str">
        <f t="shared" si="16"/>
        <v>Date check - OK</v>
      </c>
      <c r="G394" s="68"/>
      <c r="H394" s="162" t="s">
        <v>280</v>
      </c>
      <c r="I394" s="173">
        <v>21853.086195380012</v>
      </c>
      <c r="J394" s="168">
        <f>IFERROR(MIN('MP Calculations'!$E$30/I394,1),"-")</f>
        <v>0.32927792945511891</v>
      </c>
      <c r="K394" s="12"/>
      <c r="L394" s="159">
        <v>1.8254379999999999</v>
      </c>
      <c r="M394" s="187" t="s">
        <v>293</v>
      </c>
      <c r="N394" s="187">
        <v>707.97319300000004</v>
      </c>
      <c r="O394" s="186">
        <f t="shared" si="17"/>
        <v>1292.361169483534</v>
      </c>
      <c r="P394" s="186">
        <f t="shared" si="18"/>
        <v>425.5460099957341</v>
      </c>
      <c r="Q394" s="215">
        <f>IF(P394="-",0,P394/(1+'General inputs'!$H$30)^'MP Calculations'!$C$40)</f>
        <v>945.26067336777169</v>
      </c>
    </row>
    <row r="395" spans="3:17">
      <c r="C395" s="159"/>
      <c r="D395" s="165" t="s">
        <v>291</v>
      </c>
      <c r="E395" s="162">
        <v>27715</v>
      </c>
      <c r="F395" s="166" t="str">
        <f t="shared" si="16"/>
        <v>Date check - OK</v>
      </c>
      <c r="G395" s="68"/>
      <c r="H395" s="162" t="s">
        <v>280</v>
      </c>
      <c r="I395" s="173">
        <v>21853.086195380012</v>
      </c>
      <c r="J395" s="168">
        <f>IFERROR(MIN('MP Calculations'!$E$30/I395,1),"-")</f>
        <v>0.32927792945511891</v>
      </c>
      <c r="K395" s="12"/>
      <c r="L395" s="159">
        <v>1.0078339999999999</v>
      </c>
      <c r="M395" s="187" t="s">
        <v>293</v>
      </c>
      <c r="N395" s="187">
        <v>560.03424299999995</v>
      </c>
      <c r="O395" s="186">
        <f t="shared" si="17"/>
        <v>564.4215512596619</v>
      </c>
      <c r="P395" s="186">
        <f t="shared" si="18"/>
        <v>185.85155973862774</v>
      </c>
      <c r="Q395" s="215">
        <f>IF(P395="-",0,P395/(1+'General inputs'!$H$30)^'MP Calculations'!$C$40)</f>
        <v>412.83002631547879</v>
      </c>
    </row>
    <row r="396" spans="3:17">
      <c r="C396" s="159"/>
      <c r="D396" s="165" t="s">
        <v>289</v>
      </c>
      <c r="E396" s="162">
        <v>27715</v>
      </c>
      <c r="F396" s="166" t="str">
        <f t="shared" si="16"/>
        <v>Date check - OK</v>
      </c>
      <c r="G396" s="68"/>
      <c r="H396" s="162" t="s">
        <v>280</v>
      </c>
      <c r="I396" s="173">
        <v>21853.086195380012</v>
      </c>
      <c r="J396" s="168">
        <f>IFERROR(MIN('MP Calculations'!$E$30/I396,1),"-")</f>
        <v>0.32927792945511891</v>
      </c>
      <c r="K396" s="12"/>
      <c r="L396" s="159">
        <v>0.83477699999999999</v>
      </c>
      <c r="M396" s="187" t="s">
        <v>293</v>
      </c>
      <c r="N396" s="187">
        <v>421.28581700000001</v>
      </c>
      <c r="O396" s="186">
        <f t="shared" si="17"/>
        <v>351.67971045780899</v>
      </c>
      <c r="P396" s="186">
        <f t="shared" si="18"/>
        <v>115.80036689092307</v>
      </c>
      <c r="Q396" s="215">
        <f>IF(P396="-",0,P396/(1+'General inputs'!$H$30)^'MP Calculations'!$C$40)</f>
        <v>257.22608181579767</v>
      </c>
    </row>
    <row r="397" spans="3:17">
      <c r="C397" s="159"/>
      <c r="D397" s="165" t="s">
        <v>290</v>
      </c>
      <c r="E397" s="162">
        <v>27715</v>
      </c>
      <c r="F397" s="166" t="str">
        <f t="shared" si="16"/>
        <v>Date check - OK</v>
      </c>
      <c r="G397" s="68"/>
      <c r="H397" s="162" t="s">
        <v>280</v>
      </c>
      <c r="I397" s="173">
        <v>21853.086195380012</v>
      </c>
      <c r="J397" s="168">
        <f>IFERROR(MIN('MP Calculations'!$E$30/I397,1),"-")</f>
        <v>0.32927792945511891</v>
      </c>
      <c r="K397" s="12"/>
      <c r="L397" s="159">
        <v>0.77802300000000002</v>
      </c>
      <c r="M397" s="187" t="s">
        <v>293</v>
      </c>
      <c r="N397" s="187">
        <v>707.97319300000004</v>
      </c>
      <c r="O397" s="186">
        <f t="shared" si="17"/>
        <v>550.81942753743908</v>
      </c>
      <c r="P397" s="186">
        <f t="shared" si="18"/>
        <v>181.37268060318186</v>
      </c>
      <c r="Q397" s="215">
        <f>IF(P397="-",0,P397/(1+'General inputs'!$H$30)^'MP Calculations'!$C$40)</f>
        <v>402.88114133463529</v>
      </c>
    </row>
    <row r="398" spans="3:17">
      <c r="C398" s="159"/>
      <c r="D398" s="165" t="s">
        <v>291</v>
      </c>
      <c r="E398" s="162">
        <v>27715</v>
      </c>
      <c r="F398" s="166" t="str">
        <f t="shared" si="16"/>
        <v>Date check - OK</v>
      </c>
      <c r="G398" s="68"/>
      <c r="H398" s="162" t="s">
        <v>280</v>
      </c>
      <c r="I398" s="173">
        <v>21853.086195380012</v>
      </c>
      <c r="J398" s="168">
        <f>IFERROR(MIN('MP Calculations'!$E$30/I398,1),"-")</f>
        <v>0.32927792945511891</v>
      </c>
      <c r="K398" s="12"/>
      <c r="L398" s="159">
        <v>4.3728769999999999</v>
      </c>
      <c r="M398" s="187" t="s">
        <v>293</v>
      </c>
      <c r="N398" s="187">
        <v>560.03424299999995</v>
      </c>
      <c r="O398" s="186">
        <f t="shared" si="17"/>
        <v>2448.9608604271107</v>
      </c>
      <c r="P398" s="186">
        <f t="shared" si="18"/>
        <v>806.38876143806544</v>
      </c>
      <c r="Q398" s="215">
        <f>IF(P398="-",0,P398/(1+'General inputs'!$H$30)^'MP Calculations'!$C$40)</f>
        <v>1791.2224899977098</v>
      </c>
    </row>
    <row r="399" spans="3:17">
      <c r="C399" s="159"/>
      <c r="D399" s="165" t="s">
        <v>290</v>
      </c>
      <c r="E399" s="162">
        <v>27715</v>
      </c>
      <c r="F399" s="166" t="str">
        <f t="shared" si="16"/>
        <v>Date check - OK</v>
      </c>
      <c r="G399" s="68"/>
      <c r="H399" s="162" t="s">
        <v>280</v>
      </c>
      <c r="I399" s="173">
        <v>21853.086195380012</v>
      </c>
      <c r="J399" s="168">
        <f>IFERROR(MIN('MP Calculations'!$E$30/I399,1),"-")</f>
        <v>0.32927792945511891</v>
      </c>
      <c r="K399" s="12"/>
      <c r="L399" s="159">
        <v>1.6050850000000001</v>
      </c>
      <c r="M399" s="187" t="s">
        <v>293</v>
      </c>
      <c r="N399" s="187">
        <v>707.97319300000004</v>
      </c>
      <c r="O399" s="186">
        <f t="shared" si="17"/>
        <v>1136.3571524864051</v>
      </c>
      <c r="P399" s="186">
        <f t="shared" si="18"/>
        <v>374.17733029223831</v>
      </c>
      <c r="Q399" s="215">
        <f>IF(P399="-",0,P399/(1+'General inputs'!$H$30)^'MP Calculations'!$C$40)</f>
        <v>831.1559899117417</v>
      </c>
    </row>
    <row r="400" spans="3:17">
      <c r="C400" s="159"/>
      <c r="D400" s="165" t="s">
        <v>289</v>
      </c>
      <c r="E400" s="162">
        <v>27715</v>
      </c>
      <c r="F400" s="166" t="str">
        <f t="shared" si="16"/>
        <v>Date check - OK</v>
      </c>
      <c r="G400" s="68"/>
      <c r="H400" s="162" t="s">
        <v>280</v>
      </c>
      <c r="I400" s="173">
        <v>21853.086195380012</v>
      </c>
      <c r="J400" s="168">
        <f>IFERROR(MIN('MP Calculations'!$E$30/I400,1),"-")</f>
        <v>0.32927792945511891</v>
      </c>
      <c r="K400" s="12"/>
      <c r="L400" s="159">
        <v>0.83569199999999999</v>
      </c>
      <c r="M400" s="187" t="s">
        <v>293</v>
      </c>
      <c r="N400" s="187">
        <v>421.28581700000001</v>
      </c>
      <c r="O400" s="186">
        <f t="shared" si="17"/>
        <v>352.06518698036399</v>
      </c>
      <c r="P400" s="186">
        <f t="shared" si="18"/>
        <v>115.92729580212354</v>
      </c>
      <c r="Q400" s="215">
        <f>IF(P400="-",0,P400/(1+'General inputs'!$H$30)^'MP Calculations'!$C$40)</f>
        <v>257.50802761073624</v>
      </c>
    </row>
    <row r="401" spans="3:17">
      <c r="C401" s="159"/>
      <c r="D401" s="165" t="s">
        <v>283</v>
      </c>
      <c r="E401" s="162">
        <v>27760</v>
      </c>
      <c r="F401" s="166" t="str">
        <f t="shared" si="16"/>
        <v>Date check - OK</v>
      </c>
      <c r="G401" s="68"/>
      <c r="H401" s="162" t="s">
        <v>280</v>
      </c>
      <c r="I401" s="173">
        <v>21853.086195380012</v>
      </c>
      <c r="J401" s="168">
        <f>IFERROR(MIN('MP Calculations'!$E$30/I401,1),"-")</f>
        <v>0.32927792945511891</v>
      </c>
      <c r="K401" s="12"/>
      <c r="L401" s="159">
        <v>5.3856780000000004</v>
      </c>
      <c r="M401" s="187" t="s">
        <v>293</v>
      </c>
      <c r="N401" s="187">
        <v>192.78728599999999</v>
      </c>
      <c r="O401" s="186">
        <f t="shared" si="17"/>
        <v>1038.2902448899081</v>
      </c>
      <c r="P401" s="186">
        <f t="shared" si="18"/>
        <v>341.88606201079727</v>
      </c>
      <c r="Q401" s="215">
        <f>IF(P401="-",0,P401/(1+'General inputs'!$H$30)^'MP Calculations'!$C$40)</f>
        <v>759.42775070226037</v>
      </c>
    </row>
    <row r="402" spans="3:17">
      <c r="C402" s="159"/>
      <c r="D402" s="165" t="s">
        <v>283</v>
      </c>
      <c r="E402" s="162">
        <v>27760</v>
      </c>
      <c r="F402" s="166" t="str">
        <f t="shared" si="16"/>
        <v>Date check - OK</v>
      </c>
      <c r="G402" s="68"/>
      <c r="H402" s="162" t="s">
        <v>280</v>
      </c>
      <c r="I402" s="173">
        <v>21853.086195380012</v>
      </c>
      <c r="J402" s="168">
        <f>IFERROR(MIN('MP Calculations'!$E$30/I402,1),"-")</f>
        <v>0.32927792945511891</v>
      </c>
      <c r="K402" s="12"/>
      <c r="L402" s="159">
        <v>33.183259999999997</v>
      </c>
      <c r="M402" s="187" t="s">
        <v>293</v>
      </c>
      <c r="N402" s="187">
        <v>192.78728599999999</v>
      </c>
      <c r="O402" s="186">
        <f t="shared" si="17"/>
        <v>6397.3106360323591</v>
      </c>
      <c r="P402" s="186">
        <f t="shared" si="18"/>
        <v>2106.4932003139452</v>
      </c>
      <c r="Q402" s="215">
        <f>IF(P402="-",0,P402/(1+'General inputs'!$H$30)^'MP Calculations'!$C$40)</f>
        <v>4679.1301861656575</v>
      </c>
    </row>
    <row r="403" spans="3:17">
      <c r="C403" s="159"/>
      <c r="D403" s="165" t="s">
        <v>283</v>
      </c>
      <c r="E403" s="162">
        <v>27760</v>
      </c>
      <c r="F403" s="166" t="str">
        <f t="shared" si="16"/>
        <v>Date check - OK</v>
      </c>
      <c r="G403" s="68"/>
      <c r="H403" s="162" t="s">
        <v>280</v>
      </c>
      <c r="I403" s="173">
        <v>21853.086195380012</v>
      </c>
      <c r="J403" s="168">
        <f>IFERROR(MIN('MP Calculations'!$E$30/I403,1),"-")</f>
        <v>0.32927792945511891</v>
      </c>
      <c r="K403" s="12"/>
      <c r="L403" s="159">
        <v>31.139347999999998</v>
      </c>
      <c r="M403" s="187" t="s">
        <v>293</v>
      </c>
      <c r="N403" s="187">
        <v>192.78728599999999</v>
      </c>
      <c r="O403" s="186">
        <f t="shared" si="17"/>
        <v>6003.2703887295274</v>
      </c>
      <c r="P403" s="186">
        <f t="shared" si="18"/>
        <v>1976.7444435600855</v>
      </c>
      <c r="Q403" s="215">
        <f>IF(P403="-",0,P403/(1+'General inputs'!$H$30)^'MP Calculations'!$C$40)</f>
        <v>4390.9206993019125</v>
      </c>
    </row>
    <row r="404" spans="3:17">
      <c r="C404" s="159"/>
      <c r="D404" s="165" t="s">
        <v>283</v>
      </c>
      <c r="E404" s="162">
        <v>27760</v>
      </c>
      <c r="F404" s="166" t="str">
        <f t="shared" si="16"/>
        <v>Date check - OK</v>
      </c>
      <c r="G404" s="68"/>
      <c r="H404" s="162" t="s">
        <v>280</v>
      </c>
      <c r="I404" s="173">
        <v>21853.086195380012</v>
      </c>
      <c r="J404" s="168">
        <f>IFERROR(MIN('MP Calculations'!$E$30/I404,1),"-")</f>
        <v>0.32927792945511891</v>
      </c>
      <c r="K404" s="12"/>
      <c r="L404" s="159">
        <v>8.2788979999999999</v>
      </c>
      <c r="M404" s="187" t="s">
        <v>293</v>
      </c>
      <c r="N404" s="187">
        <v>192.78728599999999</v>
      </c>
      <c r="O404" s="186">
        <f t="shared" si="17"/>
        <v>1596.0662764908279</v>
      </c>
      <c r="P404" s="186">
        <f t="shared" si="18"/>
        <v>525.54939879604115</v>
      </c>
      <c r="Q404" s="215">
        <f>IF(P404="-",0,P404/(1+'General inputs'!$H$30)^'MP Calculations'!$C$40)</f>
        <v>1167.3971014296512</v>
      </c>
    </row>
    <row r="405" spans="3:17">
      <c r="C405" s="159"/>
      <c r="D405" s="165" t="s">
        <v>283</v>
      </c>
      <c r="E405" s="162">
        <v>27760</v>
      </c>
      <c r="F405" s="166" t="str">
        <f t="shared" si="16"/>
        <v>Date check - OK</v>
      </c>
      <c r="G405" s="68"/>
      <c r="H405" s="162" t="s">
        <v>280</v>
      </c>
      <c r="I405" s="173">
        <v>21853.086195380012</v>
      </c>
      <c r="J405" s="168">
        <f>IFERROR(MIN('MP Calculations'!$E$30/I405,1),"-")</f>
        <v>0.32927792945511891</v>
      </c>
      <c r="K405" s="12"/>
      <c r="L405" s="159">
        <v>11.692631</v>
      </c>
      <c r="M405" s="187" t="s">
        <v>293</v>
      </c>
      <c r="N405" s="187">
        <v>192.78728599999999</v>
      </c>
      <c r="O405" s="186">
        <f t="shared" si="17"/>
        <v>2254.190596689466</v>
      </c>
      <c r="P405" s="186">
        <f t="shared" si="18"/>
        <v>742.25521227510637</v>
      </c>
      <c r="Q405" s="215">
        <f>IF(P405="-",0,P405/(1+'General inputs'!$H$30)^'MP Calculations'!$C$40)</f>
        <v>1648.7633423538357</v>
      </c>
    </row>
    <row r="406" spans="3:17">
      <c r="C406" s="159"/>
      <c r="D406" s="165" t="s">
        <v>283</v>
      </c>
      <c r="E406" s="162">
        <v>27760</v>
      </c>
      <c r="F406" s="166" t="str">
        <f t="shared" si="16"/>
        <v>Date check - OK</v>
      </c>
      <c r="G406" s="68"/>
      <c r="H406" s="162" t="s">
        <v>280</v>
      </c>
      <c r="I406" s="173">
        <v>21853.086195380012</v>
      </c>
      <c r="J406" s="168">
        <f>IFERROR(MIN('MP Calculations'!$E$30/I406,1),"-")</f>
        <v>0.32927792945511891</v>
      </c>
      <c r="K406" s="12"/>
      <c r="L406" s="159">
        <v>49.080423000000003</v>
      </c>
      <c r="M406" s="187" t="s">
        <v>293</v>
      </c>
      <c r="N406" s="187">
        <v>192.78728599999999</v>
      </c>
      <c r="O406" s="186">
        <f t="shared" si="17"/>
        <v>9462.0815459019777</v>
      </c>
      <c r="P406" s="186">
        <f t="shared" si="18"/>
        <v>3115.6546197700941</v>
      </c>
      <c r="Q406" s="215">
        <f>IF(P406="-",0,P406/(1+'General inputs'!$H$30)^'MP Calculations'!$C$40)</f>
        <v>6920.769352049173</v>
      </c>
    </row>
    <row r="407" spans="3:17">
      <c r="C407" s="159"/>
      <c r="D407" s="165" t="s">
        <v>283</v>
      </c>
      <c r="E407" s="162">
        <v>27760</v>
      </c>
      <c r="F407" s="166" t="str">
        <f t="shared" ref="F407:F470" si="19">IF(E407="","-",IF(OR(E407&lt;$E$15,E407&gt;$E$16),"ERROR - date outside of range","Date check - OK"))</f>
        <v>Date check - OK</v>
      </c>
      <c r="G407" s="68"/>
      <c r="H407" s="162" t="s">
        <v>280</v>
      </c>
      <c r="I407" s="173">
        <v>21853.086195380012</v>
      </c>
      <c r="J407" s="168">
        <f>IFERROR(MIN('MP Calculations'!$E$30/I407,1),"-")</f>
        <v>0.32927792945511891</v>
      </c>
      <c r="K407" s="12"/>
      <c r="L407" s="159">
        <v>49.951166999999998</v>
      </c>
      <c r="M407" s="187" t="s">
        <v>293</v>
      </c>
      <c r="N407" s="187">
        <v>192.78728599999999</v>
      </c>
      <c r="O407" s="186">
        <f t="shared" ref="O407:O470" si="20">IF(N407="","-",L407*N407)</f>
        <v>9629.9499184627621</v>
      </c>
      <c r="P407" s="186">
        <f t="shared" ref="P407:P470" si="21">IF(O407="-","-",IF(OR(E407&lt;$E$15,E407&gt;$E$16),0,O407*J407))</f>
        <v>3170.9299699079097</v>
      </c>
      <c r="Q407" s="215">
        <f>IF(P407="-",0,P407/(1+'General inputs'!$H$30)^'MP Calculations'!$C$40)</f>
        <v>7043.551879589344</v>
      </c>
    </row>
    <row r="408" spans="3:17">
      <c r="C408" s="159"/>
      <c r="D408" s="165" t="s">
        <v>283</v>
      </c>
      <c r="E408" s="162">
        <v>27760</v>
      </c>
      <c r="F408" s="166" t="str">
        <f t="shared" si="19"/>
        <v>Date check - OK</v>
      </c>
      <c r="G408" s="68"/>
      <c r="H408" s="162" t="s">
        <v>280</v>
      </c>
      <c r="I408" s="173">
        <v>21853.086195380012</v>
      </c>
      <c r="J408" s="168">
        <f>IFERROR(MIN('MP Calculations'!$E$30/I408,1),"-")</f>
        <v>0.32927792945511891</v>
      </c>
      <c r="K408" s="12"/>
      <c r="L408" s="159">
        <v>12.870471999999999</v>
      </c>
      <c r="M408" s="187" t="s">
        <v>293</v>
      </c>
      <c r="N408" s="187">
        <v>192.78728599999999</v>
      </c>
      <c r="O408" s="186">
        <f t="shared" si="20"/>
        <v>2481.2633664189916</v>
      </c>
      <c r="P408" s="186">
        <f t="shared" si="21"/>
        <v>817.02526372728357</v>
      </c>
      <c r="Q408" s="215">
        <f>IF(P408="-",0,P408/(1+'General inputs'!$H$30)^'MP Calculations'!$C$40)</f>
        <v>1814.8492355904718</v>
      </c>
    </row>
    <row r="409" spans="3:17">
      <c r="C409" s="159"/>
      <c r="D409" s="165" t="s">
        <v>283</v>
      </c>
      <c r="E409" s="162">
        <v>27760</v>
      </c>
      <c r="F409" s="166" t="str">
        <f t="shared" si="19"/>
        <v>Date check - OK</v>
      </c>
      <c r="G409" s="68"/>
      <c r="H409" s="162" t="s">
        <v>280</v>
      </c>
      <c r="I409" s="173">
        <v>21853.086195380012</v>
      </c>
      <c r="J409" s="168">
        <f>IFERROR(MIN('MP Calculations'!$E$30/I409,1),"-")</f>
        <v>0.32927792945511891</v>
      </c>
      <c r="K409" s="12"/>
      <c r="L409" s="159">
        <v>25.588930999999999</v>
      </c>
      <c r="M409" s="187" t="s">
        <v>293</v>
      </c>
      <c r="N409" s="187">
        <v>192.78728599999999</v>
      </c>
      <c r="O409" s="186">
        <f t="shared" si="20"/>
        <v>4933.2205591312659</v>
      </c>
      <c r="P409" s="186">
        <f t="shared" si="21"/>
        <v>1624.4006512561673</v>
      </c>
      <c r="Q409" s="215">
        <f>IF(P409="-",0,P409/(1+'General inputs'!$H$30)^'MP Calculations'!$C$40)</f>
        <v>3608.2633072763247</v>
      </c>
    </row>
    <row r="410" spans="3:17">
      <c r="C410" s="159"/>
      <c r="D410" s="165" t="s">
        <v>283</v>
      </c>
      <c r="E410" s="162">
        <v>27760</v>
      </c>
      <c r="F410" s="166" t="str">
        <f t="shared" si="19"/>
        <v>Date check - OK</v>
      </c>
      <c r="G410" s="68"/>
      <c r="H410" s="162" t="s">
        <v>280</v>
      </c>
      <c r="I410" s="173">
        <v>21853.086195380012</v>
      </c>
      <c r="J410" s="168">
        <f>IFERROR(MIN('MP Calculations'!$E$30/I410,1),"-")</f>
        <v>0.32927792945511891</v>
      </c>
      <c r="K410" s="12"/>
      <c r="L410" s="159">
        <v>17.259536000000001</v>
      </c>
      <c r="M410" s="187" t="s">
        <v>293</v>
      </c>
      <c r="N410" s="187">
        <v>192.78728599999999</v>
      </c>
      <c r="O410" s="186">
        <f t="shared" si="20"/>
        <v>3327.419103059296</v>
      </c>
      <c r="P410" s="186">
        <f t="shared" si="21"/>
        <v>1095.6456726847739</v>
      </c>
      <c r="Q410" s="215">
        <f>IF(P410="-",0,P410/(1+'General inputs'!$H$30)^'MP Calculations'!$C$40)</f>
        <v>2433.7456867352057</v>
      </c>
    </row>
    <row r="411" spans="3:17">
      <c r="C411" s="159"/>
      <c r="D411" s="165" t="s">
        <v>283</v>
      </c>
      <c r="E411" s="162">
        <v>27760</v>
      </c>
      <c r="F411" s="166" t="str">
        <f t="shared" si="19"/>
        <v>Date check - OK</v>
      </c>
      <c r="G411" s="68"/>
      <c r="H411" s="162" t="s">
        <v>280</v>
      </c>
      <c r="I411" s="173">
        <v>21853.086195380012</v>
      </c>
      <c r="J411" s="168">
        <f>IFERROR(MIN('MP Calculations'!$E$30/I411,1),"-")</f>
        <v>0.32927792945511891</v>
      </c>
      <c r="K411" s="12"/>
      <c r="L411" s="159">
        <v>18.135061</v>
      </c>
      <c r="M411" s="187" t="s">
        <v>293</v>
      </c>
      <c r="N411" s="187">
        <v>192.78728599999999</v>
      </c>
      <c r="O411" s="186">
        <f t="shared" si="20"/>
        <v>3496.2091916344461</v>
      </c>
      <c r="P411" s="186">
        <f t="shared" si="21"/>
        <v>1151.2245235633454</v>
      </c>
      <c r="Q411" s="215">
        <f>IF(P411="-",0,P411/(1+'General inputs'!$H$30)^'MP Calculations'!$C$40)</f>
        <v>2557.2023771339996</v>
      </c>
    </row>
    <row r="412" spans="3:17">
      <c r="C412" s="159"/>
      <c r="D412" s="165" t="s">
        <v>283</v>
      </c>
      <c r="E412" s="162">
        <v>27760</v>
      </c>
      <c r="F412" s="166" t="str">
        <f t="shared" si="19"/>
        <v>Date check - OK</v>
      </c>
      <c r="G412" s="68"/>
      <c r="H412" s="162" t="s">
        <v>280</v>
      </c>
      <c r="I412" s="173">
        <v>21853.086195380012</v>
      </c>
      <c r="J412" s="168">
        <f>IFERROR(MIN('MP Calculations'!$E$30/I412,1),"-")</f>
        <v>0.32927792945511891</v>
      </c>
      <c r="K412" s="12"/>
      <c r="L412" s="159">
        <v>53.287506</v>
      </c>
      <c r="M412" s="187" t="s">
        <v>293</v>
      </c>
      <c r="N412" s="187">
        <v>192.78728599999999</v>
      </c>
      <c r="O412" s="186">
        <f t="shared" si="20"/>
        <v>10273.153659448715</v>
      </c>
      <c r="P412" s="186">
        <f t="shared" si="21"/>
        <v>3382.7227659575506</v>
      </c>
      <c r="Q412" s="215">
        <f>IF(P412="-",0,P412/(1+'General inputs'!$H$30)^'MP Calculations'!$C$40)</f>
        <v>7514.0048889133732</v>
      </c>
    </row>
    <row r="413" spans="3:17">
      <c r="C413" s="159"/>
      <c r="D413" s="165" t="s">
        <v>283</v>
      </c>
      <c r="E413" s="162">
        <v>27760</v>
      </c>
      <c r="F413" s="166" t="str">
        <f t="shared" si="19"/>
        <v>Date check - OK</v>
      </c>
      <c r="G413" s="68"/>
      <c r="H413" s="162" t="s">
        <v>280</v>
      </c>
      <c r="I413" s="173">
        <v>21853.086195380012</v>
      </c>
      <c r="J413" s="168">
        <f>IFERROR(MIN('MP Calculations'!$E$30/I413,1),"-")</f>
        <v>0.32927792945511891</v>
      </c>
      <c r="K413" s="12"/>
      <c r="L413" s="159">
        <v>0.59796199999999999</v>
      </c>
      <c r="M413" s="187" t="s">
        <v>293</v>
      </c>
      <c r="N413" s="187">
        <v>192.78728599999999</v>
      </c>
      <c r="O413" s="186">
        <f t="shared" si="20"/>
        <v>115.279471111132</v>
      </c>
      <c r="P413" s="186">
        <f t="shared" si="21"/>
        <v>37.958985556154744</v>
      </c>
      <c r="Q413" s="215">
        <f>IF(P413="-",0,P413/(1+'General inputs'!$H$30)^'MP Calculations'!$C$40)</f>
        <v>84.317877278482868</v>
      </c>
    </row>
    <row r="414" spans="3:17">
      <c r="C414" s="159"/>
      <c r="D414" s="165" t="s">
        <v>283</v>
      </c>
      <c r="E414" s="162">
        <v>27760</v>
      </c>
      <c r="F414" s="166" t="str">
        <f t="shared" si="19"/>
        <v>Date check - OK</v>
      </c>
      <c r="G414" s="68"/>
      <c r="H414" s="162" t="s">
        <v>280</v>
      </c>
      <c r="I414" s="173">
        <v>21853.086195380012</v>
      </c>
      <c r="J414" s="168">
        <f>IFERROR(MIN('MP Calculations'!$E$30/I414,1),"-")</f>
        <v>0.32927792945511891</v>
      </c>
      <c r="K414" s="12"/>
      <c r="L414" s="159">
        <v>7.994116</v>
      </c>
      <c r="M414" s="187" t="s">
        <v>293</v>
      </c>
      <c r="N414" s="187">
        <v>192.78728599999999</v>
      </c>
      <c r="O414" s="186">
        <f t="shared" si="20"/>
        <v>1541.163927609176</v>
      </c>
      <c r="P414" s="186">
        <f t="shared" si="21"/>
        <v>507.47126703406826</v>
      </c>
      <c r="Q414" s="215">
        <f>IF(P414="-",0,P414/(1+'General inputs'!$H$30)^'MP Calculations'!$C$40)</f>
        <v>1127.2403461055324</v>
      </c>
    </row>
    <row r="415" spans="3:17">
      <c r="C415" s="159"/>
      <c r="D415" s="165" t="s">
        <v>283</v>
      </c>
      <c r="E415" s="162">
        <v>27760</v>
      </c>
      <c r="F415" s="166" t="str">
        <f t="shared" si="19"/>
        <v>Date check - OK</v>
      </c>
      <c r="G415" s="68"/>
      <c r="H415" s="162" t="s">
        <v>280</v>
      </c>
      <c r="I415" s="173">
        <v>21853.086195380012</v>
      </c>
      <c r="J415" s="168">
        <f>IFERROR(MIN('MP Calculations'!$E$30/I415,1),"-")</f>
        <v>0.32927792945511891</v>
      </c>
      <c r="K415" s="12"/>
      <c r="L415" s="159">
        <v>71.468588999999994</v>
      </c>
      <c r="M415" s="187" t="s">
        <v>293</v>
      </c>
      <c r="N415" s="187">
        <v>192.78728599999999</v>
      </c>
      <c r="O415" s="186">
        <f t="shared" si="20"/>
        <v>13778.235307559453</v>
      </c>
      <c r="P415" s="186">
        <f t="shared" si="21"/>
        <v>4536.8687936185897</v>
      </c>
      <c r="Q415" s="215">
        <f>IF(P415="-",0,P415/(1+'General inputs'!$H$30)^'MP Calculations'!$C$40)</f>
        <v>10077.696770979308</v>
      </c>
    </row>
    <row r="416" spans="3:17">
      <c r="C416" s="159"/>
      <c r="D416" s="165" t="s">
        <v>283</v>
      </c>
      <c r="E416" s="162">
        <v>27760</v>
      </c>
      <c r="F416" s="166" t="str">
        <f t="shared" si="19"/>
        <v>Date check - OK</v>
      </c>
      <c r="G416" s="68"/>
      <c r="H416" s="162" t="s">
        <v>280</v>
      </c>
      <c r="I416" s="173">
        <v>21853.086195380012</v>
      </c>
      <c r="J416" s="168">
        <f>IFERROR(MIN('MP Calculations'!$E$30/I416,1),"-")</f>
        <v>0.32927792945511891</v>
      </c>
      <c r="K416" s="12"/>
      <c r="L416" s="159">
        <v>12.651497000000001</v>
      </c>
      <c r="M416" s="187" t="s">
        <v>293</v>
      </c>
      <c r="N416" s="187">
        <v>192.78728599999999</v>
      </c>
      <c r="O416" s="186">
        <f t="shared" si="20"/>
        <v>2439.0477704671421</v>
      </c>
      <c r="P416" s="186">
        <f t="shared" si="21"/>
        <v>803.12459970154464</v>
      </c>
      <c r="Q416" s="215">
        <f>IF(P416="-",0,P416/(1+'General inputs'!$H$30)^'MP Calculations'!$C$40)</f>
        <v>1783.9718434199733</v>
      </c>
    </row>
    <row r="417" spans="3:17">
      <c r="C417" s="159"/>
      <c r="D417" s="165" t="s">
        <v>283</v>
      </c>
      <c r="E417" s="162">
        <v>27760</v>
      </c>
      <c r="F417" s="166" t="str">
        <f t="shared" si="19"/>
        <v>Date check - OK</v>
      </c>
      <c r="G417" s="68"/>
      <c r="H417" s="162" t="s">
        <v>280</v>
      </c>
      <c r="I417" s="173">
        <v>21853.086195380012</v>
      </c>
      <c r="J417" s="168">
        <f>IFERROR(MIN('MP Calculations'!$E$30/I417,1),"-")</f>
        <v>0.32927792945511891</v>
      </c>
      <c r="K417" s="12"/>
      <c r="L417" s="159">
        <v>43.722625999999998</v>
      </c>
      <c r="M417" s="187" t="s">
        <v>293</v>
      </c>
      <c r="N417" s="187">
        <v>192.78728599999999</v>
      </c>
      <c r="O417" s="186">
        <f t="shared" si="20"/>
        <v>8429.1664033330362</v>
      </c>
      <c r="P417" s="186">
        <f t="shared" si="21"/>
        <v>2775.5384603221537</v>
      </c>
      <c r="Q417" s="215">
        <f>IF(P417="-",0,P417/(1+'General inputs'!$H$30)^'MP Calculations'!$C$40)</f>
        <v>6165.2730664507171</v>
      </c>
    </row>
    <row r="418" spans="3:17">
      <c r="C418" s="159"/>
      <c r="D418" s="165" t="s">
        <v>283</v>
      </c>
      <c r="E418" s="162">
        <v>27760</v>
      </c>
      <c r="F418" s="166" t="str">
        <f t="shared" si="19"/>
        <v>Date check - OK</v>
      </c>
      <c r="G418" s="68"/>
      <c r="H418" s="162" t="s">
        <v>280</v>
      </c>
      <c r="I418" s="173">
        <v>21853.086195380012</v>
      </c>
      <c r="J418" s="168">
        <f>IFERROR(MIN('MP Calculations'!$E$30/I418,1),"-")</f>
        <v>0.32927792945511891</v>
      </c>
      <c r="K418" s="12"/>
      <c r="L418" s="159">
        <v>63.378177999999998</v>
      </c>
      <c r="M418" s="187" t="s">
        <v>293</v>
      </c>
      <c r="N418" s="187">
        <v>192.78728599999999</v>
      </c>
      <c r="O418" s="186">
        <f t="shared" si="20"/>
        <v>12218.506928244908</v>
      </c>
      <c r="P418" s="186">
        <f t="shared" si="21"/>
        <v>4023.2846623655082</v>
      </c>
      <c r="Q418" s="215">
        <f>IF(P418="-",0,P418/(1+'General inputs'!$H$30)^'MP Calculations'!$C$40)</f>
        <v>8936.8779867915382</v>
      </c>
    </row>
    <row r="419" spans="3:17">
      <c r="C419" s="159"/>
      <c r="D419" s="165" t="s">
        <v>283</v>
      </c>
      <c r="E419" s="162">
        <v>27760</v>
      </c>
      <c r="F419" s="166" t="str">
        <f t="shared" si="19"/>
        <v>Date check - OK</v>
      </c>
      <c r="G419" s="68"/>
      <c r="H419" s="162" t="s">
        <v>280</v>
      </c>
      <c r="I419" s="173">
        <v>21853.086195380012</v>
      </c>
      <c r="J419" s="168">
        <f>IFERROR(MIN('MP Calculations'!$E$30/I419,1),"-")</f>
        <v>0.32927792945511891</v>
      </c>
      <c r="K419" s="12"/>
      <c r="L419" s="159">
        <v>68.071303999999998</v>
      </c>
      <c r="M419" s="187" t="s">
        <v>293</v>
      </c>
      <c r="N419" s="187">
        <v>192.78728599999999</v>
      </c>
      <c r="O419" s="186">
        <f t="shared" si="20"/>
        <v>13123.281952640944</v>
      </c>
      <c r="P419" s="186">
        <f t="shared" si="21"/>
        <v>4321.2071090213403</v>
      </c>
      <c r="Q419" s="215">
        <f>IF(P419="-",0,P419/(1+'General inputs'!$H$30)^'MP Calculations'!$C$40)</f>
        <v>9598.6498420607004</v>
      </c>
    </row>
    <row r="420" spans="3:17">
      <c r="C420" s="159"/>
      <c r="D420" s="165" t="s">
        <v>283</v>
      </c>
      <c r="E420" s="162">
        <v>27760</v>
      </c>
      <c r="F420" s="166" t="str">
        <f t="shared" si="19"/>
        <v>Date check - OK</v>
      </c>
      <c r="G420" s="68"/>
      <c r="H420" s="162" t="s">
        <v>280</v>
      </c>
      <c r="I420" s="173">
        <v>21853.086195380012</v>
      </c>
      <c r="J420" s="168">
        <f>IFERROR(MIN('MP Calculations'!$E$30/I420,1),"-")</f>
        <v>0.32927792945511891</v>
      </c>
      <c r="K420" s="12"/>
      <c r="L420" s="159">
        <v>88.827276999999995</v>
      </c>
      <c r="M420" s="187" t="s">
        <v>293</v>
      </c>
      <c r="N420" s="187">
        <v>192.78728599999999</v>
      </c>
      <c r="O420" s="186">
        <f t="shared" si="20"/>
        <v>17124.769655600219</v>
      </c>
      <c r="P420" s="186">
        <f t="shared" si="21"/>
        <v>5638.8086945918903</v>
      </c>
      <c r="Q420" s="215">
        <f>IF(P420="-",0,P420/(1+'General inputs'!$H$30)^'MP Calculations'!$C$40)</f>
        <v>12525.423757810368</v>
      </c>
    </row>
    <row r="421" spans="3:17">
      <c r="C421" s="159"/>
      <c r="D421" s="165" t="s">
        <v>283</v>
      </c>
      <c r="E421" s="162">
        <v>27760</v>
      </c>
      <c r="F421" s="166" t="str">
        <f t="shared" si="19"/>
        <v>Date check - OK</v>
      </c>
      <c r="G421" s="68"/>
      <c r="H421" s="162" t="s">
        <v>280</v>
      </c>
      <c r="I421" s="173">
        <v>21853.086195380012</v>
      </c>
      <c r="J421" s="168">
        <f>IFERROR(MIN('MP Calculations'!$E$30/I421,1),"-")</f>
        <v>0.32927792945511891</v>
      </c>
      <c r="K421" s="12"/>
      <c r="L421" s="159">
        <v>2.396064</v>
      </c>
      <c r="M421" s="187" t="s">
        <v>293</v>
      </c>
      <c r="N421" s="187">
        <v>192.78728599999999</v>
      </c>
      <c r="O421" s="186">
        <f t="shared" si="20"/>
        <v>461.93067564230398</v>
      </c>
      <c r="P421" s="186">
        <f t="shared" si="21"/>
        <v>152.10357642730199</v>
      </c>
      <c r="Q421" s="215">
        <f>IF(P421="-",0,P421/(1+'General inputs'!$H$30)^'MP Calculations'!$C$40)</f>
        <v>337.86600202586578</v>
      </c>
    </row>
    <row r="422" spans="3:17">
      <c r="C422" s="159"/>
      <c r="D422" s="165" t="s">
        <v>283</v>
      </c>
      <c r="E422" s="162">
        <v>27760</v>
      </c>
      <c r="F422" s="166" t="str">
        <f t="shared" si="19"/>
        <v>Date check - OK</v>
      </c>
      <c r="G422" s="68"/>
      <c r="H422" s="162" t="s">
        <v>280</v>
      </c>
      <c r="I422" s="173">
        <v>21853.086195380012</v>
      </c>
      <c r="J422" s="168">
        <f>IFERROR(MIN('MP Calculations'!$E$30/I422,1),"-")</f>
        <v>0.32927792945511891</v>
      </c>
      <c r="K422" s="12"/>
      <c r="L422" s="159">
        <v>7.9389589999999997</v>
      </c>
      <c r="M422" s="187" t="s">
        <v>293</v>
      </c>
      <c r="N422" s="187">
        <v>192.78728599999999</v>
      </c>
      <c r="O422" s="186">
        <f t="shared" si="20"/>
        <v>1530.5303592752739</v>
      </c>
      <c r="P422" s="186">
        <f t="shared" si="21"/>
        <v>503.96986767036145</v>
      </c>
      <c r="Q422" s="215">
        <f>IF(P422="-",0,P422/(1+'General inputs'!$H$30)^'MP Calculations'!$C$40)</f>
        <v>1119.4627261948201</v>
      </c>
    </row>
    <row r="423" spans="3:17">
      <c r="C423" s="159"/>
      <c r="D423" s="165" t="s">
        <v>282</v>
      </c>
      <c r="E423" s="162">
        <v>27760</v>
      </c>
      <c r="F423" s="166" t="str">
        <f t="shared" si="19"/>
        <v>Date check - OK</v>
      </c>
      <c r="G423" s="68"/>
      <c r="H423" s="162" t="s">
        <v>280</v>
      </c>
      <c r="I423" s="173">
        <v>21853.086195380012</v>
      </c>
      <c r="J423" s="168">
        <f>IFERROR(MIN('MP Calculations'!$E$30/I423,1),"-")</f>
        <v>0.32927792945511891</v>
      </c>
      <c r="K423" s="12"/>
      <c r="L423" s="159">
        <v>0.60019299999999998</v>
      </c>
      <c r="M423" s="187" t="s">
        <v>293</v>
      </c>
      <c r="N423" s="187">
        <v>237.97403299999999</v>
      </c>
      <c r="O423" s="186">
        <f t="shared" si="20"/>
        <v>142.83034878836898</v>
      </c>
      <c r="P423" s="186">
        <f t="shared" si="21"/>
        <v>47.030881512386593</v>
      </c>
      <c r="Q423" s="215">
        <f>IF(P423="-",0,P423/(1+'General inputs'!$H$30)^'MP Calculations'!$C$40)</f>
        <v>104.46918002573703</v>
      </c>
    </row>
    <row r="424" spans="3:17">
      <c r="C424" s="159"/>
      <c r="D424" s="165" t="s">
        <v>283</v>
      </c>
      <c r="E424" s="162">
        <v>27760</v>
      </c>
      <c r="F424" s="166" t="str">
        <f t="shared" si="19"/>
        <v>Date check - OK</v>
      </c>
      <c r="G424" s="68"/>
      <c r="H424" s="162" t="s">
        <v>280</v>
      </c>
      <c r="I424" s="173">
        <v>21853.086195380012</v>
      </c>
      <c r="J424" s="168">
        <f>IFERROR(MIN('MP Calculations'!$E$30/I424,1),"-")</f>
        <v>0.32927792945511891</v>
      </c>
      <c r="K424" s="12"/>
      <c r="L424" s="159">
        <v>3.5929869999999999</v>
      </c>
      <c r="M424" s="187" t="s">
        <v>293</v>
      </c>
      <c r="N424" s="187">
        <v>192.78728599999999</v>
      </c>
      <c r="O424" s="186">
        <f t="shared" si="20"/>
        <v>692.68221236328202</v>
      </c>
      <c r="P424" s="186">
        <f t="shared" si="21"/>
        <v>228.08496465737247</v>
      </c>
      <c r="Q424" s="215">
        <f>IF(P424="-",0,P424/(1+'General inputs'!$H$30)^'MP Calculations'!$C$40)</f>
        <v>506.64262432927893</v>
      </c>
    </row>
    <row r="425" spans="3:17">
      <c r="C425" s="159"/>
      <c r="D425" s="165" t="s">
        <v>283</v>
      </c>
      <c r="E425" s="162">
        <v>27760</v>
      </c>
      <c r="F425" s="166" t="str">
        <f t="shared" si="19"/>
        <v>Date check - OK</v>
      </c>
      <c r="G425" s="68"/>
      <c r="H425" s="162" t="s">
        <v>280</v>
      </c>
      <c r="I425" s="173">
        <v>21853.086195380012</v>
      </c>
      <c r="J425" s="168">
        <f>IFERROR(MIN('MP Calculations'!$E$30/I425,1),"-")</f>
        <v>0.32927792945511891</v>
      </c>
      <c r="K425" s="12"/>
      <c r="L425" s="159">
        <v>76.292231000000001</v>
      </c>
      <c r="M425" s="187" t="s">
        <v>293</v>
      </c>
      <c r="N425" s="187">
        <v>192.78728599999999</v>
      </c>
      <c r="O425" s="186">
        <f t="shared" si="20"/>
        <v>14708.172157375066</v>
      </c>
      <c r="P425" s="186">
        <f t="shared" si="21"/>
        <v>4843.0764740498907</v>
      </c>
      <c r="Q425" s="215">
        <f>IF(P425="-",0,P425/(1+'General inputs'!$H$30)^'MP Calculations'!$C$40)</f>
        <v>10757.872524942497</v>
      </c>
    </row>
    <row r="426" spans="3:17">
      <c r="C426" s="159"/>
      <c r="D426" s="165" t="s">
        <v>283</v>
      </c>
      <c r="E426" s="162">
        <v>27760</v>
      </c>
      <c r="F426" s="166" t="str">
        <f t="shared" si="19"/>
        <v>Date check - OK</v>
      </c>
      <c r="G426" s="68"/>
      <c r="H426" s="162" t="s">
        <v>280</v>
      </c>
      <c r="I426" s="173">
        <v>21853.086195380012</v>
      </c>
      <c r="J426" s="168">
        <f>IFERROR(MIN('MP Calculations'!$E$30/I426,1),"-")</f>
        <v>0.32927792945511891</v>
      </c>
      <c r="K426" s="12"/>
      <c r="L426" s="159">
        <v>33.786006999999998</v>
      </c>
      <c r="M426" s="187" t="s">
        <v>293</v>
      </c>
      <c r="N426" s="187">
        <v>192.78728599999999</v>
      </c>
      <c r="O426" s="186">
        <f t="shared" si="20"/>
        <v>6513.5125943070016</v>
      </c>
      <c r="P426" s="186">
        <f t="shared" si="21"/>
        <v>2144.7559405332495</v>
      </c>
      <c r="Q426" s="215">
        <f>IF(P426="-",0,P426/(1+'General inputs'!$H$30)^'MP Calculations'!$C$40)</f>
        <v>4764.1227903377858</v>
      </c>
    </row>
    <row r="427" spans="3:17">
      <c r="C427" s="159"/>
      <c r="D427" s="165" t="s">
        <v>283</v>
      </c>
      <c r="E427" s="162">
        <v>27760</v>
      </c>
      <c r="F427" s="166" t="str">
        <f t="shared" si="19"/>
        <v>Date check - OK</v>
      </c>
      <c r="G427" s="68"/>
      <c r="H427" s="162" t="s">
        <v>280</v>
      </c>
      <c r="I427" s="173">
        <v>21853.086195380012</v>
      </c>
      <c r="J427" s="168">
        <f>IFERROR(MIN('MP Calculations'!$E$30/I427,1),"-")</f>
        <v>0.32927792945511891</v>
      </c>
      <c r="K427" s="12"/>
      <c r="L427" s="159">
        <v>2.498685</v>
      </c>
      <c r="M427" s="187" t="s">
        <v>293</v>
      </c>
      <c r="N427" s="187">
        <v>192.78728599999999</v>
      </c>
      <c r="O427" s="186">
        <f t="shared" si="20"/>
        <v>481.71469971890997</v>
      </c>
      <c r="P427" s="186">
        <f t="shared" si="21"/>
        <v>158.61801891153704</v>
      </c>
      <c r="Q427" s="215">
        <f>IF(P427="-",0,P427/(1+'General inputs'!$H$30)^'MP Calculations'!$C$40)</f>
        <v>352.33646149351625</v>
      </c>
    </row>
    <row r="428" spans="3:17">
      <c r="C428" s="159"/>
      <c r="D428" s="165" t="s">
        <v>283</v>
      </c>
      <c r="E428" s="162">
        <v>27760</v>
      </c>
      <c r="F428" s="166" t="str">
        <f t="shared" si="19"/>
        <v>Date check - OK</v>
      </c>
      <c r="G428" s="68"/>
      <c r="H428" s="162" t="s">
        <v>280</v>
      </c>
      <c r="I428" s="173">
        <v>21853.086195380012</v>
      </c>
      <c r="J428" s="168">
        <f>IFERROR(MIN('MP Calculations'!$E$30/I428,1),"-")</f>
        <v>0.32927792945511891</v>
      </c>
      <c r="K428" s="12"/>
      <c r="L428" s="159">
        <v>6.0975590000000004</v>
      </c>
      <c r="M428" s="187" t="s">
        <v>293</v>
      </c>
      <c r="N428" s="187">
        <v>192.78728599999999</v>
      </c>
      <c r="O428" s="186">
        <f t="shared" si="20"/>
        <v>1175.5318508348741</v>
      </c>
      <c r="P428" s="186">
        <f t="shared" si="21"/>
        <v>387.07669385145107</v>
      </c>
      <c r="Q428" s="215">
        <f>IF(P428="-",0,P428/(1+'General inputs'!$H$30)^'MP Calculations'!$C$40)</f>
        <v>859.80920436467329</v>
      </c>
    </row>
    <row r="429" spans="3:17">
      <c r="C429" s="159"/>
      <c r="D429" s="165" t="s">
        <v>283</v>
      </c>
      <c r="E429" s="162">
        <v>27760</v>
      </c>
      <c r="F429" s="166" t="str">
        <f t="shared" si="19"/>
        <v>Date check - OK</v>
      </c>
      <c r="G429" s="68"/>
      <c r="H429" s="162" t="s">
        <v>280</v>
      </c>
      <c r="I429" s="173">
        <v>21853.086195380012</v>
      </c>
      <c r="J429" s="168">
        <f>IFERROR(MIN('MP Calculations'!$E$30/I429,1),"-")</f>
        <v>0.32927792945511891</v>
      </c>
      <c r="K429" s="12"/>
      <c r="L429" s="159">
        <v>6.3974979999999997</v>
      </c>
      <c r="M429" s="187" t="s">
        <v>293</v>
      </c>
      <c r="N429" s="187">
        <v>192.78728599999999</v>
      </c>
      <c r="O429" s="186">
        <f t="shared" si="20"/>
        <v>1233.3562766104278</v>
      </c>
      <c r="P429" s="186">
        <f t="shared" si="21"/>
        <v>406.11700104275656</v>
      </c>
      <c r="Q429" s="215">
        <f>IF(P429="-",0,P429/(1+'General inputs'!$H$30)^'MP Calculations'!$C$40)</f>
        <v>902.10322939139849</v>
      </c>
    </row>
    <row r="430" spans="3:17">
      <c r="C430" s="159"/>
      <c r="D430" s="165" t="s">
        <v>283</v>
      </c>
      <c r="E430" s="162">
        <v>27760</v>
      </c>
      <c r="F430" s="166" t="str">
        <f t="shared" si="19"/>
        <v>Date check - OK</v>
      </c>
      <c r="G430" s="68"/>
      <c r="H430" s="162" t="s">
        <v>280</v>
      </c>
      <c r="I430" s="173">
        <v>21853.086195380012</v>
      </c>
      <c r="J430" s="168">
        <f>IFERROR(MIN('MP Calculations'!$E$30/I430,1),"-")</f>
        <v>0.32927792945511891</v>
      </c>
      <c r="K430" s="12"/>
      <c r="L430" s="159">
        <v>0.69936299999999996</v>
      </c>
      <c r="M430" s="187" t="s">
        <v>293</v>
      </c>
      <c r="N430" s="187">
        <v>192.78728599999999</v>
      </c>
      <c r="O430" s="186">
        <f t="shared" si="20"/>
        <v>134.82829469881798</v>
      </c>
      <c r="P430" s="186">
        <f t="shared" si="21"/>
        <v>44.395981710391375</v>
      </c>
      <c r="Q430" s="215">
        <f>IF(P430="-",0,P430/(1+'General inputs'!$H$30)^'MP Calculations'!$C$40)</f>
        <v>98.616306064786073</v>
      </c>
    </row>
    <row r="431" spans="3:17">
      <c r="C431" s="159"/>
      <c r="D431" s="165" t="s">
        <v>283</v>
      </c>
      <c r="E431" s="162">
        <v>27760</v>
      </c>
      <c r="F431" s="166" t="str">
        <f t="shared" si="19"/>
        <v>Date check - OK</v>
      </c>
      <c r="G431" s="68"/>
      <c r="H431" s="162" t="s">
        <v>280</v>
      </c>
      <c r="I431" s="173">
        <v>21853.086195380012</v>
      </c>
      <c r="J431" s="168">
        <f>IFERROR(MIN('MP Calculations'!$E$30/I431,1),"-")</f>
        <v>0.32927792945511891</v>
      </c>
      <c r="K431" s="12"/>
      <c r="L431" s="159">
        <v>50.320858000000001</v>
      </c>
      <c r="M431" s="187" t="s">
        <v>293</v>
      </c>
      <c r="N431" s="187">
        <v>192.78728599999999</v>
      </c>
      <c r="O431" s="186">
        <f t="shared" si="20"/>
        <v>9701.2216430113876</v>
      </c>
      <c r="P431" s="186">
        <f t="shared" si="21"/>
        <v>3194.3981757959764</v>
      </c>
      <c r="Q431" s="215">
        <f>IF(P431="-",0,P431/(1+'General inputs'!$H$30)^'MP Calculations'!$C$40)</f>
        <v>7095.6815473089637</v>
      </c>
    </row>
    <row r="432" spans="3:17">
      <c r="C432" s="159"/>
      <c r="D432" s="165" t="s">
        <v>283</v>
      </c>
      <c r="E432" s="162">
        <v>27760</v>
      </c>
      <c r="F432" s="166" t="str">
        <f t="shared" si="19"/>
        <v>Date check - OK</v>
      </c>
      <c r="G432" s="68"/>
      <c r="H432" s="162" t="s">
        <v>280</v>
      </c>
      <c r="I432" s="173">
        <v>21853.086195380012</v>
      </c>
      <c r="J432" s="168">
        <f>IFERROR(MIN('MP Calculations'!$E$30/I432,1),"-")</f>
        <v>0.32927792945511891</v>
      </c>
      <c r="K432" s="12"/>
      <c r="L432" s="159">
        <v>46.519454000000003</v>
      </c>
      <c r="M432" s="187" t="s">
        <v>293</v>
      </c>
      <c r="N432" s="187">
        <v>192.78728599999999</v>
      </c>
      <c r="O432" s="186">
        <f t="shared" si="20"/>
        <v>8968.3592828618439</v>
      </c>
      <c r="P432" s="186">
        <f t="shared" si="21"/>
        <v>2953.0827752703431</v>
      </c>
      <c r="Q432" s="215">
        <f>IF(P432="-",0,P432/(1+'General inputs'!$H$30)^'MP Calculations'!$C$40)</f>
        <v>6559.6503012466155</v>
      </c>
    </row>
    <row r="433" spans="3:17">
      <c r="C433" s="159"/>
      <c r="D433" s="165" t="s">
        <v>283</v>
      </c>
      <c r="E433" s="162">
        <v>27760</v>
      </c>
      <c r="F433" s="166" t="str">
        <f t="shared" si="19"/>
        <v>Date check - OK</v>
      </c>
      <c r="G433" s="68"/>
      <c r="H433" s="162" t="s">
        <v>280</v>
      </c>
      <c r="I433" s="173">
        <v>21853.086195380012</v>
      </c>
      <c r="J433" s="168">
        <f>IFERROR(MIN('MP Calculations'!$E$30/I433,1),"-")</f>
        <v>0.32927792945511891</v>
      </c>
      <c r="K433" s="12"/>
      <c r="L433" s="159">
        <v>77.467889999999997</v>
      </c>
      <c r="M433" s="187" t="s">
        <v>293</v>
      </c>
      <c r="N433" s="187">
        <v>192.78728599999999</v>
      </c>
      <c r="O433" s="186">
        <f t="shared" si="20"/>
        <v>14934.82426524654</v>
      </c>
      <c r="P433" s="186">
        <f t="shared" si="21"/>
        <v>4917.708010836448</v>
      </c>
      <c r="Q433" s="215">
        <f>IF(P433="-",0,P433/(1+'General inputs'!$H$30)^'MP Calculations'!$C$40)</f>
        <v>10923.650737075281</v>
      </c>
    </row>
    <row r="434" spans="3:17">
      <c r="C434" s="159"/>
      <c r="D434" s="165" t="s">
        <v>283</v>
      </c>
      <c r="E434" s="162">
        <v>27760</v>
      </c>
      <c r="F434" s="166" t="str">
        <f t="shared" si="19"/>
        <v>Date check - OK</v>
      </c>
      <c r="G434" s="68"/>
      <c r="H434" s="162" t="s">
        <v>280</v>
      </c>
      <c r="I434" s="173">
        <v>21853.086195380012</v>
      </c>
      <c r="J434" s="168">
        <f>IFERROR(MIN('MP Calculations'!$E$30/I434,1),"-")</f>
        <v>0.32927792945511891</v>
      </c>
      <c r="K434" s="12"/>
      <c r="L434" s="159">
        <v>1.8988350000000001</v>
      </c>
      <c r="M434" s="187" t="s">
        <v>293</v>
      </c>
      <c r="N434" s="187">
        <v>192.78728599999999</v>
      </c>
      <c r="O434" s="186">
        <f t="shared" si="20"/>
        <v>366.07124621180998</v>
      </c>
      <c r="P434" s="186">
        <f t="shared" si="21"/>
        <v>120.53918198567983</v>
      </c>
      <c r="Q434" s="215">
        <f>IF(P434="-",0,P434/(1+'General inputs'!$H$30)^'MP Calculations'!$C$40)</f>
        <v>267.75235968521076</v>
      </c>
    </row>
    <row r="435" spans="3:17">
      <c r="C435" s="159"/>
      <c r="D435" s="165" t="s">
        <v>283</v>
      </c>
      <c r="E435" s="162">
        <v>27760</v>
      </c>
      <c r="F435" s="166" t="str">
        <f t="shared" si="19"/>
        <v>Date check - OK</v>
      </c>
      <c r="G435" s="68"/>
      <c r="H435" s="162" t="s">
        <v>280</v>
      </c>
      <c r="I435" s="173">
        <v>21853.086195380012</v>
      </c>
      <c r="J435" s="168">
        <f>IFERROR(MIN('MP Calculations'!$E$30/I435,1),"-")</f>
        <v>0.32927792945511891</v>
      </c>
      <c r="K435" s="12"/>
      <c r="L435" s="159">
        <v>6.857342</v>
      </c>
      <c r="M435" s="187" t="s">
        <v>293</v>
      </c>
      <c r="N435" s="187">
        <v>192.78728599999999</v>
      </c>
      <c r="O435" s="186">
        <f t="shared" si="20"/>
        <v>1322.008353353812</v>
      </c>
      <c r="P435" s="186">
        <f t="shared" si="21"/>
        <v>435.30817331471445</v>
      </c>
      <c r="Q435" s="215">
        <f>IF(P435="-",0,P435/(1+'General inputs'!$H$30)^'MP Calculations'!$C$40)</f>
        <v>966.94525941880295</v>
      </c>
    </row>
    <row r="436" spans="3:17">
      <c r="C436" s="159"/>
      <c r="D436" s="165" t="s">
        <v>283</v>
      </c>
      <c r="E436" s="162">
        <v>27760</v>
      </c>
      <c r="F436" s="166" t="str">
        <f t="shared" si="19"/>
        <v>Date check - OK</v>
      </c>
      <c r="G436" s="68"/>
      <c r="H436" s="162" t="s">
        <v>280</v>
      </c>
      <c r="I436" s="173">
        <v>21853.086195380012</v>
      </c>
      <c r="J436" s="168">
        <f>IFERROR(MIN('MP Calculations'!$E$30/I436,1),"-")</f>
        <v>0.32927792945511891</v>
      </c>
      <c r="K436" s="12"/>
      <c r="L436" s="159">
        <v>38.484085</v>
      </c>
      <c r="M436" s="187" t="s">
        <v>293</v>
      </c>
      <c r="N436" s="187">
        <v>192.78728599999999</v>
      </c>
      <c r="O436" s="186">
        <f t="shared" si="20"/>
        <v>7419.2423013433099</v>
      </c>
      <c r="P436" s="186">
        <f t="shared" si="21"/>
        <v>2442.9927431121564</v>
      </c>
      <c r="Q436" s="215">
        <f>IF(P436="-",0,P436/(1+'General inputs'!$H$30)^'MP Calculations'!$C$40)</f>
        <v>5426.5929209627084</v>
      </c>
    </row>
    <row r="437" spans="3:17">
      <c r="C437" s="159"/>
      <c r="D437" s="165" t="s">
        <v>283</v>
      </c>
      <c r="E437" s="162">
        <v>27760</v>
      </c>
      <c r="F437" s="166" t="str">
        <f t="shared" si="19"/>
        <v>Date check - OK</v>
      </c>
      <c r="G437" s="68"/>
      <c r="H437" s="162" t="s">
        <v>280</v>
      </c>
      <c r="I437" s="173">
        <v>21853.086195380012</v>
      </c>
      <c r="J437" s="168">
        <f>IFERROR(MIN('MP Calculations'!$E$30/I437,1),"-")</f>
        <v>0.32927792945511891</v>
      </c>
      <c r="K437" s="12"/>
      <c r="L437" s="159">
        <v>24.900995000000002</v>
      </c>
      <c r="M437" s="187" t="s">
        <v>293</v>
      </c>
      <c r="N437" s="187">
        <v>192.78728599999999</v>
      </c>
      <c r="O437" s="186">
        <f t="shared" si="20"/>
        <v>4800.5952447495702</v>
      </c>
      <c r="P437" s="186">
        <f t="shared" si="21"/>
        <v>1580.7300623432282</v>
      </c>
      <c r="Q437" s="215">
        <f>IF(P437="-",0,P437/(1+'General inputs'!$H$30)^'MP Calculations'!$C$40)</f>
        <v>3511.2583082572392</v>
      </c>
    </row>
    <row r="438" spans="3:17">
      <c r="C438" s="159"/>
      <c r="D438" s="165" t="s">
        <v>283</v>
      </c>
      <c r="E438" s="162">
        <v>27760</v>
      </c>
      <c r="F438" s="166" t="str">
        <f t="shared" si="19"/>
        <v>Date check - OK</v>
      </c>
      <c r="G438" s="68"/>
      <c r="H438" s="162" t="s">
        <v>280</v>
      </c>
      <c r="I438" s="173">
        <v>21853.086195380012</v>
      </c>
      <c r="J438" s="168">
        <f>IFERROR(MIN('MP Calculations'!$E$30/I438,1),"-")</f>
        <v>0.32927792945511891</v>
      </c>
      <c r="K438" s="12"/>
      <c r="L438" s="159">
        <v>71.368640999999997</v>
      </c>
      <c r="M438" s="187" t="s">
        <v>293</v>
      </c>
      <c r="N438" s="187">
        <v>192.78728599999999</v>
      </c>
      <c r="O438" s="186">
        <f t="shared" si="20"/>
        <v>13758.966603898325</v>
      </c>
      <c r="P438" s="186">
        <f t="shared" si="21"/>
        <v>4530.5240347737699</v>
      </c>
      <c r="Q438" s="215">
        <f>IF(P438="-",0,P438/(1+'General inputs'!$H$30)^'MP Calculations'!$C$40)</f>
        <v>10063.603227914316</v>
      </c>
    </row>
    <row r="439" spans="3:17">
      <c r="C439" s="159"/>
      <c r="D439" s="165" t="s">
        <v>283</v>
      </c>
      <c r="E439" s="162">
        <v>27760</v>
      </c>
      <c r="F439" s="166" t="str">
        <f t="shared" si="19"/>
        <v>Date check - OK</v>
      </c>
      <c r="G439" s="68"/>
      <c r="H439" s="162" t="s">
        <v>280</v>
      </c>
      <c r="I439" s="173">
        <v>21853.086195380012</v>
      </c>
      <c r="J439" s="168">
        <f>IFERROR(MIN('MP Calculations'!$E$30/I439,1),"-")</f>
        <v>0.32927792945511891</v>
      </c>
      <c r="K439" s="12"/>
      <c r="L439" s="159">
        <v>1.598897</v>
      </c>
      <c r="M439" s="187" t="s">
        <v>293</v>
      </c>
      <c r="N439" s="187">
        <v>192.78728599999999</v>
      </c>
      <c r="O439" s="186">
        <f t="shared" si="20"/>
        <v>308.24701322354201</v>
      </c>
      <c r="P439" s="186">
        <f t="shared" si="21"/>
        <v>101.49893827497257</v>
      </c>
      <c r="Q439" s="215">
        <f>IF(P439="-",0,P439/(1+'General inputs'!$H$30)^'MP Calculations'!$C$40)</f>
        <v>225.45847566724044</v>
      </c>
    </row>
    <row r="440" spans="3:17">
      <c r="C440" s="159"/>
      <c r="D440" s="165" t="s">
        <v>283</v>
      </c>
      <c r="E440" s="162">
        <v>27760</v>
      </c>
      <c r="F440" s="166" t="str">
        <f t="shared" si="19"/>
        <v>Date check - OK</v>
      </c>
      <c r="G440" s="68"/>
      <c r="H440" s="162" t="s">
        <v>280</v>
      </c>
      <c r="I440" s="173">
        <v>21853.086195380012</v>
      </c>
      <c r="J440" s="168">
        <f>IFERROR(MIN('MP Calculations'!$E$30/I440,1),"-")</f>
        <v>0.32927792945511891</v>
      </c>
      <c r="K440" s="12"/>
      <c r="L440" s="159">
        <v>9.698696</v>
      </c>
      <c r="M440" s="187" t="s">
        <v>293</v>
      </c>
      <c r="N440" s="187">
        <v>192.78728599999999</v>
      </c>
      <c r="O440" s="186">
        <f t="shared" si="20"/>
        <v>1869.7852795790559</v>
      </c>
      <c r="P440" s="186">
        <f t="shared" si="21"/>
        <v>615.67902538545218</v>
      </c>
      <c r="Q440" s="215">
        <f>IF(P440="-",0,P440/(1+'General inputs'!$H$30)^'MP Calculations'!$C$40)</f>
        <v>1367.6010500488537</v>
      </c>
    </row>
    <row r="441" spans="3:17">
      <c r="C441" s="159"/>
      <c r="D441" s="165" t="s">
        <v>283</v>
      </c>
      <c r="E441" s="162">
        <v>27760</v>
      </c>
      <c r="F441" s="166" t="str">
        <f t="shared" si="19"/>
        <v>Date check - OK</v>
      </c>
      <c r="G441" s="68"/>
      <c r="H441" s="162" t="s">
        <v>280</v>
      </c>
      <c r="I441" s="173">
        <v>21853.086195380012</v>
      </c>
      <c r="J441" s="168">
        <f>IFERROR(MIN('MP Calculations'!$E$30/I441,1),"-")</f>
        <v>0.32927792945511891</v>
      </c>
      <c r="K441" s="12"/>
      <c r="L441" s="159">
        <v>26.364314</v>
      </c>
      <c r="M441" s="187" t="s">
        <v>293</v>
      </c>
      <c r="N441" s="187">
        <v>192.78728599999999</v>
      </c>
      <c r="O441" s="186">
        <f t="shared" si="20"/>
        <v>5082.7045433118037</v>
      </c>
      <c r="P441" s="186">
        <f t="shared" si="21"/>
        <v>1673.6224280538365</v>
      </c>
      <c r="Q441" s="215">
        <f>IF(P441="-",0,P441/(1+'General inputs'!$H$30)^'MP Calculations'!$C$40)</f>
        <v>3717.5990989116158</v>
      </c>
    </row>
    <row r="442" spans="3:17">
      <c r="C442" s="159"/>
      <c r="D442" s="165" t="s">
        <v>283</v>
      </c>
      <c r="E442" s="162">
        <v>27760</v>
      </c>
      <c r="F442" s="166" t="str">
        <f t="shared" si="19"/>
        <v>Date check - OK</v>
      </c>
      <c r="G442" s="68"/>
      <c r="H442" s="162" t="s">
        <v>280</v>
      </c>
      <c r="I442" s="173">
        <v>21853.086195380012</v>
      </c>
      <c r="J442" s="168">
        <f>IFERROR(MIN('MP Calculations'!$E$30/I442,1),"-")</f>
        <v>0.32927792945511891</v>
      </c>
      <c r="K442" s="12"/>
      <c r="L442" s="159">
        <v>33.486075999999997</v>
      </c>
      <c r="M442" s="187" t="s">
        <v>293</v>
      </c>
      <c r="N442" s="187">
        <v>192.78728599999999</v>
      </c>
      <c r="O442" s="186">
        <f t="shared" si="20"/>
        <v>6455.6897108297353</v>
      </c>
      <c r="P442" s="186">
        <f t="shared" si="21"/>
        <v>2125.7161411867305</v>
      </c>
      <c r="Q442" s="215">
        <f>IF(P442="-",0,P442/(1+'General inputs'!$H$30)^'MP Calculations'!$C$40)</f>
        <v>4721.8298933811011</v>
      </c>
    </row>
    <row r="443" spans="3:17">
      <c r="C443" s="159"/>
      <c r="D443" s="165" t="s">
        <v>283</v>
      </c>
      <c r="E443" s="162">
        <v>27760</v>
      </c>
      <c r="F443" s="166" t="str">
        <f t="shared" si="19"/>
        <v>Date check - OK</v>
      </c>
      <c r="G443" s="68"/>
      <c r="H443" s="162" t="s">
        <v>280</v>
      </c>
      <c r="I443" s="173">
        <v>21853.086195380012</v>
      </c>
      <c r="J443" s="168">
        <f>IFERROR(MIN('MP Calculations'!$E$30/I443,1),"-")</f>
        <v>0.32927792945511891</v>
      </c>
      <c r="K443" s="12"/>
      <c r="L443" s="159">
        <v>12.494249999999999</v>
      </c>
      <c r="M443" s="187" t="s">
        <v>293</v>
      </c>
      <c r="N443" s="187">
        <v>192.78728599999999</v>
      </c>
      <c r="O443" s="186">
        <f t="shared" si="20"/>
        <v>2408.7325481055</v>
      </c>
      <c r="P443" s="186">
        <f t="shared" si="21"/>
        <v>793.14246605133167</v>
      </c>
      <c r="Q443" s="215">
        <f>IF(P443="-",0,P443/(1+'General inputs'!$H$30)^'MP Calculations'!$C$40)</f>
        <v>1761.7986396906233</v>
      </c>
    </row>
    <row r="444" spans="3:17">
      <c r="C444" s="159"/>
      <c r="D444" s="165" t="s">
        <v>283</v>
      </c>
      <c r="E444" s="162">
        <v>27760</v>
      </c>
      <c r="F444" s="166" t="str">
        <f t="shared" si="19"/>
        <v>Date check - OK</v>
      </c>
      <c r="G444" s="68"/>
      <c r="H444" s="162" t="s">
        <v>280</v>
      </c>
      <c r="I444" s="173">
        <v>21853.086195380012</v>
      </c>
      <c r="J444" s="168">
        <f>IFERROR(MIN('MP Calculations'!$E$30/I444,1),"-")</f>
        <v>0.32927792945511891</v>
      </c>
      <c r="K444" s="12"/>
      <c r="L444" s="159">
        <v>13.975206999999999</v>
      </c>
      <c r="M444" s="187" t="s">
        <v>293</v>
      </c>
      <c r="N444" s="187">
        <v>192.78728599999999</v>
      </c>
      <c r="O444" s="186">
        <f t="shared" si="20"/>
        <v>2694.242228818202</v>
      </c>
      <c r="P444" s="186">
        <f t="shared" si="21"/>
        <v>887.1545025558022</v>
      </c>
      <c r="Q444" s="215">
        <f>IF(P444="-",0,P444/(1+'General inputs'!$H$30)^'MP Calculations'!$C$40)</f>
        <v>1970.6265427692638</v>
      </c>
    </row>
    <row r="445" spans="3:17">
      <c r="C445" s="159"/>
      <c r="D445" s="165" t="s">
        <v>283</v>
      </c>
      <c r="E445" s="162">
        <v>27760</v>
      </c>
      <c r="F445" s="166" t="str">
        <f t="shared" si="19"/>
        <v>Date check - OK</v>
      </c>
      <c r="G445" s="68"/>
      <c r="H445" s="162" t="s">
        <v>280</v>
      </c>
      <c r="I445" s="173">
        <v>21853.086195380012</v>
      </c>
      <c r="J445" s="168">
        <f>IFERROR(MIN('MP Calculations'!$E$30/I445,1),"-")</f>
        <v>0.32927792945511891</v>
      </c>
      <c r="K445" s="12"/>
      <c r="L445" s="159">
        <v>53.471682999999999</v>
      </c>
      <c r="M445" s="187" t="s">
        <v>293</v>
      </c>
      <c r="N445" s="187">
        <v>192.78728599999999</v>
      </c>
      <c r="O445" s="186">
        <f t="shared" si="20"/>
        <v>10308.660643422338</v>
      </c>
      <c r="P445" s="186">
        <f t="shared" si="21"/>
        <v>3394.4144321215813</v>
      </c>
      <c r="Q445" s="215">
        <f>IF(P445="-",0,P445/(1+'General inputs'!$H$30)^'MP Calculations'!$C$40)</f>
        <v>7539.975458420332</v>
      </c>
    </row>
    <row r="446" spans="3:17">
      <c r="C446" s="159"/>
      <c r="D446" s="165" t="s">
        <v>283</v>
      </c>
      <c r="E446" s="162">
        <v>27760</v>
      </c>
      <c r="F446" s="166" t="str">
        <f t="shared" si="19"/>
        <v>Date check - OK</v>
      </c>
      <c r="G446" s="68"/>
      <c r="H446" s="162" t="s">
        <v>280</v>
      </c>
      <c r="I446" s="173">
        <v>21853.086195380012</v>
      </c>
      <c r="J446" s="168">
        <f>IFERROR(MIN('MP Calculations'!$E$30/I446,1),"-")</f>
        <v>0.32927792945511891</v>
      </c>
      <c r="K446" s="12"/>
      <c r="L446" s="159">
        <v>73.071001999999993</v>
      </c>
      <c r="M446" s="187" t="s">
        <v>293</v>
      </c>
      <c r="N446" s="187">
        <v>192.78728599999999</v>
      </c>
      <c r="O446" s="186">
        <f t="shared" si="20"/>
        <v>14087.16016088057</v>
      </c>
      <c r="P446" s="186">
        <f t="shared" si="21"/>
        <v>4638.5909296773943</v>
      </c>
      <c r="Q446" s="215">
        <f>IF(P446="-",0,P446/(1+'General inputs'!$H$30)^'MP Calculations'!$C$40)</f>
        <v>10303.651033429842</v>
      </c>
    </row>
    <row r="447" spans="3:17">
      <c r="C447" s="159"/>
      <c r="D447" s="165" t="s">
        <v>283</v>
      </c>
      <c r="E447" s="162">
        <v>27760</v>
      </c>
      <c r="F447" s="166" t="str">
        <f t="shared" si="19"/>
        <v>Date check - OK</v>
      </c>
      <c r="G447" s="68"/>
      <c r="H447" s="162" t="s">
        <v>280</v>
      </c>
      <c r="I447" s="173">
        <v>21853.086195380012</v>
      </c>
      <c r="J447" s="168">
        <f>IFERROR(MIN('MP Calculations'!$E$30/I447,1),"-")</f>
        <v>0.32927792945511891</v>
      </c>
      <c r="K447" s="12"/>
      <c r="L447" s="159">
        <v>53.148668000000001</v>
      </c>
      <c r="M447" s="187" t="s">
        <v>293</v>
      </c>
      <c r="N447" s="187">
        <v>192.78728599999999</v>
      </c>
      <c r="O447" s="186">
        <f t="shared" si="20"/>
        <v>10246.387458235047</v>
      </c>
      <c r="P447" s="186">
        <f t="shared" si="21"/>
        <v>3373.909246642535</v>
      </c>
      <c r="Q447" s="215">
        <f>IF(P447="-",0,P447/(1+'General inputs'!$H$30)^'MP Calculations'!$C$40)</f>
        <v>7494.4275153585495</v>
      </c>
    </row>
    <row r="448" spans="3:17">
      <c r="C448" s="159"/>
      <c r="D448" s="165" t="s">
        <v>283</v>
      </c>
      <c r="E448" s="162">
        <v>27760</v>
      </c>
      <c r="F448" s="166" t="str">
        <f t="shared" si="19"/>
        <v>Date check - OK</v>
      </c>
      <c r="G448" s="68"/>
      <c r="H448" s="162" t="s">
        <v>280</v>
      </c>
      <c r="I448" s="173">
        <v>21853.086195380012</v>
      </c>
      <c r="J448" s="168">
        <f>IFERROR(MIN('MP Calculations'!$E$30/I448,1),"-")</f>
        <v>0.32927792945511891</v>
      </c>
      <c r="K448" s="12"/>
      <c r="L448" s="159">
        <v>42.456831000000001</v>
      </c>
      <c r="M448" s="187" t="s">
        <v>293</v>
      </c>
      <c r="N448" s="187">
        <v>192.78728599999999</v>
      </c>
      <c r="O448" s="186">
        <f t="shared" si="20"/>
        <v>8185.1372206506658</v>
      </c>
      <c r="P448" s="186">
        <f t="shared" si="21"/>
        <v>2695.1850363218782</v>
      </c>
      <c r="Q448" s="215">
        <f>IF(P448="-",0,P448/(1+'General inputs'!$H$30)^'MP Calculations'!$C$40)</f>
        <v>5986.7848891589883</v>
      </c>
    </row>
    <row r="449" spans="3:17">
      <c r="C449" s="159"/>
      <c r="D449" s="165" t="s">
        <v>283</v>
      </c>
      <c r="E449" s="162">
        <v>27760</v>
      </c>
      <c r="F449" s="166" t="str">
        <f t="shared" si="19"/>
        <v>Date check - OK</v>
      </c>
      <c r="G449" s="68"/>
      <c r="H449" s="162" t="s">
        <v>280</v>
      </c>
      <c r="I449" s="173">
        <v>21853.086195380012</v>
      </c>
      <c r="J449" s="168">
        <f>IFERROR(MIN('MP Calculations'!$E$30/I449,1),"-")</f>
        <v>0.32927792945511891</v>
      </c>
      <c r="K449" s="12"/>
      <c r="L449" s="159">
        <v>3.0991590000000002</v>
      </c>
      <c r="M449" s="187" t="s">
        <v>293</v>
      </c>
      <c r="N449" s="187">
        <v>192.78728599999999</v>
      </c>
      <c r="O449" s="186">
        <f t="shared" si="20"/>
        <v>597.47845249247405</v>
      </c>
      <c r="P449" s="186">
        <f t="shared" si="21"/>
        <v>196.7364677307705</v>
      </c>
      <c r="Q449" s="215">
        <f>IF(P449="-",0,P449/(1+'General inputs'!$H$30)^'MP Calculations'!$C$40)</f>
        <v>437.0085527650682</v>
      </c>
    </row>
    <row r="450" spans="3:17">
      <c r="C450" s="159"/>
      <c r="D450" s="165" t="s">
        <v>283</v>
      </c>
      <c r="E450" s="162">
        <v>27760</v>
      </c>
      <c r="F450" s="166" t="str">
        <f t="shared" si="19"/>
        <v>Date check - OK</v>
      </c>
      <c r="G450" s="68"/>
      <c r="H450" s="162" t="s">
        <v>280</v>
      </c>
      <c r="I450" s="173">
        <v>21853.086195380012</v>
      </c>
      <c r="J450" s="168">
        <f>IFERROR(MIN('MP Calculations'!$E$30/I450,1),"-")</f>
        <v>0.32927792945511891</v>
      </c>
      <c r="K450" s="12"/>
      <c r="L450" s="159">
        <v>7.4964969999999997</v>
      </c>
      <c r="M450" s="187" t="s">
        <v>293</v>
      </c>
      <c r="N450" s="187">
        <v>192.78728599999999</v>
      </c>
      <c r="O450" s="186">
        <f t="shared" si="20"/>
        <v>1445.2293111371418</v>
      </c>
      <c r="P450" s="186">
        <f t="shared" si="21"/>
        <v>475.88211515908591</v>
      </c>
      <c r="Q450" s="215">
        <f>IF(P450="-",0,P450/(1+'General inputs'!$H$30)^'MP Calculations'!$C$40)</f>
        <v>1057.0717103503482</v>
      </c>
    </row>
    <row r="451" spans="3:17">
      <c r="C451" s="159"/>
      <c r="D451" s="165" t="s">
        <v>283</v>
      </c>
      <c r="E451" s="162">
        <v>27760</v>
      </c>
      <c r="F451" s="166" t="str">
        <f t="shared" si="19"/>
        <v>Date check - OK</v>
      </c>
      <c r="G451" s="68"/>
      <c r="H451" s="162" t="s">
        <v>280</v>
      </c>
      <c r="I451" s="173">
        <v>21853.086195380012</v>
      </c>
      <c r="J451" s="168">
        <f>IFERROR(MIN('MP Calculations'!$E$30/I451,1),"-")</f>
        <v>0.32927792945511891</v>
      </c>
      <c r="K451" s="12"/>
      <c r="L451" s="159">
        <v>4.2988239999999998</v>
      </c>
      <c r="M451" s="187" t="s">
        <v>293</v>
      </c>
      <c r="N451" s="187">
        <v>192.78728599999999</v>
      </c>
      <c r="O451" s="186">
        <f t="shared" si="20"/>
        <v>828.75861195166397</v>
      </c>
      <c r="P451" s="186">
        <f t="shared" si="21"/>
        <v>272.89191976154228</v>
      </c>
      <c r="Q451" s="215">
        <f>IF(P451="-",0,P451/(1+'General inputs'!$H$30)^'MP Calculations'!$C$40)</f>
        <v>606.17182107524695</v>
      </c>
    </row>
    <row r="452" spans="3:17">
      <c r="C452" s="159"/>
      <c r="D452" s="165" t="s">
        <v>283</v>
      </c>
      <c r="E452" s="162">
        <v>27760</v>
      </c>
      <c r="F452" s="166" t="str">
        <f t="shared" si="19"/>
        <v>Date check - OK</v>
      </c>
      <c r="G452" s="68"/>
      <c r="H452" s="162" t="s">
        <v>280</v>
      </c>
      <c r="I452" s="173">
        <v>21853.086195380012</v>
      </c>
      <c r="J452" s="168">
        <f>IFERROR(MIN('MP Calculations'!$E$30/I452,1),"-")</f>
        <v>0.32927792945511891</v>
      </c>
      <c r="K452" s="12"/>
      <c r="L452" s="159">
        <v>10.743911000000001</v>
      </c>
      <c r="M452" s="187" t="s">
        <v>293</v>
      </c>
      <c r="N452" s="187">
        <v>192.78728599999999</v>
      </c>
      <c r="O452" s="186">
        <f t="shared" si="20"/>
        <v>2071.2894427155461</v>
      </c>
      <c r="P452" s="186">
        <f t="shared" si="21"/>
        <v>682.02989899962211</v>
      </c>
      <c r="Q452" s="215">
        <f>IF(P452="-",0,P452/(1+'General inputs'!$H$30)^'MP Calculations'!$C$40)</f>
        <v>1514.9855161179842</v>
      </c>
    </row>
    <row r="453" spans="3:17">
      <c r="C453" s="159"/>
      <c r="D453" s="165" t="s">
        <v>283</v>
      </c>
      <c r="E453" s="162">
        <v>27760</v>
      </c>
      <c r="F453" s="166" t="str">
        <f t="shared" si="19"/>
        <v>Date check - OK</v>
      </c>
      <c r="G453" s="68"/>
      <c r="H453" s="162" t="s">
        <v>280</v>
      </c>
      <c r="I453" s="173">
        <v>21853.086195380012</v>
      </c>
      <c r="J453" s="168">
        <f>IFERROR(MIN('MP Calculations'!$E$30/I453,1),"-")</f>
        <v>0.32927792945511891</v>
      </c>
      <c r="K453" s="12"/>
      <c r="L453" s="159">
        <v>68.656953999999999</v>
      </c>
      <c r="M453" s="187" t="s">
        <v>293</v>
      </c>
      <c r="N453" s="187">
        <v>192.78728599999999</v>
      </c>
      <c r="O453" s="186">
        <f t="shared" si="20"/>
        <v>13236.187826686843</v>
      </c>
      <c r="P453" s="186">
        <f t="shared" si="21"/>
        <v>4358.3845214504936</v>
      </c>
      <c r="Q453" s="215">
        <f>IF(P453="-",0,P453/(1+'General inputs'!$H$30)^'MP Calculations'!$C$40)</f>
        <v>9681.2316195451258</v>
      </c>
    </row>
    <row r="454" spans="3:17">
      <c r="C454" s="159"/>
      <c r="D454" s="165" t="s">
        <v>283</v>
      </c>
      <c r="E454" s="162">
        <v>27760</v>
      </c>
      <c r="F454" s="166" t="str">
        <f t="shared" si="19"/>
        <v>Date check - OK</v>
      </c>
      <c r="G454" s="68"/>
      <c r="H454" s="162" t="s">
        <v>280</v>
      </c>
      <c r="I454" s="173">
        <v>21853.086195380012</v>
      </c>
      <c r="J454" s="168">
        <f>IFERROR(MIN('MP Calculations'!$E$30/I454,1),"-")</f>
        <v>0.32927792945511891</v>
      </c>
      <c r="K454" s="12"/>
      <c r="L454" s="159">
        <v>17.211262999999999</v>
      </c>
      <c r="M454" s="187" t="s">
        <v>293</v>
      </c>
      <c r="N454" s="187">
        <v>192.78728599999999</v>
      </c>
      <c r="O454" s="186">
        <f t="shared" si="20"/>
        <v>3318.1126824022176</v>
      </c>
      <c r="P454" s="186">
        <f t="shared" si="21"/>
        <v>1092.5812737601727</v>
      </c>
      <c r="Q454" s="215">
        <f>IF(P454="-",0,P454/(1+'General inputs'!$H$30)^'MP Calculations'!$C$40)</f>
        <v>2426.9387710953079</v>
      </c>
    </row>
    <row r="455" spans="3:17">
      <c r="C455" s="159"/>
      <c r="D455" s="165" t="s">
        <v>283</v>
      </c>
      <c r="E455" s="162">
        <v>27760</v>
      </c>
      <c r="F455" s="166" t="str">
        <f t="shared" si="19"/>
        <v>Date check - OK</v>
      </c>
      <c r="G455" s="68"/>
      <c r="H455" s="162" t="s">
        <v>280</v>
      </c>
      <c r="I455" s="173">
        <v>21853.086195380012</v>
      </c>
      <c r="J455" s="168">
        <f>IFERROR(MIN('MP Calculations'!$E$30/I455,1),"-")</f>
        <v>0.32927792945511891</v>
      </c>
      <c r="K455" s="12"/>
      <c r="L455" s="159">
        <v>43.382004999999999</v>
      </c>
      <c r="M455" s="187" t="s">
        <v>293</v>
      </c>
      <c r="N455" s="187">
        <v>192.78728599999999</v>
      </c>
      <c r="O455" s="186">
        <f t="shared" si="20"/>
        <v>8363.4990051884288</v>
      </c>
      <c r="P455" s="186">
        <f t="shared" si="21"/>
        <v>2753.9156354283928</v>
      </c>
      <c r="Q455" s="215">
        <f>IF(P455="-",0,P455/(1+'General inputs'!$H$30)^'MP Calculations'!$C$40)</f>
        <v>6117.2425232448377</v>
      </c>
    </row>
    <row r="456" spans="3:17">
      <c r="C456" s="159"/>
      <c r="D456" s="165" t="s">
        <v>283</v>
      </c>
      <c r="E456" s="162">
        <v>27760</v>
      </c>
      <c r="F456" s="166" t="str">
        <f t="shared" si="19"/>
        <v>Date check - OK</v>
      </c>
      <c r="G456" s="68"/>
      <c r="H456" s="162" t="s">
        <v>280</v>
      </c>
      <c r="I456" s="173">
        <v>21853.086195380012</v>
      </c>
      <c r="J456" s="168">
        <f>IFERROR(MIN('MP Calculations'!$E$30/I456,1),"-")</f>
        <v>0.32927792945511891</v>
      </c>
      <c r="K456" s="12"/>
      <c r="L456" s="159">
        <v>12.550732999999999</v>
      </c>
      <c r="M456" s="187" t="s">
        <v>293</v>
      </c>
      <c r="N456" s="187">
        <v>192.78728599999999</v>
      </c>
      <c r="O456" s="186">
        <f t="shared" si="20"/>
        <v>2419.6217523806376</v>
      </c>
      <c r="P456" s="186">
        <f t="shared" si="21"/>
        <v>796.72804068846278</v>
      </c>
      <c r="Q456" s="215">
        <f>IF(P456="-",0,P456/(1+'General inputs'!$H$30)^'MP Calculations'!$C$40)</f>
        <v>1769.7632372107339</v>
      </c>
    </row>
    <row r="457" spans="3:17">
      <c r="C457" s="159"/>
      <c r="D457" s="165" t="s">
        <v>283</v>
      </c>
      <c r="E457" s="162">
        <v>27760</v>
      </c>
      <c r="F457" s="166" t="str">
        <f t="shared" si="19"/>
        <v>Date check - OK</v>
      </c>
      <c r="G457" s="68"/>
      <c r="H457" s="162" t="s">
        <v>280</v>
      </c>
      <c r="I457" s="173">
        <v>21853.086195380012</v>
      </c>
      <c r="J457" s="168">
        <f>IFERROR(MIN('MP Calculations'!$E$30/I457,1),"-")</f>
        <v>0.32927792945511891</v>
      </c>
      <c r="K457" s="12"/>
      <c r="L457" s="159">
        <v>1.099804</v>
      </c>
      <c r="M457" s="187" t="s">
        <v>293</v>
      </c>
      <c r="N457" s="187">
        <v>192.78728599999999</v>
      </c>
      <c r="O457" s="186">
        <f t="shared" si="20"/>
        <v>212.028228291944</v>
      </c>
      <c r="P457" s="186">
        <f t="shared" si="21"/>
        <v>69.816215998008587</v>
      </c>
      <c r="Q457" s="215">
        <f>IF(P457="-",0,P457/(1+'General inputs'!$H$30)^'MP Calculations'!$C$40)</f>
        <v>155.08199300688767</v>
      </c>
    </row>
    <row r="458" spans="3:17">
      <c r="C458" s="159"/>
      <c r="D458" s="165" t="s">
        <v>283</v>
      </c>
      <c r="E458" s="162">
        <v>27760</v>
      </c>
      <c r="F458" s="166" t="str">
        <f t="shared" si="19"/>
        <v>Date check - OK</v>
      </c>
      <c r="G458" s="68"/>
      <c r="H458" s="162" t="s">
        <v>280</v>
      </c>
      <c r="I458" s="173">
        <v>21853.086195380012</v>
      </c>
      <c r="J458" s="168">
        <f>IFERROR(MIN('MP Calculations'!$E$30/I458,1),"-")</f>
        <v>0.32927792945511891</v>
      </c>
      <c r="K458" s="12"/>
      <c r="L458" s="159">
        <v>8.8591719999999992</v>
      </c>
      <c r="M458" s="187" t="s">
        <v>293</v>
      </c>
      <c r="N458" s="187">
        <v>192.78728599999999</v>
      </c>
      <c r="O458" s="186">
        <f t="shared" si="20"/>
        <v>1707.9357260871918</v>
      </c>
      <c r="P458" s="186">
        <f t="shared" si="21"/>
        <v>562.38553952841562</v>
      </c>
      <c r="Q458" s="215">
        <f>IF(P458="-",0,P458/(1+'General inputs'!$H$30)^'MP Calculations'!$C$40)</f>
        <v>1249.2208158461096</v>
      </c>
    </row>
    <row r="459" spans="3:17">
      <c r="C459" s="159"/>
      <c r="D459" s="165" t="s">
        <v>283</v>
      </c>
      <c r="E459" s="162">
        <v>27760</v>
      </c>
      <c r="F459" s="166" t="str">
        <f t="shared" si="19"/>
        <v>Date check - OK</v>
      </c>
      <c r="G459" s="68"/>
      <c r="H459" s="162" t="s">
        <v>280</v>
      </c>
      <c r="I459" s="173">
        <v>21853.086195380012</v>
      </c>
      <c r="J459" s="168">
        <f>IFERROR(MIN('MP Calculations'!$E$30/I459,1),"-")</f>
        <v>0.32927792945511891</v>
      </c>
      <c r="K459" s="12"/>
      <c r="L459" s="159">
        <v>0.69992100000000002</v>
      </c>
      <c r="M459" s="187" t="s">
        <v>293</v>
      </c>
      <c r="N459" s="187">
        <v>192.78728599999999</v>
      </c>
      <c r="O459" s="186">
        <f t="shared" si="20"/>
        <v>134.93587000440601</v>
      </c>
      <c r="P459" s="186">
        <f t="shared" si="21"/>
        <v>44.431403884275902</v>
      </c>
      <c r="Q459" s="215">
        <f>IF(P459="-",0,P459/(1+'General inputs'!$H$30)^'MP Calculations'!$C$40)</f>
        <v>98.69498895018917</v>
      </c>
    </row>
    <row r="460" spans="3:17">
      <c r="C460" s="159"/>
      <c r="D460" s="165" t="s">
        <v>283</v>
      </c>
      <c r="E460" s="162">
        <v>27760</v>
      </c>
      <c r="F460" s="166" t="str">
        <f t="shared" si="19"/>
        <v>Date check - OK</v>
      </c>
      <c r="G460" s="68"/>
      <c r="H460" s="162" t="s">
        <v>280</v>
      </c>
      <c r="I460" s="173">
        <v>21853.086195380012</v>
      </c>
      <c r="J460" s="168">
        <f>IFERROR(MIN('MP Calculations'!$E$30/I460,1),"-")</f>
        <v>0.32927792945511891</v>
      </c>
      <c r="K460" s="12"/>
      <c r="L460" s="159">
        <v>4.097912</v>
      </c>
      <c r="M460" s="187" t="s">
        <v>293</v>
      </c>
      <c r="N460" s="187">
        <v>192.78728599999999</v>
      </c>
      <c r="O460" s="186">
        <f t="shared" si="20"/>
        <v>790.02533274683196</v>
      </c>
      <c r="P460" s="186">
        <f t="shared" si="21"/>
        <v>260.13790578396816</v>
      </c>
      <c r="Q460" s="215">
        <f>IF(P460="-",0,P460/(1+'General inputs'!$H$30)^'MP Calculations'!$C$40)</f>
        <v>577.84147004997351</v>
      </c>
    </row>
    <row r="461" spans="3:17">
      <c r="C461" s="159"/>
      <c r="D461" s="165" t="s">
        <v>283</v>
      </c>
      <c r="E461" s="162">
        <v>27760</v>
      </c>
      <c r="F461" s="166" t="str">
        <f t="shared" si="19"/>
        <v>Date check - OK</v>
      </c>
      <c r="G461" s="68"/>
      <c r="H461" s="162" t="s">
        <v>280</v>
      </c>
      <c r="I461" s="173">
        <v>21853.086195380012</v>
      </c>
      <c r="J461" s="168">
        <f>IFERROR(MIN('MP Calculations'!$E$30/I461,1),"-")</f>
        <v>0.32927792945511891</v>
      </c>
      <c r="K461" s="12"/>
      <c r="L461" s="159">
        <v>23.929106999999998</v>
      </c>
      <c r="M461" s="187" t="s">
        <v>293</v>
      </c>
      <c r="N461" s="187">
        <v>192.78728599999999</v>
      </c>
      <c r="O461" s="186">
        <f t="shared" si="20"/>
        <v>4613.2275949336017</v>
      </c>
      <c r="P461" s="186">
        <f t="shared" si="21"/>
        <v>1519.0340305649545</v>
      </c>
      <c r="Q461" s="215">
        <f>IF(P461="-",0,P461/(1+'General inputs'!$H$30)^'MP Calculations'!$C$40)</f>
        <v>3374.2135911808532</v>
      </c>
    </row>
    <row r="462" spans="3:17">
      <c r="C462" s="159"/>
      <c r="D462" s="165" t="s">
        <v>283</v>
      </c>
      <c r="E462" s="162">
        <v>27760</v>
      </c>
      <c r="F462" s="166" t="str">
        <f t="shared" si="19"/>
        <v>Date check - OK</v>
      </c>
      <c r="G462" s="68"/>
      <c r="H462" s="162" t="s">
        <v>280</v>
      </c>
      <c r="I462" s="173">
        <v>21853.086195380012</v>
      </c>
      <c r="J462" s="168">
        <f>IFERROR(MIN('MP Calculations'!$E$30/I462,1),"-")</f>
        <v>0.32927792945511891</v>
      </c>
      <c r="K462" s="12"/>
      <c r="L462" s="159">
        <v>41.493026999999998</v>
      </c>
      <c r="M462" s="187" t="s">
        <v>293</v>
      </c>
      <c r="N462" s="187">
        <v>192.78728599999999</v>
      </c>
      <c r="O462" s="186">
        <f t="shared" si="20"/>
        <v>7999.3280632547212</v>
      </c>
      <c r="P462" s="186">
        <f t="shared" si="21"/>
        <v>2634.0021817007409</v>
      </c>
      <c r="Q462" s="215">
        <f>IF(P462="-",0,P462/(1+'General inputs'!$H$30)^'MP Calculations'!$C$40)</f>
        <v>5850.8800868596591</v>
      </c>
    </row>
    <row r="463" spans="3:17">
      <c r="C463" s="159"/>
      <c r="D463" s="165" t="s">
        <v>283</v>
      </c>
      <c r="E463" s="162">
        <v>27760</v>
      </c>
      <c r="F463" s="166" t="str">
        <f t="shared" si="19"/>
        <v>Date check - OK</v>
      </c>
      <c r="G463" s="68"/>
      <c r="H463" s="162" t="s">
        <v>280</v>
      </c>
      <c r="I463" s="173">
        <v>21853.086195380012</v>
      </c>
      <c r="J463" s="168">
        <f>IFERROR(MIN('MP Calculations'!$E$30/I463,1),"-")</f>
        <v>0.32927792945511891</v>
      </c>
      <c r="K463" s="12"/>
      <c r="L463" s="159">
        <v>11.900046</v>
      </c>
      <c r="M463" s="187" t="s">
        <v>293</v>
      </c>
      <c r="N463" s="187">
        <v>192.78728599999999</v>
      </c>
      <c r="O463" s="186">
        <f t="shared" si="20"/>
        <v>2294.177571615156</v>
      </c>
      <c r="P463" s="186">
        <f t="shared" si="21"/>
        <v>755.42204058381139</v>
      </c>
      <c r="Q463" s="215">
        <f>IF(P463="-",0,P463/(1+'General inputs'!$H$30)^'MP Calculations'!$C$40)</f>
        <v>1678.010673314192</v>
      </c>
    </row>
    <row r="464" spans="3:17">
      <c r="C464" s="159"/>
      <c r="D464" s="165" t="s">
        <v>283</v>
      </c>
      <c r="E464" s="162">
        <v>27760</v>
      </c>
      <c r="F464" s="166" t="str">
        <f t="shared" si="19"/>
        <v>Date check - OK</v>
      </c>
      <c r="G464" s="68"/>
      <c r="H464" s="162" t="s">
        <v>280</v>
      </c>
      <c r="I464" s="173">
        <v>21853.086195380012</v>
      </c>
      <c r="J464" s="168">
        <f>IFERROR(MIN('MP Calculations'!$E$30/I464,1),"-")</f>
        <v>0.32927792945511891</v>
      </c>
      <c r="K464" s="12"/>
      <c r="L464" s="159">
        <v>5.9967600000000001</v>
      </c>
      <c r="M464" s="187" t="s">
        <v>293</v>
      </c>
      <c r="N464" s="187">
        <v>192.78728599999999</v>
      </c>
      <c r="O464" s="186">
        <f t="shared" si="20"/>
        <v>1156.09908519336</v>
      </c>
      <c r="P464" s="186">
        <f t="shared" si="21"/>
        <v>380.6779130174267</v>
      </c>
      <c r="Q464" s="215">
        <f>IF(P464="-",0,P464/(1+'General inputs'!$H$30)^'MP Calculations'!$C$40)</f>
        <v>845.59566284900188</v>
      </c>
    </row>
    <row r="465" spans="3:17">
      <c r="C465" s="159"/>
      <c r="D465" s="165" t="s">
        <v>283</v>
      </c>
      <c r="E465" s="162">
        <v>27760</v>
      </c>
      <c r="F465" s="166" t="str">
        <f t="shared" si="19"/>
        <v>Date check - OK</v>
      </c>
      <c r="G465" s="68"/>
      <c r="H465" s="162" t="s">
        <v>280</v>
      </c>
      <c r="I465" s="173">
        <v>21853.086195380012</v>
      </c>
      <c r="J465" s="168">
        <f>IFERROR(MIN('MP Calculations'!$E$30/I465,1),"-")</f>
        <v>0.32927792945511891</v>
      </c>
      <c r="K465" s="12"/>
      <c r="L465" s="159">
        <v>1.8029440000000001</v>
      </c>
      <c r="M465" s="187" t="s">
        <v>293</v>
      </c>
      <c r="N465" s="187">
        <v>192.78728599999999</v>
      </c>
      <c r="O465" s="186">
        <f t="shared" si="20"/>
        <v>347.58468056998402</v>
      </c>
      <c r="P465" s="186">
        <f t="shared" si="21"/>
        <v>114.45196392840323</v>
      </c>
      <c r="Q465" s="215">
        <f>IF(P465="-",0,P465/(1+'General inputs'!$H$30)^'MP Calculations'!$C$40)</f>
        <v>254.23088914007411</v>
      </c>
    </row>
    <row r="466" spans="3:17">
      <c r="C466" s="159"/>
      <c r="D466" s="165" t="s">
        <v>283</v>
      </c>
      <c r="E466" s="162">
        <v>27760</v>
      </c>
      <c r="F466" s="166" t="str">
        <f t="shared" si="19"/>
        <v>Date check - OK</v>
      </c>
      <c r="G466" s="68"/>
      <c r="H466" s="162" t="s">
        <v>280</v>
      </c>
      <c r="I466" s="173">
        <v>21853.086195380012</v>
      </c>
      <c r="J466" s="168">
        <f>IFERROR(MIN('MP Calculations'!$E$30/I466,1),"-")</f>
        <v>0.32927792945511891</v>
      </c>
      <c r="K466" s="12"/>
      <c r="L466" s="159">
        <v>0.59949399999999997</v>
      </c>
      <c r="M466" s="187" t="s">
        <v>293</v>
      </c>
      <c r="N466" s="187">
        <v>192.78728599999999</v>
      </c>
      <c r="O466" s="186">
        <f t="shared" si="20"/>
        <v>115.57482123328398</v>
      </c>
      <c r="P466" s="186">
        <f t="shared" si="21"/>
        <v>38.056237832841262</v>
      </c>
      <c r="Q466" s="215">
        <f>IF(P466="-",0,P466/(1+'General inputs'!$H$30)^'MP Calculations'!$C$40)</f>
        <v>84.533902691453292</v>
      </c>
    </row>
    <row r="467" spans="3:17">
      <c r="C467" s="159"/>
      <c r="D467" s="165" t="s">
        <v>283</v>
      </c>
      <c r="E467" s="162">
        <v>27760</v>
      </c>
      <c r="F467" s="166" t="str">
        <f t="shared" si="19"/>
        <v>Date check - OK</v>
      </c>
      <c r="G467" s="68"/>
      <c r="H467" s="162" t="s">
        <v>280</v>
      </c>
      <c r="I467" s="173">
        <v>21853.086195380012</v>
      </c>
      <c r="J467" s="168">
        <f>IFERROR(MIN('MP Calculations'!$E$30/I467,1),"-")</f>
        <v>0.32927792945511891</v>
      </c>
      <c r="K467" s="12"/>
      <c r="L467" s="159">
        <v>15.273133</v>
      </c>
      <c r="M467" s="187" t="s">
        <v>293</v>
      </c>
      <c r="N467" s="187">
        <v>192.78728599999999</v>
      </c>
      <c r="O467" s="186">
        <f t="shared" si="20"/>
        <v>2944.465859787038</v>
      </c>
      <c r="P467" s="186">
        <f t="shared" si="21"/>
        <v>969.54762166196235</v>
      </c>
      <c r="Q467" s="215">
        <f>IF(P467="-",0,P467/(1+'General inputs'!$H$30)^'MP Calculations'!$C$40)</f>
        <v>2153.6454723744096</v>
      </c>
    </row>
    <row r="468" spans="3:17">
      <c r="C468" s="159"/>
      <c r="D468" s="165" t="s">
        <v>283</v>
      </c>
      <c r="E468" s="162">
        <v>27968</v>
      </c>
      <c r="F468" s="166" t="str">
        <f t="shared" si="19"/>
        <v>Date check - OK</v>
      </c>
      <c r="G468" s="68"/>
      <c r="H468" s="162" t="s">
        <v>280</v>
      </c>
      <c r="I468" s="173">
        <v>21853.086195380012</v>
      </c>
      <c r="J468" s="168">
        <f>IFERROR(MIN('MP Calculations'!$E$30/I468,1),"-")</f>
        <v>0.32927792945511891</v>
      </c>
      <c r="K468" s="12"/>
      <c r="L468" s="159">
        <v>2.6178319999999999</v>
      </c>
      <c r="M468" s="187" t="s">
        <v>293</v>
      </c>
      <c r="N468" s="187">
        <v>192.78728599999999</v>
      </c>
      <c r="O468" s="186">
        <f t="shared" si="20"/>
        <v>504.68472648395198</v>
      </c>
      <c r="P468" s="186">
        <f t="shared" si="21"/>
        <v>166.18154176425872</v>
      </c>
      <c r="Q468" s="215">
        <f>IF(P468="-",0,P468/(1+'General inputs'!$H$30)^'MP Calculations'!$C$40)</f>
        <v>369.13723164964551</v>
      </c>
    </row>
    <row r="469" spans="3:17">
      <c r="C469" s="159"/>
      <c r="D469" s="165" t="s">
        <v>283</v>
      </c>
      <c r="E469" s="162">
        <v>28126</v>
      </c>
      <c r="F469" s="166" t="str">
        <f t="shared" si="19"/>
        <v>Date check - OK</v>
      </c>
      <c r="G469" s="68"/>
      <c r="H469" s="162" t="s">
        <v>280</v>
      </c>
      <c r="I469" s="173">
        <v>21853.086195380012</v>
      </c>
      <c r="J469" s="168">
        <f>IFERROR(MIN('MP Calculations'!$E$30/I469,1),"-")</f>
        <v>0.32927792945511891</v>
      </c>
      <c r="K469" s="12"/>
      <c r="L469" s="159">
        <v>11.695353000000001</v>
      </c>
      <c r="M469" s="187" t="s">
        <v>293</v>
      </c>
      <c r="N469" s="187">
        <v>192.78728599999999</v>
      </c>
      <c r="O469" s="186">
        <f t="shared" si="20"/>
        <v>2254.715363681958</v>
      </c>
      <c r="P469" s="186">
        <f t="shared" si="21"/>
        <v>742.42800646384057</v>
      </c>
      <c r="Q469" s="215">
        <f>IF(P469="-",0,P469/(1+'General inputs'!$H$30)^'MP Calculations'!$C$40)</f>
        <v>1649.1471681854975</v>
      </c>
    </row>
    <row r="470" spans="3:17">
      <c r="C470" s="159"/>
      <c r="D470" s="165" t="s">
        <v>283</v>
      </c>
      <c r="E470" s="162">
        <v>28126</v>
      </c>
      <c r="F470" s="166" t="str">
        <f t="shared" si="19"/>
        <v>Date check - OK</v>
      </c>
      <c r="G470" s="68"/>
      <c r="H470" s="162" t="s">
        <v>280</v>
      </c>
      <c r="I470" s="173">
        <v>21853.086195380012</v>
      </c>
      <c r="J470" s="168">
        <f>IFERROR(MIN('MP Calculations'!$E$30/I470,1),"-")</f>
        <v>0.32927792945511891</v>
      </c>
      <c r="K470" s="12"/>
      <c r="L470" s="159">
        <v>27.434864000000001</v>
      </c>
      <c r="M470" s="187" t="s">
        <v>293</v>
      </c>
      <c r="N470" s="187">
        <v>192.78728599999999</v>
      </c>
      <c r="O470" s="186">
        <f t="shared" si="20"/>
        <v>5289.0929723391037</v>
      </c>
      <c r="P470" s="186">
        <f t="shared" si="21"/>
        <v>1741.5815826274406</v>
      </c>
      <c r="Q470" s="215">
        <f>IF(P470="-",0,P470/(1+'General inputs'!$H$30)^'MP Calculations'!$C$40)</f>
        <v>3868.5560217938055</v>
      </c>
    </row>
    <row r="471" spans="3:17">
      <c r="C471" s="159"/>
      <c r="D471" s="165" t="s">
        <v>283</v>
      </c>
      <c r="E471" s="162">
        <v>28126</v>
      </c>
      <c r="F471" s="166" t="str">
        <f t="shared" ref="F471:F534" si="22">IF(E471="","-",IF(OR(E471&lt;$E$15,E471&gt;$E$16),"ERROR - date outside of range","Date check - OK"))</f>
        <v>Date check - OK</v>
      </c>
      <c r="G471" s="68"/>
      <c r="H471" s="162" t="s">
        <v>280</v>
      </c>
      <c r="I471" s="173">
        <v>21853.086195380012</v>
      </c>
      <c r="J471" s="168">
        <f>IFERROR(MIN('MP Calculations'!$E$30/I471,1),"-")</f>
        <v>0.32927792945511891</v>
      </c>
      <c r="K471" s="12"/>
      <c r="L471" s="159">
        <v>17.993715000000002</v>
      </c>
      <c r="M471" s="187" t="s">
        <v>293</v>
      </c>
      <c r="N471" s="187">
        <v>192.78728599999999</v>
      </c>
      <c r="O471" s="186">
        <f t="shared" ref="O471:O534" si="23">IF(N471="","-",L471*N471)</f>
        <v>3468.9594799074903</v>
      </c>
      <c r="P471" s="186">
        <f t="shared" ref="P471:P534" si="24">IF(O471="-","-",IF(OR(E471&lt;$E$15,E471&gt;$E$16),0,O471*J471))</f>
        <v>1142.2517949076446</v>
      </c>
      <c r="Q471" s="215">
        <f>IF(P471="-",0,P471/(1+'General inputs'!$H$30)^'MP Calculations'!$C$40)</f>
        <v>2537.2713536211272</v>
      </c>
    </row>
    <row r="472" spans="3:17">
      <c r="C472" s="159"/>
      <c r="D472" s="165" t="s">
        <v>283</v>
      </c>
      <c r="E472" s="162">
        <v>28126</v>
      </c>
      <c r="F472" s="166" t="str">
        <f t="shared" si="22"/>
        <v>Date check - OK</v>
      </c>
      <c r="G472" s="68"/>
      <c r="H472" s="162" t="s">
        <v>280</v>
      </c>
      <c r="I472" s="173">
        <v>21853.086195380012</v>
      </c>
      <c r="J472" s="168">
        <f>IFERROR(MIN('MP Calculations'!$E$30/I472,1),"-")</f>
        <v>0.32927792945511891</v>
      </c>
      <c r="K472" s="12"/>
      <c r="L472" s="159">
        <v>1.1378509999999999</v>
      </c>
      <c r="M472" s="187" t="s">
        <v>293</v>
      </c>
      <c r="N472" s="187">
        <v>192.78728599999999</v>
      </c>
      <c r="O472" s="186">
        <f t="shared" si="23"/>
        <v>219.36320616238598</v>
      </c>
      <c r="P472" s="186">
        <f t="shared" si="24"/>
        <v>72.231462323786843</v>
      </c>
      <c r="Q472" s="215">
        <f>IF(P472="-",0,P472/(1+'General inputs'!$H$30)^'MP Calculations'!$C$40)</f>
        <v>160.44695311608263</v>
      </c>
    </row>
    <row r="473" spans="3:17">
      <c r="C473" s="159"/>
      <c r="D473" s="165" t="s">
        <v>283</v>
      </c>
      <c r="E473" s="162">
        <v>28126</v>
      </c>
      <c r="F473" s="166" t="str">
        <f t="shared" si="22"/>
        <v>Date check - OK</v>
      </c>
      <c r="G473" s="68"/>
      <c r="H473" s="162" t="s">
        <v>280</v>
      </c>
      <c r="I473" s="173">
        <v>21853.086195380012</v>
      </c>
      <c r="J473" s="168">
        <f>IFERROR(MIN('MP Calculations'!$E$30/I473,1),"-")</f>
        <v>0.32927792945511891</v>
      </c>
      <c r="K473" s="12"/>
      <c r="L473" s="159">
        <v>2.200285</v>
      </c>
      <c r="M473" s="187" t="s">
        <v>293</v>
      </c>
      <c r="N473" s="187">
        <v>192.78728599999999</v>
      </c>
      <c r="O473" s="186">
        <f t="shared" si="23"/>
        <v>424.18697357651001</v>
      </c>
      <c r="P473" s="186">
        <f t="shared" si="24"/>
        <v>139.67540836110646</v>
      </c>
      <c r="Q473" s="215">
        <f>IF(P473="-",0,P473/(1+'General inputs'!$H$30)^'MP Calculations'!$C$40)</f>
        <v>310.25944894104754</v>
      </c>
    </row>
    <row r="474" spans="3:17">
      <c r="C474" s="159"/>
      <c r="D474" s="165" t="s">
        <v>283</v>
      </c>
      <c r="E474" s="162">
        <v>28126</v>
      </c>
      <c r="F474" s="166" t="str">
        <f t="shared" si="22"/>
        <v>Date check - OK</v>
      </c>
      <c r="G474" s="68"/>
      <c r="H474" s="162" t="s">
        <v>280</v>
      </c>
      <c r="I474" s="173">
        <v>21853.086195380012</v>
      </c>
      <c r="J474" s="168">
        <f>IFERROR(MIN('MP Calculations'!$E$30/I474,1),"-")</f>
        <v>0.32927792945511891</v>
      </c>
      <c r="K474" s="12"/>
      <c r="L474" s="159">
        <v>45.181458999999997</v>
      </c>
      <c r="M474" s="187" t="s">
        <v>293</v>
      </c>
      <c r="N474" s="187">
        <v>192.78728599999999</v>
      </c>
      <c r="O474" s="186">
        <f t="shared" si="23"/>
        <v>8710.4108581302735</v>
      </c>
      <c r="P474" s="186">
        <f t="shared" si="24"/>
        <v>2868.1460520685218</v>
      </c>
      <c r="Q474" s="215">
        <f>IF(P474="-",0,P474/(1+'General inputs'!$H$30)^'MP Calculations'!$C$40)</f>
        <v>6370.9812918292546</v>
      </c>
    </row>
    <row r="475" spans="3:17">
      <c r="C475" s="159"/>
      <c r="D475" s="165" t="s">
        <v>283</v>
      </c>
      <c r="E475" s="162">
        <v>28126</v>
      </c>
      <c r="F475" s="166" t="str">
        <f t="shared" si="22"/>
        <v>Date check - OK</v>
      </c>
      <c r="G475" s="68"/>
      <c r="H475" s="162" t="s">
        <v>280</v>
      </c>
      <c r="I475" s="173">
        <v>21853.086195380012</v>
      </c>
      <c r="J475" s="168">
        <f>IFERROR(MIN('MP Calculations'!$E$30/I475,1),"-")</f>
        <v>0.32927792945511891</v>
      </c>
      <c r="K475" s="12"/>
      <c r="L475" s="159">
        <v>40.412588999999997</v>
      </c>
      <c r="M475" s="187" t="s">
        <v>293</v>
      </c>
      <c r="N475" s="187">
        <v>192.78728599999999</v>
      </c>
      <c r="O475" s="186">
        <f t="shared" si="23"/>
        <v>7791.0333535434529</v>
      </c>
      <c r="P475" s="186">
        <f t="shared" si="24"/>
        <v>2565.4153309705598</v>
      </c>
      <c r="Q475" s="215">
        <f>IF(P475="-",0,P475/(1+'General inputs'!$H$30)^'MP Calculations'!$C$40)</f>
        <v>5698.5288694060264</v>
      </c>
    </row>
    <row r="476" spans="3:17">
      <c r="C476" s="159"/>
      <c r="D476" s="165" t="s">
        <v>283</v>
      </c>
      <c r="E476" s="162">
        <v>28126</v>
      </c>
      <c r="F476" s="166" t="str">
        <f t="shared" si="22"/>
        <v>Date check - OK</v>
      </c>
      <c r="G476" s="68"/>
      <c r="H476" s="162" t="s">
        <v>280</v>
      </c>
      <c r="I476" s="173">
        <v>21853.086195380012</v>
      </c>
      <c r="J476" s="168">
        <f>IFERROR(MIN('MP Calculations'!$E$30/I476,1),"-")</f>
        <v>0.32927792945511891</v>
      </c>
      <c r="K476" s="12"/>
      <c r="L476" s="159">
        <v>15.189847</v>
      </c>
      <c r="M476" s="187" t="s">
        <v>293</v>
      </c>
      <c r="N476" s="187">
        <v>192.78728599999999</v>
      </c>
      <c r="O476" s="186">
        <f t="shared" si="23"/>
        <v>2928.4093778852421</v>
      </c>
      <c r="P476" s="186">
        <f t="shared" si="24"/>
        <v>964.26057654700537</v>
      </c>
      <c r="Q476" s="215">
        <f>IF(P476="-",0,P476/(1+'General inputs'!$H$30)^'MP Calculations'!$C$40)</f>
        <v>2141.9014171886024</v>
      </c>
    </row>
    <row r="477" spans="3:17">
      <c r="C477" s="159"/>
      <c r="D477" s="165" t="s">
        <v>283</v>
      </c>
      <c r="E477" s="162">
        <v>28126</v>
      </c>
      <c r="F477" s="166" t="str">
        <f t="shared" si="22"/>
        <v>Date check - OK</v>
      </c>
      <c r="G477" s="68"/>
      <c r="H477" s="162" t="s">
        <v>280</v>
      </c>
      <c r="I477" s="173">
        <v>21853.086195380012</v>
      </c>
      <c r="J477" s="168">
        <f>IFERROR(MIN('MP Calculations'!$E$30/I477,1),"-")</f>
        <v>0.32927792945511891</v>
      </c>
      <c r="K477" s="12"/>
      <c r="L477" s="159">
        <v>13.864718</v>
      </c>
      <c r="M477" s="187" t="s">
        <v>293</v>
      </c>
      <c r="N477" s="187">
        <v>192.78728599999999</v>
      </c>
      <c r="O477" s="186">
        <f t="shared" si="23"/>
        <v>2672.9413543753481</v>
      </c>
      <c r="P477" s="186">
        <f t="shared" si="24"/>
        <v>880.1405947236758</v>
      </c>
      <c r="Q477" s="215">
        <f>IF(P477="-",0,P477/(1+'General inputs'!$H$30)^'MP Calculations'!$C$40)</f>
        <v>1955.0466264156792</v>
      </c>
    </row>
    <row r="478" spans="3:17">
      <c r="C478" s="159"/>
      <c r="D478" s="165" t="s">
        <v>283</v>
      </c>
      <c r="E478" s="162">
        <v>28126</v>
      </c>
      <c r="F478" s="166" t="str">
        <f t="shared" si="22"/>
        <v>Date check - OK</v>
      </c>
      <c r="G478" s="68"/>
      <c r="H478" s="162" t="s">
        <v>280</v>
      </c>
      <c r="I478" s="173">
        <v>21853.086195380012</v>
      </c>
      <c r="J478" s="168">
        <f>IFERROR(MIN('MP Calculations'!$E$30/I478,1),"-")</f>
        <v>0.32927792945511891</v>
      </c>
      <c r="K478" s="12"/>
      <c r="L478" s="159">
        <v>2.2990309999999998</v>
      </c>
      <c r="M478" s="187" t="s">
        <v>293</v>
      </c>
      <c r="N478" s="187">
        <v>192.78728599999999</v>
      </c>
      <c r="O478" s="186">
        <f t="shared" si="23"/>
        <v>443.22394691986597</v>
      </c>
      <c r="P478" s="186">
        <f t="shared" si="24"/>
        <v>145.943863526699</v>
      </c>
      <c r="Q478" s="215">
        <f>IF(P478="-",0,P478/(1+'General inputs'!$H$30)^'MP Calculations'!$C$40)</f>
        <v>324.18349948228774</v>
      </c>
    </row>
    <row r="479" spans="3:17">
      <c r="C479" s="159"/>
      <c r="D479" s="165" t="s">
        <v>283</v>
      </c>
      <c r="E479" s="162">
        <v>28126</v>
      </c>
      <c r="F479" s="166" t="str">
        <f t="shared" si="22"/>
        <v>Date check - OK</v>
      </c>
      <c r="G479" s="68"/>
      <c r="H479" s="162" t="s">
        <v>280</v>
      </c>
      <c r="I479" s="173">
        <v>21853.086195380012</v>
      </c>
      <c r="J479" s="168">
        <f>IFERROR(MIN('MP Calculations'!$E$30/I479,1),"-")</f>
        <v>0.32927792945511891</v>
      </c>
      <c r="K479" s="12"/>
      <c r="L479" s="159">
        <v>0.70017799999999997</v>
      </c>
      <c r="M479" s="187" t="s">
        <v>293</v>
      </c>
      <c r="N479" s="187">
        <v>192.78728599999999</v>
      </c>
      <c r="O479" s="186">
        <f t="shared" si="23"/>
        <v>134.985416336908</v>
      </c>
      <c r="P479" s="186">
        <f t="shared" si="24"/>
        <v>44.447718398054249</v>
      </c>
      <c r="Q479" s="215">
        <f>IF(P479="-",0,P479/(1+'General inputs'!$H$30)^'MP Calculations'!$C$40)</f>
        <v>98.731228200276234</v>
      </c>
    </row>
    <row r="480" spans="3:17">
      <c r="C480" s="159"/>
      <c r="D480" s="165" t="s">
        <v>283</v>
      </c>
      <c r="E480" s="162">
        <v>28126</v>
      </c>
      <c r="F480" s="166" t="str">
        <f t="shared" si="22"/>
        <v>Date check - OK</v>
      </c>
      <c r="G480" s="68"/>
      <c r="H480" s="162" t="s">
        <v>280</v>
      </c>
      <c r="I480" s="173">
        <v>21853.086195380012</v>
      </c>
      <c r="J480" s="168">
        <f>IFERROR(MIN('MP Calculations'!$E$30/I480,1),"-")</f>
        <v>0.32927792945511891</v>
      </c>
      <c r="K480" s="12"/>
      <c r="L480" s="159">
        <v>15.027984999999999</v>
      </c>
      <c r="M480" s="187" t="s">
        <v>293</v>
      </c>
      <c r="N480" s="187">
        <v>192.78728599999999</v>
      </c>
      <c r="O480" s="186">
        <f t="shared" si="23"/>
        <v>2897.2044421987098</v>
      </c>
      <c r="P480" s="186">
        <f t="shared" si="24"/>
        <v>953.98547993536386</v>
      </c>
      <c r="Q480" s="215">
        <f>IF(P480="-",0,P480/(1+'General inputs'!$H$30)^'MP Calculations'!$C$40)</f>
        <v>2119.0774580539919</v>
      </c>
    </row>
    <row r="481" spans="3:17">
      <c r="C481" s="159"/>
      <c r="D481" s="165" t="s">
        <v>283</v>
      </c>
      <c r="E481" s="162">
        <v>28126</v>
      </c>
      <c r="F481" s="166" t="str">
        <f t="shared" si="22"/>
        <v>Date check - OK</v>
      </c>
      <c r="G481" s="68"/>
      <c r="H481" s="162" t="s">
        <v>280</v>
      </c>
      <c r="I481" s="173">
        <v>21853.086195380012</v>
      </c>
      <c r="J481" s="168">
        <f>IFERROR(MIN('MP Calculations'!$E$30/I481,1),"-")</f>
        <v>0.32927792945511891</v>
      </c>
      <c r="K481" s="12"/>
      <c r="L481" s="159">
        <v>32.185766000000001</v>
      </c>
      <c r="M481" s="187" t="s">
        <v>293</v>
      </c>
      <c r="N481" s="187">
        <v>192.78728599999999</v>
      </c>
      <c r="O481" s="186">
        <f t="shared" si="23"/>
        <v>6205.0064749710764</v>
      </c>
      <c r="P481" s="186">
        <f t="shared" si="24"/>
        <v>2043.1716843340821</v>
      </c>
      <c r="Q481" s="215">
        <f>IF(P481="-",0,P481/(1+'General inputs'!$H$30)^'MP Calculations'!$C$40)</f>
        <v>4538.4747989035532</v>
      </c>
    </row>
    <row r="482" spans="3:17">
      <c r="C482" s="159"/>
      <c r="D482" s="165" t="s">
        <v>283</v>
      </c>
      <c r="E482" s="162">
        <v>28126</v>
      </c>
      <c r="F482" s="166" t="str">
        <f t="shared" si="22"/>
        <v>Date check - OK</v>
      </c>
      <c r="G482" s="68"/>
      <c r="H482" s="162" t="s">
        <v>280</v>
      </c>
      <c r="I482" s="173">
        <v>21853.086195380012</v>
      </c>
      <c r="J482" s="168">
        <f>IFERROR(MIN('MP Calculations'!$E$30/I482,1),"-")</f>
        <v>0.32927792945511891</v>
      </c>
      <c r="K482" s="12"/>
      <c r="L482" s="159">
        <v>60.350943999999998</v>
      </c>
      <c r="M482" s="187" t="s">
        <v>293</v>
      </c>
      <c r="N482" s="187">
        <v>192.78728599999999</v>
      </c>
      <c r="O482" s="186">
        <f t="shared" si="23"/>
        <v>11634.894701297982</v>
      </c>
      <c r="P482" s="186">
        <f t="shared" si="24"/>
        <v>3831.1140366717341</v>
      </c>
      <c r="Q482" s="215">
        <f>IF(P482="-",0,P482/(1+'General inputs'!$H$30)^'MP Calculations'!$C$40)</f>
        <v>8510.0114887444215</v>
      </c>
    </row>
    <row r="483" spans="3:17">
      <c r="C483" s="159"/>
      <c r="D483" s="165" t="s">
        <v>283</v>
      </c>
      <c r="E483" s="162">
        <v>28126</v>
      </c>
      <c r="F483" s="166" t="str">
        <f t="shared" si="22"/>
        <v>Date check - OK</v>
      </c>
      <c r="G483" s="68"/>
      <c r="H483" s="162" t="s">
        <v>280</v>
      </c>
      <c r="I483" s="173">
        <v>21853.086195380012</v>
      </c>
      <c r="J483" s="168">
        <f>IFERROR(MIN('MP Calculations'!$E$30/I483,1),"-")</f>
        <v>0.32927792945511891</v>
      </c>
      <c r="K483" s="12"/>
      <c r="L483" s="159">
        <v>0.79980099999999998</v>
      </c>
      <c r="M483" s="187" t="s">
        <v>293</v>
      </c>
      <c r="N483" s="187">
        <v>192.78728599999999</v>
      </c>
      <c r="O483" s="186">
        <f t="shared" si="23"/>
        <v>154.19146413008599</v>
      </c>
      <c r="P483" s="186">
        <f t="shared" si="24"/>
        <v>50.771846048407951</v>
      </c>
      <c r="Q483" s="215">
        <f>IF(P483="-",0,P483/(1+'General inputs'!$H$30)^'MP Calculations'!$C$40)</f>
        <v>112.77894341982913</v>
      </c>
    </row>
    <row r="484" spans="3:17">
      <c r="C484" s="159"/>
      <c r="D484" s="165" t="s">
        <v>283</v>
      </c>
      <c r="E484" s="162">
        <v>28126</v>
      </c>
      <c r="F484" s="166" t="str">
        <f t="shared" si="22"/>
        <v>Date check - OK</v>
      </c>
      <c r="G484" s="68"/>
      <c r="H484" s="162" t="s">
        <v>280</v>
      </c>
      <c r="I484" s="173">
        <v>21853.086195380012</v>
      </c>
      <c r="J484" s="168">
        <f>IFERROR(MIN('MP Calculations'!$E$30/I484,1),"-")</f>
        <v>0.32927792945511891</v>
      </c>
      <c r="K484" s="12"/>
      <c r="L484" s="159">
        <v>0.99900999999999995</v>
      </c>
      <c r="M484" s="187" t="s">
        <v>293</v>
      </c>
      <c r="N484" s="187">
        <v>192.78728599999999</v>
      </c>
      <c r="O484" s="186">
        <f t="shared" si="23"/>
        <v>192.59642658685999</v>
      </c>
      <c r="P484" s="186">
        <f t="shared" si="24"/>
        <v>63.41775256697607</v>
      </c>
      <c r="Q484" s="215">
        <f>IF(P484="-",0,P484/(1+'General inputs'!$H$30)^'MP Calculations'!$C$40)</f>
        <v>140.86915653499244</v>
      </c>
    </row>
    <row r="485" spans="3:17">
      <c r="C485" s="159"/>
      <c r="D485" s="165" t="s">
        <v>283</v>
      </c>
      <c r="E485" s="162">
        <v>28126</v>
      </c>
      <c r="F485" s="166" t="str">
        <f t="shared" si="22"/>
        <v>Date check - OK</v>
      </c>
      <c r="G485" s="68"/>
      <c r="H485" s="162" t="s">
        <v>280</v>
      </c>
      <c r="I485" s="173">
        <v>21853.086195380012</v>
      </c>
      <c r="J485" s="168">
        <f>IFERROR(MIN('MP Calculations'!$E$30/I485,1),"-")</f>
        <v>0.32927792945511891</v>
      </c>
      <c r="K485" s="12"/>
      <c r="L485" s="159">
        <v>52.801797999999998</v>
      </c>
      <c r="M485" s="187" t="s">
        <v>293</v>
      </c>
      <c r="N485" s="187">
        <v>192.78728599999999</v>
      </c>
      <c r="O485" s="186">
        <f t="shared" si="23"/>
        <v>10179.515332340226</v>
      </c>
      <c r="P485" s="186">
        <f t="shared" si="24"/>
        <v>3351.8897314896262</v>
      </c>
      <c r="Q485" s="215">
        <f>IF(P485="-",0,P485/(1+'General inputs'!$H$30)^'MP Calculations'!$C$40)</f>
        <v>7445.5158084414079</v>
      </c>
    </row>
    <row r="486" spans="3:17">
      <c r="C486" s="159"/>
      <c r="D486" s="165" t="s">
        <v>283</v>
      </c>
      <c r="E486" s="162">
        <v>28126</v>
      </c>
      <c r="F486" s="166" t="str">
        <f t="shared" si="22"/>
        <v>Date check - OK</v>
      </c>
      <c r="G486" s="68"/>
      <c r="H486" s="162" t="s">
        <v>280</v>
      </c>
      <c r="I486" s="173">
        <v>21853.086195380012</v>
      </c>
      <c r="J486" s="168">
        <f>IFERROR(MIN('MP Calculations'!$E$30/I486,1),"-")</f>
        <v>0.32927792945511891</v>
      </c>
      <c r="K486" s="12"/>
      <c r="L486" s="159">
        <v>4.5174130000000003</v>
      </c>
      <c r="M486" s="187" t="s">
        <v>293</v>
      </c>
      <c r="N486" s="187">
        <v>192.78728599999999</v>
      </c>
      <c r="O486" s="186">
        <f t="shared" si="23"/>
        <v>870.89979201111805</v>
      </c>
      <c r="P486" s="186">
        <f t="shared" si="24"/>
        <v>286.76808027631466</v>
      </c>
      <c r="Q486" s="215">
        <f>IF(P486="-",0,P486/(1+'General inputs'!$H$30)^'MP Calculations'!$C$40)</f>
        <v>636.99478386623753</v>
      </c>
    </row>
    <row r="487" spans="3:17">
      <c r="C487" s="159"/>
      <c r="D487" s="165" t="s">
        <v>283</v>
      </c>
      <c r="E487" s="162">
        <v>28126</v>
      </c>
      <c r="F487" s="166" t="str">
        <f t="shared" si="22"/>
        <v>Date check - OK</v>
      </c>
      <c r="G487" s="68"/>
      <c r="H487" s="162" t="s">
        <v>280</v>
      </c>
      <c r="I487" s="173">
        <v>21853.086195380012</v>
      </c>
      <c r="J487" s="168">
        <f>IFERROR(MIN('MP Calculations'!$E$30/I487,1),"-")</f>
        <v>0.32927792945511891</v>
      </c>
      <c r="K487" s="12"/>
      <c r="L487" s="159">
        <v>13.69223</v>
      </c>
      <c r="M487" s="187" t="s">
        <v>293</v>
      </c>
      <c r="N487" s="187">
        <v>192.78728599999999</v>
      </c>
      <c r="O487" s="186">
        <f t="shared" si="23"/>
        <v>2639.6878609877799</v>
      </c>
      <c r="P487" s="186">
        <f t="shared" si="24"/>
        <v>869.19095327386788</v>
      </c>
      <c r="Q487" s="215">
        <f>IF(P487="-",0,P487/(1+'General inputs'!$H$30)^'MP Calculations'!$C$40)</f>
        <v>1930.7243082482855</v>
      </c>
    </row>
    <row r="488" spans="3:17">
      <c r="C488" s="159"/>
      <c r="D488" s="165" t="s">
        <v>283</v>
      </c>
      <c r="E488" s="162">
        <v>28126</v>
      </c>
      <c r="F488" s="166" t="str">
        <f t="shared" si="22"/>
        <v>Date check - OK</v>
      </c>
      <c r="G488" s="68"/>
      <c r="H488" s="162" t="s">
        <v>280</v>
      </c>
      <c r="I488" s="173">
        <v>21853.086195380012</v>
      </c>
      <c r="J488" s="168">
        <f>IFERROR(MIN('MP Calculations'!$E$30/I488,1),"-")</f>
        <v>0.32927792945511891</v>
      </c>
      <c r="K488" s="12"/>
      <c r="L488" s="159">
        <v>0.80005099999999996</v>
      </c>
      <c r="M488" s="187" t="s">
        <v>293</v>
      </c>
      <c r="N488" s="187">
        <v>192.78728599999999</v>
      </c>
      <c r="O488" s="186">
        <f t="shared" si="23"/>
        <v>154.23966095158599</v>
      </c>
      <c r="P488" s="186">
        <f t="shared" si="24"/>
        <v>50.787716197997788</v>
      </c>
      <c r="Q488" s="215">
        <f>IF(P488="-",0,P488/(1+'General inputs'!$H$30)^'MP Calculations'!$C$40)</f>
        <v>112.81419560862979</v>
      </c>
    </row>
    <row r="489" spans="3:17">
      <c r="C489" s="159"/>
      <c r="D489" s="165" t="s">
        <v>283</v>
      </c>
      <c r="E489" s="162">
        <v>28126</v>
      </c>
      <c r="F489" s="166" t="str">
        <f t="shared" si="22"/>
        <v>Date check - OK</v>
      </c>
      <c r="G489" s="68"/>
      <c r="H489" s="162" t="s">
        <v>280</v>
      </c>
      <c r="I489" s="173">
        <v>21853.086195380012</v>
      </c>
      <c r="J489" s="168">
        <f>IFERROR(MIN('MP Calculations'!$E$30/I489,1),"-")</f>
        <v>0.32927792945511891</v>
      </c>
      <c r="K489" s="12"/>
      <c r="L489" s="159">
        <v>14.318599000000001</v>
      </c>
      <c r="M489" s="187" t="s">
        <v>293</v>
      </c>
      <c r="N489" s="187">
        <v>192.78728599999999</v>
      </c>
      <c r="O489" s="186">
        <f t="shared" si="23"/>
        <v>2760.443840532314</v>
      </c>
      <c r="P489" s="186">
        <f t="shared" si="24"/>
        <v>908.95323218761678</v>
      </c>
      <c r="Q489" s="215">
        <f>IF(P489="-",0,P489/(1+'General inputs'!$H$30)^'MP Calculations'!$C$40)</f>
        <v>2019.04782123581</v>
      </c>
    </row>
    <row r="490" spans="3:17">
      <c r="C490" s="159"/>
      <c r="D490" s="165" t="s">
        <v>283</v>
      </c>
      <c r="E490" s="162">
        <v>28126</v>
      </c>
      <c r="F490" s="166" t="str">
        <f t="shared" si="22"/>
        <v>Date check - OK</v>
      </c>
      <c r="G490" s="68"/>
      <c r="H490" s="162" t="s">
        <v>280</v>
      </c>
      <c r="I490" s="173">
        <v>21853.086195380012</v>
      </c>
      <c r="J490" s="168">
        <f>IFERROR(MIN('MP Calculations'!$E$30/I490,1),"-")</f>
        <v>0.32927792945511891</v>
      </c>
      <c r="K490" s="12"/>
      <c r="L490" s="159">
        <v>0.99860000000000004</v>
      </c>
      <c r="M490" s="187" t="s">
        <v>293</v>
      </c>
      <c r="N490" s="187">
        <v>192.78728599999999</v>
      </c>
      <c r="O490" s="186">
        <f t="shared" si="23"/>
        <v>192.5173837996</v>
      </c>
      <c r="P490" s="186">
        <f t="shared" si="24"/>
        <v>63.391725521648738</v>
      </c>
      <c r="Q490" s="215">
        <f>IF(P490="-",0,P490/(1+'General inputs'!$H$30)^'MP Calculations'!$C$40)</f>
        <v>140.81134294535937</v>
      </c>
    </row>
    <row r="491" spans="3:17">
      <c r="C491" s="159"/>
      <c r="D491" s="165" t="s">
        <v>283</v>
      </c>
      <c r="E491" s="162">
        <v>28126</v>
      </c>
      <c r="F491" s="166" t="str">
        <f t="shared" si="22"/>
        <v>Date check - OK</v>
      </c>
      <c r="G491" s="68"/>
      <c r="H491" s="162" t="s">
        <v>280</v>
      </c>
      <c r="I491" s="173">
        <v>21853.086195380012</v>
      </c>
      <c r="J491" s="168">
        <f>IFERROR(MIN('MP Calculations'!$E$30/I491,1),"-")</f>
        <v>0.32927792945511891</v>
      </c>
      <c r="K491" s="12"/>
      <c r="L491" s="159">
        <v>15.90699</v>
      </c>
      <c r="M491" s="187" t="s">
        <v>293</v>
      </c>
      <c r="N491" s="187">
        <v>192.78728599999999</v>
      </c>
      <c r="O491" s="186">
        <f t="shared" si="23"/>
        <v>3066.6654305291399</v>
      </c>
      <c r="P491" s="186">
        <f t="shared" si="24"/>
        <v>1009.785243296226</v>
      </c>
      <c r="Q491" s="215">
        <f>IF(P491="-",0,P491/(1+'General inputs'!$H$30)^'MP Calculations'!$C$40)</f>
        <v>2243.0248589208913</v>
      </c>
    </row>
    <row r="492" spans="3:17">
      <c r="C492" s="159"/>
      <c r="D492" s="165" t="s">
        <v>283</v>
      </c>
      <c r="E492" s="162">
        <v>28126</v>
      </c>
      <c r="F492" s="166" t="str">
        <f t="shared" si="22"/>
        <v>Date check - OK</v>
      </c>
      <c r="G492" s="68"/>
      <c r="H492" s="162" t="s">
        <v>280</v>
      </c>
      <c r="I492" s="173">
        <v>21853.086195380012</v>
      </c>
      <c r="J492" s="168">
        <f>IFERROR(MIN('MP Calculations'!$E$30/I492,1),"-")</f>
        <v>0.32927792945511891</v>
      </c>
      <c r="K492" s="12"/>
      <c r="L492" s="159">
        <v>3.9090009999999999</v>
      </c>
      <c r="M492" s="187" t="s">
        <v>293</v>
      </c>
      <c r="N492" s="187">
        <v>192.78728599999999</v>
      </c>
      <c r="O492" s="186">
        <f t="shared" si="23"/>
        <v>753.60569376128592</v>
      </c>
      <c r="P492" s="186">
        <f t="shared" si="24"/>
        <v>248.14572246730467</v>
      </c>
      <c r="Q492" s="215">
        <f>IF(P492="-",0,P492/(1+'General inputs'!$H$30)^'MP Calculations'!$C$40)</f>
        <v>551.20336509588697</v>
      </c>
    </row>
    <row r="493" spans="3:17">
      <c r="C493" s="159"/>
      <c r="D493" s="165" t="s">
        <v>283</v>
      </c>
      <c r="E493" s="162">
        <v>28126</v>
      </c>
      <c r="F493" s="166" t="str">
        <f t="shared" si="22"/>
        <v>Date check - OK</v>
      </c>
      <c r="G493" s="68"/>
      <c r="H493" s="162" t="s">
        <v>280</v>
      </c>
      <c r="I493" s="173">
        <v>21853.086195380012</v>
      </c>
      <c r="J493" s="168">
        <f>IFERROR(MIN('MP Calculations'!$E$30/I493,1),"-")</f>
        <v>0.32927792945511891</v>
      </c>
      <c r="K493" s="12"/>
      <c r="L493" s="159">
        <v>7.6228610000000003</v>
      </c>
      <c r="M493" s="187" t="s">
        <v>293</v>
      </c>
      <c r="N493" s="187">
        <v>192.78728599999999</v>
      </c>
      <c r="O493" s="186">
        <f t="shared" si="23"/>
        <v>1469.590683745246</v>
      </c>
      <c r="P493" s="186">
        <f t="shared" si="24"/>
        <v>483.9037774901671</v>
      </c>
      <c r="Q493" s="215">
        <f>IF(P493="-",0,P493/(1+'General inputs'!$H$30)^'MP Calculations'!$C$40)</f>
        <v>1074.890140692775</v>
      </c>
    </row>
    <row r="494" spans="3:17">
      <c r="C494" s="159"/>
      <c r="D494" s="165" t="s">
        <v>283</v>
      </c>
      <c r="E494" s="162">
        <v>28126</v>
      </c>
      <c r="F494" s="166" t="str">
        <f t="shared" si="22"/>
        <v>Date check - OK</v>
      </c>
      <c r="G494" s="68"/>
      <c r="H494" s="162" t="s">
        <v>280</v>
      </c>
      <c r="I494" s="173">
        <v>21853.086195380012</v>
      </c>
      <c r="J494" s="168">
        <f>IFERROR(MIN('MP Calculations'!$E$30/I494,1),"-")</f>
        <v>0.32927792945511891</v>
      </c>
      <c r="K494" s="12"/>
      <c r="L494" s="159">
        <v>38.788803999999999</v>
      </c>
      <c r="M494" s="187" t="s">
        <v>293</v>
      </c>
      <c r="N494" s="187">
        <v>192.78728599999999</v>
      </c>
      <c r="O494" s="186">
        <f t="shared" si="23"/>
        <v>7477.9882503459439</v>
      </c>
      <c r="P494" s="186">
        <f t="shared" si="24"/>
        <v>2462.3364875636198</v>
      </c>
      <c r="Q494" s="215">
        <f>IF(P494="-",0,P494/(1+'General inputs'!$H$30)^'MP Calculations'!$C$40)</f>
        <v>5469.560967839303</v>
      </c>
    </row>
    <row r="495" spans="3:17">
      <c r="C495" s="159"/>
      <c r="D495" s="165" t="s">
        <v>283</v>
      </c>
      <c r="E495" s="162">
        <v>28126</v>
      </c>
      <c r="F495" s="166" t="str">
        <f t="shared" si="22"/>
        <v>Date check - OK</v>
      </c>
      <c r="G495" s="68"/>
      <c r="H495" s="162" t="s">
        <v>280</v>
      </c>
      <c r="I495" s="173">
        <v>21853.086195380012</v>
      </c>
      <c r="J495" s="168">
        <f>IFERROR(MIN('MP Calculations'!$E$30/I495,1),"-")</f>
        <v>0.32927792945511891</v>
      </c>
      <c r="K495" s="12"/>
      <c r="L495" s="159">
        <v>7.7978050000000003</v>
      </c>
      <c r="M495" s="187" t="s">
        <v>293</v>
      </c>
      <c r="N495" s="187">
        <v>192.78728599999999</v>
      </c>
      <c r="O495" s="186">
        <f t="shared" si="23"/>
        <v>1503.3176627072301</v>
      </c>
      <c r="P495" s="186">
        <f t="shared" si="24"/>
        <v>495.00932728954552</v>
      </c>
      <c r="Q495" s="215">
        <f>IF(P495="-",0,P495/(1+'General inputs'!$H$30)^'MP Calculations'!$C$40)</f>
        <v>1099.5587763629462</v>
      </c>
    </row>
    <row r="496" spans="3:17">
      <c r="C496" s="159"/>
      <c r="D496" s="165" t="s">
        <v>283</v>
      </c>
      <c r="E496" s="162">
        <v>28126</v>
      </c>
      <c r="F496" s="166" t="str">
        <f t="shared" si="22"/>
        <v>Date check - OK</v>
      </c>
      <c r="G496" s="68"/>
      <c r="H496" s="162" t="s">
        <v>280</v>
      </c>
      <c r="I496" s="173">
        <v>21853.086195380012</v>
      </c>
      <c r="J496" s="168">
        <f>IFERROR(MIN('MP Calculations'!$E$30/I496,1),"-")</f>
        <v>0.32927792945511891</v>
      </c>
      <c r="K496" s="12"/>
      <c r="L496" s="159">
        <v>40.786287999999999</v>
      </c>
      <c r="M496" s="187" t="s">
        <v>293</v>
      </c>
      <c r="N496" s="187">
        <v>192.78728599999999</v>
      </c>
      <c r="O496" s="186">
        <f t="shared" si="23"/>
        <v>7863.0777695343677</v>
      </c>
      <c r="P496" s="186">
        <f t="shared" si="24"/>
        <v>2589.1379670968513</v>
      </c>
      <c r="Q496" s="215">
        <f>IF(P496="-",0,P496/(1+'General inputs'!$H$30)^'MP Calculations'!$C$40)</f>
        <v>5751.2237002164993</v>
      </c>
    </row>
    <row r="497" spans="3:17">
      <c r="C497" s="159"/>
      <c r="D497" s="165" t="s">
        <v>283</v>
      </c>
      <c r="E497" s="162">
        <v>28126</v>
      </c>
      <c r="F497" s="166" t="str">
        <f t="shared" si="22"/>
        <v>Date check - OK</v>
      </c>
      <c r="G497" s="68"/>
      <c r="H497" s="162" t="s">
        <v>280</v>
      </c>
      <c r="I497" s="173">
        <v>21853.086195380012</v>
      </c>
      <c r="J497" s="168">
        <f>IFERROR(MIN('MP Calculations'!$E$30/I497,1),"-")</f>
        <v>0.32927792945511891</v>
      </c>
      <c r="K497" s="12"/>
      <c r="L497" s="159">
        <v>1.5240009999999999</v>
      </c>
      <c r="M497" s="187" t="s">
        <v>293</v>
      </c>
      <c r="N497" s="187">
        <v>192.78728599999999</v>
      </c>
      <c r="O497" s="186">
        <f t="shared" si="23"/>
        <v>293.80801665128598</v>
      </c>
      <c r="P497" s="186">
        <f t="shared" si="24"/>
        <v>96.744495380250555</v>
      </c>
      <c r="Q497" s="215">
        <f>IF(P497="-",0,P497/(1+'General inputs'!$H$30)^'MP Calculations'!$C$40)</f>
        <v>214.89748393758327</v>
      </c>
    </row>
    <row r="498" spans="3:17">
      <c r="C498" s="159"/>
      <c r="D498" s="165" t="s">
        <v>283</v>
      </c>
      <c r="E498" s="162">
        <v>28126</v>
      </c>
      <c r="F498" s="166" t="str">
        <f t="shared" si="22"/>
        <v>Date check - OK</v>
      </c>
      <c r="G498" s="68"/>
      <c r="H498" s="162" t="s">
        <v>280</v>
      </c>
      <c r="I498" s="173">
        <v>21853.086195380012</v>
      </c>
      <c r="J498" s="168">
        <f>IFERROR(MIN('MP Calculations'!$E$30/I498,1),"-")</f>
        <v>0.32927792945511891</v>
      </c>
      <c r="K498" s="12"/>
      <c r="L498" s="159">
        <v>16.692031</v>
      </c>
      <c r="M498" s="187" t="s">
        <v>293</v>
      </c>
      <c r="N498" s="187">
        <v>192.78728599999999</v>
      </c>
      <c r="O498" s="186">
        <f t="shared" si="23"/>
        <v>3218.0113543178659</v>
      </c>
      <c r="P498" s="186">
        <f t="shared" si="24"/>
        <v>1059.6201157128498</v>
      </c>
      <c r="Q498" s="215">
        <f>IF(P498="-",0,P498/(1+'General inputs'!$H$30)^'MP Calculations'!$C$40)</f>
        <v>2353.7225131139294</v>
      </c>
    </row>
    <row r="499" spans="3:17">
      <c r="C499" s="159"/>
      <c r="D499" s="165" t="s">
        <v>283</v>
      </c>
      <c r="E499" s="162">
        <v>28126</v>
      </c>
      <c r="F499" s="166" t="str">
        <f t="shared" si="22"/>
        <v>Date check - OK</v>
      </c>
      <c r="G499" s="68"/>
      <c r="H499" s="162" t="s">
        <v>280</v>
      </c>
      <c r="I499" s="173">
        <v>21853.086195380012</v>
      </c>
      <c r="J499" s="168">
        <f>IFERROR(MIN('MP Calculations'!$E$30/I499,1),"-")</f>
        <v>0.32927792945511891</v>
      </c>
      <c r="K499" s="12"/>
      <c r="L499" s="159">
        <v>23.732897000000001</v>
      </c>
      <c r="M499" s="187" t="s">
        <v>293</v>
      </c>
      <c r="N499" s="187">
        <v>192.78728599999999</v>
      </c>
      <c r="O499" s="186">
        <f t="shared" si="23"/>
        <v>4575.400801547542</v>
      </c>
      <c r="P499" s="186">
        <f t="shared" si="24"/>
        <v>1506.578502360866</v>
      </c>
      <c r="Q499" s="215">
        <f>IF(P499="-",0,P499/(1+'General inputs'!$H$30)^'MP Calculations'!$C$40)</f>
        <v>3346.546263322542</v>
      </c>
    </row>
    <row r="500" spans="3:17">
      <c r="C500" s="159"/>
      <c r="D500" s="165" t="s">
        <v>283</v>
      </c>
      <c r="E500" s="162">
        <v>28126</v>
      </c>
      <c r="F500" s="166" t="str">
        <f t="shared" si="22"/>
        <v>Date check - OK</v>
      </c>
      <c r="G500" s="68"/>
      <c r="H500" s="162" t="s">
        <v>280</v>
      </c>
      <c r="I500" s="173">
        <v>21853.086195380012</v>
      </c>
      <c r="J500" s="168">
        <f>IFERROR(MIN('MP Calculations'!$E$30/I500,1),"-")</f>
        <v>0.32927792945511891</v>
      </c>
      <c r="K500" s="12"/>
      <c r="L500" s="159">
        <v>24.500015000000001</v>
      </c>
      <c r="M500" s="187" t="s">
        <v>293</v>
      </c>
      <c r="N500" s="187">
        <v>192.78728599999999</v>
      </c>
      <c r="O500" s="186">
        <f t="shared" si="23"/>
        <v>4723.2913988092905</v>
      </c>
      <c r="P500" s="186">
        <f t="shared" si="24"/>
        <v>1555.2756120130955</v>
      </c>
      <c r="Q500" s="215">
        <f>IF(P500="-",0,P500/(1+'General inputs'!$H$30)^'MP Calculations'!$C$40)</f>
        <v>3454.7166175960838</v>
      </c>
    </row>
    <row r="501" spans="3:17">
      <c r="C501" s="159"/>
      <c r="D501" s="165" t="s">
        <v>283</v>
      </c>
      <c r="E501" s="162">
        <v>28126</v>
      </c>
      <c r="F501" s="166" t="str">
        <f t="shared" si="22"/>
        <v>Date check - OK</v>
      </c>
      <c r="G501" s="68"/>
      <c r="H501" s="162" t="s">
        <v>280</v>
      </c>
      <c r="I501" s="173">
        <v>21853.086195380012</v>
      </c>
      <c r="J501" s="168">
        <f>IFERROR(MIN('MP Calculations'!$E$30/I501,1),"-")</f>
        <v>0.32927792945511891</v>
      </c>
      <c r="K501" s="12"/>
      <c r="L501" s="159">
        <v>0.45002999999999999</v>
      </c>
      <c r="M501" s="187" t="s">
        <v>293</v>
      </c>
      <c r="N501" s="187">
        <v>192.78728599999999</v>
      </c>
      <c r="O501" s="186">
        <f t="shared" si="23"/>
        <v>86.760062318579998</v>
      </c>
      <c r="P501" s="186">
        <f t="shared" si="24"/>
        <v>28.568173679659104</v>
      </c>
      <c r="Q501" s="215">
        <f>IF(P501="-",0,P501/(1+'General inputs'!$H$30)^'MP Calculations'!$C$40)</f>
        <v>63.458170103845461</v>
      </c>
    </row>
    <row r="502" spans="3:17">
      <c r="C502" s="159"/>
      <c r="D502" s="165" t="s">
        <v>283</v>
      </c>
      <c r="E502" s="162">
        <v>28126</v>
      </c>
      <c r="F502" s="166" t="str">
        <f t="shared" si="22"/>
        <v>Date check - OK</v>
      </c>
      <c r="G502" s="68"/>
      <c r="H502" s="162" t="s">
        <v>280</v>
      </c>
      <c r="I502" s="173">
        <v>21853.086195380012</v>
      </c>
      <c r="J502" s="168">
        <f>IFERROR(MIN('MP Calculations'!$E$30/I502,1),"-")</f>
        <v>0.32927792945511891</v>
      </c>
      <c r="K502" s="12"/>
      <c r="L502" s="159">
        <v>55.065556999999998</v>
      </c>
      <c r="M502" s="187" t="s">
        <v>293</v>
      </c>
      <c r="N502" s="187">
        <v>192.78728599999999</v>
      </c>
      <c r="O502" s="186">
        <f t="shared" si="23"/>
        <v>10615.939286108302</v>
      </c>
      <c r="P502" s="186">
        <f t="shared" si="24"/>
        <v>3495.5945073509947</v>
      </c>
      <c r="Q502" s="215">
        <f>IF(P502="-",0,P502/(1+'General inputs'!$H$30)^'MP Calculations'!$C$40)</f>
        <v>7764.7256471101891</v>
      </c>
    </row>
    <row r="503" spans="3:17">
      <c r="C503" s="159"/>
      <c r="D503" s="165" t="s">
        <v>282</v>
      </c>
      <c r="E503" s="162">
        <v>28491</v>
      </c>
      <c r="F503" s="166" t="str">
        <f t="shared" si="22"/>
        <v>Date check - OK</v>
      </c>
      <c r="G503" s="68"/>
      <c r="H503" s="162" t="s">
        <v>280</v>
      </c>
      <c r="I503" s="173">
        <v>21853.086195380012</v>
      </c>
      <c r="J503" s="168">
        <f>IFERROR(MIN('MP Calculations'!$E$30/I503,1),"-")</f>
        <v>0.32927792945511891</v>
      </c>
      <c r="K503" s="12"/>
      <c r="L503" s="159">
        <v>143.33949100000001</v>
      </c>
      <c r="M503" s="187" t="s">
        <v>293</v>
      </c>
      <c r="N503" s="187">
        <v>237.97403299999999</v>
      </c>
      <c r="O503" s="186">
        <f t="shared" si="23"/>
        <v>34111.076761437202</v>
      </c>
      <c r="P503" s="186">
        <f t="shared" si="24"/>
        <v>11232.024727490665</v>
      </c>
      <c r="Q503" s="215">
        <f>IF(P503="-",0,P503/(1+'General inputs'!$H$30)^'MP Calculations'!$C$40)</f>
        <v>24949.573037467137</v>
      </c>
    </row>
    <row r="504" spans="3:17">
      <c r="C504" s="159"/>
      <c r="D504" s="165" t="s">
        <v>283</v>
      </c>
      <c r="E504" s="162">
        <v>28491</v>
      </c>
      <c r="F504" s="166" t="str">
        <f t="shared" si="22"/>
        <v>Date check - OK</v>
      </c>
      <c r="G504" s="68"/>
      <c r="H504" s="162" t="s">
        <v>280</v>
      </c>
      <c r="I504" s="173">
        <v>21853.086195380012</v>
      </c>
      <c r="J504" s="168">
        <f>IFERROR(MIN('MP Calculations'!$E$30/I504,1),"-")</f>
        <v>0.32927792945511891</v>
      </c>
      <c r="K504" s="12"/>
      <c r="L504" s="159">
        <v>149.47595899999999</v>
      </c>
      <c r="M504" s="187" t="s">
        <v>293</v>
      </c>
      <c r="N504" s="187">
        <v>192.78728599999999</v>
      </c>
      <c r="O504" s="186">
        <f t="shared" si="23"/>
        <v>28817.064457857272</v>
      </c>
      <c r="P504" s="186">
        <f t="shared" si="24"/>
        <v>9488.8233176579415</v>
      </c>
      <c r="Q504" s="215">
        <f>IF(P504="-",0,P504/(1+'General inputs'!$H$30)^'MP Calculations'!$C$40)</f>
        <v>21077.418911311313</v>
      </c>
    </row>
    <row r="505" spans="3:17">
      <c r="C505" s="159"/>
      <c r="D505" s="165" t="s">
        <v>283</v>
      </c>
      <c r="E505" s="162">
        <v>28491</v>
      </c>
      <c r="F505" s="166" t="str">
        <f t="shared" si="22"/>
        <v>Date check - OK</v>
      </c>
      <c r="G505" s="68"/>
      <c r="H505" s="162" t="s">
        <v>280</v>
      </c>
      <c r="I505" s="173">
        <v>21853.086195380012</v>
      </c>
      <c r="J505" s="168">
        <f>IFERROR(MIN('MP Calculations'!$E$30/I505,1),"-")</f>
        <v>0.32927792945511891</v>
      </c>
      <c r="K505" s="12"/>
      <c r="L505" s="159">
        <v>8.5964240000000007</v>
      </c>
      <c r="M505" s="187" t="s">
        <v>293</v>
      </c>
      <c r="N505" s="187">
        <v>192.78728599999999</v>
      </c>
      <c r="O505" s="186">
        <f t="shared" si="23"/>
        <v>1657.2812522652641</v>
      </c>
      <c r="P505" s="186">
        <f t="shared" si="24"/>
        <v>545.7061392706928</v>
      </c>
      <c r="Q505" s="215">
        <f>IF(P505="-",0,P505/(1+'General inputs'!$H$30)^'MP Calculations'!$C$40)</f>
        <v>1212.171047434126</v>
      </c>
    </row>
    <row r="506" spans="3:17">
      <c r="C506" s="159"/>
      <c r="D506" s="165" t="s">
        <v>283</v>
      </c>
      <c r="E506" s="162">
        <v>28491</v>
      </c>
      <c r="F506" s="166" t="str">
        <f t="shared" si="22"/>
        <v>Date check - OK</v>
      </c>
      <c r="G506" s="68"/>
      <c r="H506" s="162" t="s">
        <v>280</v>
      </c>
      <c r="I506" s="173">
        <v>21853.086195380012</v>
      </c>
      <c r="J506" s="168">
        <f>IFERROR(MIN('MP Calculations'!$E$30/I506,1),"-")</f>
        <v>0.32927792945511891</v>
      </c>
      <c r="K506" s="12"/>
      <c r="L506" s="159">
        <v>0.39896599999999999</v>
      </c>
      <c r="M506" s="187" t="s">
        <v>293</v>
      </c>
      <c r="N506" s="187">
        <v>192.78728599999999</v>
      </c>
      <c r="O506" s="186">
        <f t="shared" si="23"/>
        <v>76.915572346275994</v>
      </c>
      <c r="P506" s="186">
        <f t="shared" si="24"/>
        <v>25.326600405037162</v>
      </c>
      <c r="Q506" s="215">
        <f>IF(P506="-",0,P506/(1+'General inputs'!$H$30)^'MP Calculations'!$C$40)</f>
        <v>56.257699028177697</v>
      </c>
    </row>
    <row r="507" spans="3:17">
      <c r="C507" s="159"/>
      <c r="D507" s="165" t="s">
        <v>284</v>
      </c>
      <c r="E507" s="162">
        <v>28491</v>
      </c>
      <c r="F507" s="166" t="str">
        <f t="shared" si="22"/>
        <v>Date check - OK</v>
      </c>
      <c r="G507" s="68"/>
      <c r="H507" s="162" t="s">
        <v>280</v>
      </c>
      <c r="I507" s="173">
        <v>21853.086195380012</v>
      </c>
      <c r="J507" s="168">
        <f>IFERROR(MIN('MP Calculations'!$E$30/I507,1),"-")</f>
        <v>0.32927792945511891</v>
      </c>
      <c r="K507" s="12"/>
      <c r="L507" s="159">
        <v>7.4352619999999998</v>
      </c>
      <c r="M507" s="187" t="s">
        <v>293</v>
      </c>
      <c r="N507" s="187">
        <v>315.45229399999999</v>
      </c>
      <c r="O507" s="186">
        <f t="shared" si="23"/>
        <v>2345.4704543910279</v>
      </c>
      <c r="P507" s="186">
        <f t="shared" si="24"/>
        <v>772.31165482003462</v>
      </c>
      <c r="Q507" s="215">
        <f>IF(P507="-",0,P507/(1+'General inputs'!$H$30)^'MP Calculations'!$C$40)</f>
        <v>1715.527387725436</v>
      </c>
    </row>
    <row r="508" spans="3:17">
      <c r="C508" s="159"/>
      <c r="D508" s="165" t="s">
        <v>284</v>
      </c>
      <c r="E508" s="162">
        <v>28491</v>
      </c>
      <c r="F508" s="166" t="str">
        <f t="shared" si="22"/>
        <v>Date check - OK</v>
      </c>
      <c r="G508" s="68"/>
      <c r="H508" s="162" t="s">
        <v>280</v>
      </c>
      <c r="I508" s="173">
        <v>21853.086195380012</v>
      </c>
      <c r="J508" s="168">
        <f>IFERROR(MIN('MP Calculations'!$E$30/I508,1),"-")</f>
        <v>0.32927792945511891</v>
      </c>
      <c r="K508" s="12"/>
      <c r="L508" s="159">
        <v>0.94195200000000001</v>
      </c>
      <c r="M508" s="187" t="s">
        <v>293</v>
      </c>
      <c r="N508" s="187">
        <v>315.45229399999999</v>
      </c>
      <c r="O508" s="186">
        <f t="shared" si="23"/>
        <v>297.140919237888</v>
      </c>
      <c r="P508" s="186">
        <f t="shared" si="24"/>
        <v>97.841946643042476</v>
      </c>
      <c r="Q508" s="215">
        <f>IF(P508="-",0,P508/(1+'General inputs'!$H$30)^'MP Calculations'!$C$40)</f>
        <v>217.33524036177204</v>
      </c>
    </row>
    <row r="509" spans="3:17">
      <c r="C509" s="159"/>
      <c r="D509" s="165" t="s">
        <v>284</v>
      </c>
      <c r="E509" s="162">
        <v>28491</v>
      </c>
      <c r="F509" s="166" t="str">
        <f t="shared" si="22"/>
        <v>Date check - OK</v>
      </c>
      <c r="G509" s="68"/>
      <c r="H509" s="162" t="s">
        <v>280</v>
      </c>
      <c r="I509" s="173">
        <v>21853.086195380012</v>
      </c>
      <c r="J509" s="168">
        <f>IFERROR(MIN('MP Calculations'!$E$30/I509,1),"-")</f>
        <v>0.32927792945511891</v>
      </c>
      <c r="K509" s="12"/>
      <c r="L509" s="159">
        <v>24.289276999999998</v>
      </c>
      <c r="M509" s="187" t="s">
        <v>293</v>
      </c>
      <c r="N509" s="187">
        <v>315.45229399999999</v>
      </c>
      <c r="O509" s="186">
        <f t="shared" si="23"/>
        <v>7662.1081492514377</v>
      </c>
      <c r="P509" s="186">
        <f t="shared" si="24"/>
        <v>2522.9631066467068</v>
      </c>
      <c r="Q509" s="215">
        <f>IF(P509="-",0,P509/(1+'General inputs'!$H$30)^'MP Calculations'!$C$40)</f>
        <v>5604.2302102534541</v>
      </c>
    </row>
    <row r="510" spans="3:17">
      <c r="C510" s="159"/>
      <c r="D510" s="165" t="s">
        <v>284</v>
      </c>
      <c r="E510" s="162">
        <v>28491</v>
      </c>
      <c r="F510" s="166" t="str">
        <f t="shared" si="22"/>
        <v>Date check - OK</v>
      </c>
      <c r="G510" s="68"/>
      <c r="H510" s="162" t="s">
        <v>280</v>
      </c>
      <c r="I510" s="173">
        <v>21853.086195380012</v>
      </c>
      <c r="J510" s="168">
        <f>IFERROR(MIN('MP Calculations'!$E$30/I510,1),"-")</f>
        <v>0.32927792945511891</v>
      </c>
      <c r="K510" s="12"/>
      <c r="L510" s="159">
        <v>5.5745110000000002</v>
      </c>
      <c r="M510" s="187" t="s">
        <v>293</v>
      </c>
      <c r="N510" s="187">
        <v>315.45229399999999</v>
      </c>
      <c r="O510" s="186">
        <f t="shared" si="23"/>
        <v>1758.4922828782339</v>
      </c>
      <c r="P510" s="186">
        <f t="shared" si="24"/>
        <v>579.03269786895009</v>
      </c>
      <c r="Q510" s="215">
        <f>IF(P510="-",0,P510/(1+'General inputs'!$H$30)^'MP Calculations'!$C$40)</f>
        <v>1286.1989656419246</v>
      </c>
    </row>
    <row r="511" spans="3:17">
      <c r="C511" s="159"/>
      <c r="D511" s="165" t="s">
        <v>284</v>
      </c>
      <c r="E511" s="162">
        <v>28491</v>
      </c>
      <c r="F511" s="166" t="str">
        <f t="shared" si="22"/>
        <v>Date check - OK</v>
      </c>
      <c r="G511" s="68"/>
      <c r="H511" s="162" t="s">
        <v>280</v>
      </c>
      <c r="I511" s="173">
        <v>21853.086195380012</v>
      </c>
      <c r="J511" s="168">
        <f>IFERROR(MIN('MP Calculations'!$E$30/I511,1),"-")</f>
        <v>0.32927792945511891</v>
      </c>
      <c r="K511" s="12"/>
      <c r="L511" s="159">
        <v>153.49888100000001</v>
      </c>
      <c r="M511" s="187" t="s">
        <v>293</v>
      </c>
      <c r="N511" s="187">
        <v>315.45229399999999</v>
      </c>
      <c r="O511" s="186">
        <f t="shared" si="23"/>
        <v>48421.574137883013</v>
      </c>
      <c r="P511" s="186">
        <f t="shared" si="24"/>
        <v>15944.155673079653</v>
      </c>
      <c r="Q511" s="215">
        <f>IF(P511="-",0,P511/(1+'General inputs'!$H$30)^'MP Calculations'!$C$40)</f>
        <v>35416.577699710855</v>
      </c>
    </row>
    <row r="512" spans="3:17">
      <c r="C512" s="159"/>
      <c r="D512" s="165" t="s">
        <v>284</v>
      </c>
      <c r="E512" s="162">
        <v>28491</v>
      </c>
      <c r="F512" s="166" t="str">
        <f t="shared" si="22"/>
        <v>Date check - OK</v>
      </c>
      <c r="G512" s="68"/>
      <c r="H512" s="162" t="s">
        <v>280</v>
      </c>
      <c r="I512" s="173">
        <v>21853.086195380012</v>
      </c>
      <c r="J512" s="168">
        <f>IFERROR(MIN('MP Calculations'!$E$30/I512,1),"-")</f>
        <v>0.32927792945511891</v>
      </c>
      <c r="K512" s="12"/>
      <c r="L512" s="159">
        <v>101.35095099999999</v>
      </c>
      <c r="M512" s="187" t="s">
        <v>293</v>
      </c>
      <c r="N512" s="187">
        <v>315.45229399999999</v>
      </c>
      <c r="O512" s="186">
        <f t="shared" si="23"/>
        <v>31971.389992031593</v>
      </c>
      <c r="P512" s="186">
        <f t="shared" si="24"/>
        <v>10527.473098378274</v>
      </c>
      <c r="Q512" s="215">
        <f>IF(P512="-",0,P512/(1+'General inputs'!$H$30)^'MP Calculations'!$C$40)</f>
        <v>23384.56024986324</v>
      </c>
    </row>
    <row r="513" spans="3:17">
      <c r="C513" s="159"/>
      <c r="D513" s="165" t="s">
        <v>284</v>
      </c>
      <c r="E513" s="162">
        <v>28491</v>
      </c>
      <c r="F513" s="166" t="str">
        <f t="shared" si="22"/>
        <v>Date check - OK</v>
      </c>
      <c r="G513" s="68"/>
      <c r="H513" s="162" t="s">
        <v>280</v>
      </c>
      <c r="I513" s="173">
        <v>21853.086195380012</v>
      </c>
      <c r="J513" s="168">
        <f>IFERROR(MIN('MP Calculations'!$E$30/I513,1),"-")</f>
        <v>0.32927792945511891</v>
      </c>
      <c r="K513" s="12"/>
      <c r="L513" s="159">
        <v>62.393303000000003</v>
      </c>
      <c r="M513" s="187" t="s">
        <v>293</v>
      </c>
      <c r="N513" s="187">
        <v>315.45229399999999</v>
      </c>
      <c r="O513" s="186">
        <f t="shared" si="23"/>
        <v>19682.110561587084</v>
      </c>
      <c r="P513" s="186">
        <f t="shared" si="24"/>
        <v>6480.8846130261227</v>
      </c>
      <c r="Q513" s="215">
        <f>IF(P513="-",0,P513/(1+'General inputs'!$H$30)^'MP Calculations'!$C$40)</f>
        <v>14395.917737283718</v>
      </c>
    </row>
    <row r="514" spans="3:17">
      <c r="C514" s="159"/>
      <c r="D514" s="165" t="s">
        <v>284</v>
      </c>
      <c r="E514" s="162">
        <v>28491</v>
      </c>
      <c r="F514" s="166" t="str">
        <f t="shared" si="22"/>
        <v>Date check - OK</v>
      </c>
      <c r="G514" s="68"/>
      <c r="H514" s="162" t="s">
        <v>280</v>
      </c>
      <c r="I514" s="173">
        <v>21853.086195380012</v>
      </c>
      <c r="J514" s="168">
        <f>IFERROR(MIN('MP Calculations'!$E$30/I514,1),"-")</f>
        <v>0.32927792945511891</v>
      </c>
      <c r="K514" s="12"/>
      <c r="L514" s="159">
        <v>163.689235</v>
      </c>
      <c r="M514" s="187" t="s">
        <v>293</v>
      </c>
      <c r="N514" s="187">
        <v>315.45229399999999</v>
      </c>
      <c r="O514" s="186">
        <f t="shared" si="23"/>
        <v>51636.144683855091</v>
      </c>
      <c r="P514" s="186">
        <f t="shared" si="24"/>
        <v>17002.642806544751</v>
      </c>
      <c r="Q514" s="215">
        <f>IF(P514="-",0,P514/(1+'General inputs'!$H$30)^'MP Calculations'!$C$40)</f>
        <v>37767.783531814348</v>
      </c>
    </row>
    <row r="515" spans="3:17">
      <c r="C515" s="159"/>
      <c r="D515" s="165" t="s">
        <v>284</v>
      </c>
      <c r="E515" s="162">
        <v>28491</v>
      </c>
      <c r="F515" s="166" t="str">
        <f t="shared" si="22"/>
        <v>Date check - OK</v>
      </c>
      <c r="G515" s="68"/>
      <c r="H515" s="162" t="s">
        <v>280</v>
      </c>
      <c r="I515" s="173">
        <v>21853.086195380012</v>
      </c>
      <c r="J515" s="168">
        <f>IFERROR(MIN('MP Calculations'!$E$30/I515,1),"-")</f>
        <v>0.32927792945511891</v>
      </c>
      <c r="K515" s="12"/>
      <c r="L515" s="159">
        <v>2.0475650000000001</v>
      </c>
      <c r="M515" s="187" t="s">
        <v>293</v>
      </c>
      <c r="N515" s="187">
        <v>315.45229399999999</v>
      </c>
      <c r="O515" s="186">
        <f t="shared" si="23"/>
        <v>645.90907636410998</v>
      </c>
      <c r="P515" s="186">
        <f t="shared" si="24"/>
        <v>212.68360328144243</v>
      </c>
      <c r="Q515" s="215">
        <f>IF(P515="-",0,P515/(1+'General inputs'!$H$30)^'MP Calculations'!$C$40)</f>
        <v>472.43174963411275</v>
      </c>
    </row>
    <row r="516" spans="3:17">
      <c r="C516" s="159"/>
      <c r="D516" s="165" t="s">
        <v>289</v>
      </c>
      <c r="E516" s="162">
        <v>28491</v>
      </c>
      <c r="F516" s="166" t="str">
        <f t="shared" si="22"/>
        <v>Date check - OK</v>
      </c>
      <c r="G516" s="68"/>
      <c r="H516" s="162" t="s">
        <v>280</v>
      </c>
      <c r="I516" s="173">
        <v>21853.086195380012</v>
      </c>
      <c r="J516" s="168">
        <f>IFERROR(MIN('MP Calculations'!$E$30/I516,1),"-")</f>
        <v>0.32927792945511891</v>
      </c>
      <c r="K516" s="12"/>
      <c r="L516" s="159">
        <v>1.6700900000000001</v>
      </c>
      <c r="M516" s="187" t="s">
        <v>293</v>
      </c>
      <c r="N516" s="187">
        <v>421.28581700000001</v>
      </c>
      <c r="O516" s="186">
        <f t="shared" si="23"/>
        <v>703.58523011353009</v>
      </c>
      <c r="P516" s="186">
        <f t="shared" si="24"/>
        <v>231.67508776698656</v>
      </c>
      <c r="Q516" s="215">
        <f>IF(P516="-",0,P516/(1+'General inputs'!$H$30)^'MP Calculations'!$C$40)</f>
        <v>514.61732532130804</v>
      </c>
    </row>
    <row r="517" spans="3:17">
      <c r="C517" s="159"/>
      <c r="D517" s="165" t="s">
        <v>291</v>
      </c>
      <c r="E517" s="162">
        <v>28491</v>
      </c>
      <c r="F517" s="166" t="str">
        <f t="shared" si="22"/>
        <v>Date check - OK</v>
      </c>
      <c r="G517" s="68"/>
      <c r="H517" s="162" t="s">
        <v>280</v>
      </c>
      <c r="I517" s="173">
        <v>21853.086195380012</v>
      </c>
      <c r="J517" s="168">
        <f>IFERROR(MIN('MP Calculations'!$E$30/I517,1),"-")</f>
        <v>0.32927792945511891</v>
      </c>
      <c r="K517" s="12"/>
      <c r="L517" s="159">
        <v>7.98285</v>
      </c>
      <c r="M517" s="187" t="s">
        <v>293</v>
      </c>
      <c r="N517" s="187">
        <v>560.03424299999995</v>
      </c>
      <c r="O517" s="186">
        <f t="shared" si="23"/>
        <v>4470.6693567325492</v>
      </c>
      <c r="P517" s="186">
        <f t="shared" si="24"/>
        <v>1472.0927490633421</v>
      </c>
      <c r="Q517" s="215">
        <f>IF(P517="-",0,P517/(1+'General inputs'!$H$30)^'MP Calculations'!$C$40)</f>
        <v>3269.9434386739476</v>
      </c>
    </row>
    <row r="518" spans="3:17">
      <c r="C518" s="159"/>
      <c r="D518" s="165" t="s">
        <v>289</v>
      </c>
      <c r="E518" s="162">
        <v>28491</v>
      </c>
      <c r="F518" s="166" t="str">
        <f t="shared" si="22"/>
        <v>Date check - OK</v>
      </c>
      <c r="G518" s="68"/>
      <c r="H518" s="162" t="s">
        <v>280</v>
      </c>
      <c r="I518" s="173">
        <v>21853.086195380012</v>
      </c>
      <c r="J518" s="168">
        <f>IFERROR(MIN('MP Calculations'!$E$30/I518,1),"-")</f>
        <v>0.32927792945511891</v>
      </c>
      <c r="K518" s="12"/>
      <c r="L518" s="159">
        <v>46.706136000000001</v>
      </c>
      <c r="M518" s="187" t="s">
        <v>293</v>
      </c>
      <c r="N518" s="187">
        <v>421.28581700000001</v>
      </c>
      <c r="O518" s="186">
        <f t="shared" si="23"/>
        <v>19676.632663673114</v>
      </c>
      <c r="P518" s="186">
        <f t="shared" si="24"/>
        <v>6479.0808621432443</v>
      </c>
      <c r="Q518" s="215">
        <f>IF(P518="-",0,P518/(1+'General inputs'!$H$30)^'MP Calculations'!$C$40)</f>
        <v>14391.911085278793</v>
      </c>
    </row>
    <row r="519" spans="3:17">
      <c r="C519" s="159"/>
      <c r="D519" s="165" t="s">
        <v>284</v>
      </c>
      <c r="E519" s="162">
        <v>28491</v>
      </c>
      <c r="F519" s="166" t="str">
        <f t="shared" si="22"/>
        <v>Date check - OK</v>
      </c>
      <c r="G519" s="68"/>
      <c r="H519" s="162" t="s">
        <v>280</v>
      </c>
      <c r="I519" s="173">
        <v>21853.086195380012</v>
      </c>
      <c r="J519" s="168">
        <f>IFERROR(MIN('MP Calculations'!$E$30/I519,1),"-")</f>
        <v>0.32927792945511891</v>
      </c>
      <c r="K519" s="12"/>
      <c r="L519" s="159">
        <v>1.166847</v>
      </c>
      <c r="M519" s="187" t="s">
        <v>293</v>
      </c>
      <c r="N519" s="187">
        <v>315.45229399999999</v>
      </c>
      <c r="O519" s="186">
        <f t="shared" si="23"/>
        <v>368.08456289701797</v>
      </c>
      <c r="P519" s="186">
        <f t="shared" si="24"/>
        <v>121.20212273512256</v>
      </c>
      <c r="Q519" s="215">
        <f>IF(P519="-",0,P519/(1+'General inputs'!$H$30)^'MP Calculations'!$C$40)</f>
        <v>269.22494268329234</v>
      </c>
    </row>
    <row r="520" spans="3:17">
      <c r="C520" s="159"/>
      <c r="D520" s="165" t="s">
        <v>284</v>
      </c>
      <c r="E520" s="162">
        <v>28491</v>
      </c>
      <c r="F520" s="166" t="str">
        <f t="shared" si="22"/>
        <v>Date check - OK</v>
      </c>
      <c r="G520" s="68"/>
      <c r="H520" s="162" t="s">
        <v>280</v>
      </c>
      <c r="I520" s="173">
        <v>21853.086195380012</v>
      </c>
      <c r="J520" s="168">
        <f>IFERROR(MIN('MP Calculations'!$E$30/I520,1),"-")</f>
        <v>0.32927792945511891</v>
      </c>
      <c r="K520" s="12"/>
      <c r="L520" s="159">
        <v>220.81489400000001</v>
      </c>
      <c r="M520" s="187" t="s">
        <v>293</v>
      </c>
      <c r="N520" s="187">
        <v>315.45229399999999</v>
      </c>
      <c r="O520" s="186">
        <f t="shared" si="23"/>
        <v>69656.564861666833</v>
      </c>
      <c r="P520" s="186">
        <f t="shared" si="24"/>
        <v>22936.369450605845</v>
      </c>
      <c r="Q520" s="215">
        <f>IF(P520="-",0,P520/(1+'General inputs'!$H$30)^'MP Calculations'!$C$40)</f>
        <v>50948.305288325952</v>
      </c>
    </row>
    <row r="521" spans="3:17">
      <c r="C521" s="159"/>
      <c r="D521" s="165" t="s">
        <v>291</v>
      </c>
      <c r="E521" s="162">
        <v>28491</v>
      </c>
      <c r="F521" s="166" t="str">
        <f t="shared" si="22"/>
        <v>Date check - OK</v>
      </c>
      <c r="G521" s="68"/>
      <c r="H521" s="162" t="s">
        <v>280</v>
      </c>
      <c r="I521" s="173">
        <v>21853.086195380012</v>
      </c>
      <c r="J521" s="168">
        <f>IFERROR(MIN('MP Calculations'!$E$30/I521,1),"-")</f>
        <v>0.32927792945511891</v>
      </c>
      <c r="K521" s="12"/>
      <c r="L521" s="159">
        <v>54.088138000000001</v>
      </c>
      <c r="M521" s="187" t="s">
        <v>293</v>
      </c>
      <c r="N521" s="187">
        <v>560.03424299999995</v>
      </c>
      <c r="O521" s="186">
        <f t="shared" si="23"/>
        <v>30291.209420109531</v>
      </c>
      <c r="P521" s="186">
        <f t="shared" si="24"/>
        <v>9974.2267185450601</v>
      </c>
      <c r="Q521" s="215">
        <f>IF(P521="-",0,P521/(1+'General inputs'!$H$30)^'MP Calculations'!$C$40)</f>
        <v>22155.640148968232</v>
      </c>
    </row>
    <row r="522" spans="3:17">
      <c r="C522" s="159"/>
      <c r="D522" s="165" t="s">
        <v>284</v>
      </c>
      <c r="E522" s="162">
        <v>28491</v>
      </c>
      <c r="F522" s="166" t="str">
        <f t="shared" si="22"/>
        <v>Date check - OK</v>
      </c>
      <c r="G522" s="68"/>
      <c r="H522" s="162" t="s">
        <v>280</v>
      </c>
      <c r="I522" s="173">
        <v>21853.086195380012</v>
      </c>
      <c r="J522" s="168">
        <f>IFERROR(MIN('MP Calculations'!$E$30/I522,1),"-")</f>
        <v>0.32927792945511891</v>
      </c>
      <c r="K522" s="12"/>
      <c r="L522" s="159">
        <v>173.449343</v>
      </c>
      <c r="M522" s="187" t="s">
        <v>293</v>
      </c>
      <c r="N522" s="187">
        <v>315.45229399999999</v>
      </c>
      <c r="O522" s="186">
        <f t="shared" si="23"/>
        <v>54714.993142142841</v>
      </c>
      <c r="P522" s="186">
        <f t="shared" si="24"/>
        <v>18016.439651995825</v>
      </c>
      <c r="Q522" s="215">
        <f>IF(P522="-",0,P522/(1+'General inputs'!$H$30)^'MP Calculations'!$C$40)</f>
        <v>40019.719318496522</v>
      </c>
    </row>
    <row r="523" spans="3:17">
      <c r="C523" s="159"/>
      <c r="D523" s="165" t="s">
        <v>284</v>
      </c>
      <c r="E523" s="162">
        <v>28491</v>
      </c>
      <c r="F523" s="166" t="str">
        <f t="shared" si="22"/>
        <v>Date check - OK</v>
      </c>
      <c r="G523" s="68"/>
      <c r="H523" s="162" t="s">
        <v>280</v>
      </c>
      <c r="I523" s="173">
        <v>21853.086195380012</v>
      </c>
      <c r="J523" s="168">
        <f>IFERROR(MIN('MP Calculations'!$E$30/I523,1),"-")</f>
        <v>0.32927792945511891</v>
      </c>
      <c r="K523" s="12"/>
      <c r="L523" s="159">
        <v>49.571209000000003</v>
      </c>
      <c r="M523" s="187" t="s">
        <v>293</v>
      </c>
      <c r="N523" s="187">
        <v>315.45229399999999</v>
      </c>
      <c r="O523" s="186">
        <f t="shared" si="23"/>
        <v>15637.351595403446</v>
      </c>
      <c r="P523" s="186">
        <f t="shared" si="24"/>
        <v>5149.0347554961472</v>
      </c>
      <c r="Q523" s="215">
        <f>IF(P523="-",0,P523/(1+'General inputs'!$H$30)^'MP Calculations'!$C$40)</f>
        <v>11437.494291682206</v>
      </c>
    </row>
    <row r="524" spans="3:17">
      <c r="C524" s="159"/>
      <c r="D524" s="165" t="s">
        <v>284</v>
      </c>
      <c r="E524" s="162">
        <v>28491</v>
      </c>
      <c r="F524" s="166" t="str">
        <f t="shared" si="22"/>
        <v>Date check - OK</v>
      </c>
      <c r="G524" s="68"/>
      <c r="H524" s="162" t="s">
        <v>280</v>
      </c>
      <c r="I524" s="173">
        <v>21853.086195380012</v>
      </c>
      <c r="J524" s="168">
        <f>IFERROR(MIN('MP Calculations'!$E$30/I524,1),"-")</f>
        <v>0.32927792945511891</v>
      </c>
      <c r="K524" s="12"/>
      <c r="L524" s="159">
        <v>1.0644720000000001</v>
      </c>
      <c r="M524" s="187" t="s">
        <v>293</v>
      </c>
      <c r="N524" s="187">
        <v>315.45229399999999</v>
      </c>
      <c r="O524" s="186">
        <f t="shared" si="23"/>
        <v>335.79013429876801</v>
      </c>
      <c r="P524" s="186">
        <f t="shared" si="24"/>
        <v>110.56828015335464</v>
      </c>
      <c r="Q524" s="215">
        <f>IF(P524="-",0,P524/(1+'General inputs'!$H$30)^'MP Calculations'!$C$40)</f>
        <v>245.60410506944748</v>
      </c>
    </row>
    <row r="525" spans="3:17">
      <c r="C525" s="159"/>
      <c r="D525" s="165" t="s">
        <v>290</v>
      </c>
      <c r="E525" s="162">
        <v>28491</v>
      </c>
      <c r="F525" s="166" t="str">
        <f t="shared" si="22"/>
        <v>Date check - OK</v>
      </c>
      <c r="G525" s="68"/>
      <c r="H525" s="162" t="s">
        <v>280</v>
      </c>
      <c r="I525" s="173">
        <v>21853.086195380012</v>
      </c>
      <c r="J525" s="168">
        <f>IFERROR(MIN('MP Calculations'!$E$30/I525,1),"-")</f>
        <v>0.32927792945511891</v>
      </c>
      <c r="K525" s="12"/>
      <c r="L525" s="159">
        <v>5.747185</v>
      </c>
      <c r="M525" s="187" t="s">
        <v>293</v>
      </c>
      <c r="N525" s="187">
        <v>707.97319300000004</v>
      </c>
      <c r="O525" s="186">
        <f t="shared" si="23"/>
        <v>4068.8529152117053</v>
      </c>
      <c r="P525" s="186">
        <f t="shared" si="24"/>
        <v>1339.7834631783348</v>
      </c>
      <c r="Q525" s="215">
        <f>IF(P525="-",0,P525/(1+'General inputs'!$H$30)^'MP Calculations'!$C$40)</f>
        <v>2976.0462766027426</v>
      </c>
    </row>
    <row r="526" spans="3:17">
      <c r="C526" s="159"/>
      <c r="D526" s="165" t="s">
        <v>284</v>
      </c>
      <c r="E526" s="162">
        <v>28491</v>
      </c>
      <c r="F526" s="166" t="str">
        <f t="shared" si="22"/>
        <v>Date check - OK</v>
      </c>
      <c r="G526" s="68"/>
      <c r="H526" s="162" t="s">
        <v>280</v>
      </c>
      <c r="I526" s="173">
        <v>21853.086195380012</v>
      </c>
      <c r="J526" s="168">
        <f>IFERROR(MIN('MP Calculations'!$E$30/I526,1),"-")</f>
        <v>0.32927792945511891</v>
      </c>
      <c r="K526" s="12"/>
      <c r="L526" s="159">
        <v>120.69670000000001</v>
      </c>
      <c r="M526" s="187" t="s">
        <v>293</v>
      </c>
      <c r="N526" s="187">
        <v>315.45229399999999</v>
      </c>
      <c r="O526" s="186">
        <f t="shared" si="23"/>
        <v>38074.050893229803</v>
      </c>
      <c r="P526" s="186">
        <f t="shared" si="24"/>
        <v>12536.944644091531</v>
      </c>
      <c r="Q526" s="215">
        <f>IF(P526="-",0,P526/(1+'General inputs'!$H$30)^'MP Calculations'!$C$40)</f>
        <v>27848.177301362164</v>
      </c>
    </row>
    <row r="527" spans="3:17">
      <c r="C527" s="159"/>
      <c r="D527" s="165" t="s">
        <v>284</v>
      </c>
      <c r="E527" s="162">
        <v>28491</v>
      </c>
      <c r="F527" s="166" t="str">
        <f t="shared" si="22"/>
        <v>Date check - OK</v>
      </c>
      <c r="G527" s="68"/>
      <c r="H527" s="162" t="s">
        <v>280</v>
      </c>
      <c r="I527" s="173">
        <v>21853.086195380012</v>
      </c>
      <c r="J527" s="168">
        <f>IFERROR(MIN('MP Calculations'!$E$30/I527,1),"-")</f>
        <v>0.32927792945511891</v>
      </c>
      <c r="K527" s="12"/>
      <c r="L527" s="159">
        <v>0.80525899999999995</v>
      </c>
      <c r="M527" s="187" t="s">
        <v>293</v>
      </c>
      <c r="N527" s="187">
        <v>315.45229399999999</v>
      </c>
      <c r="O527" s="186">
        <f t="shared" si="23"/>
        <v>254.02079881414599</v>
      </c>
      <c r="P527" s="186">
        <f t="shared" si="24"/>
        <v>83.643442672057319</v>
      </c>
      <c r="Q527" s="215">
        <f>IF(P527="-",0,P527/(1+'General inputs'!$H$30)^'MP Calculations'!$C$40)</f>
        <v>185.79625959547852</v>
      </c>
    </row>
    <row r="528" spans="3:17">
      <c r="C528" s="159"/>
      <c r="D528" s="165" t="s">
        <v>291</v>
      </c>
      <c r="E528" s="162">
        <v>28491</v>
      </c>
      <c r="F528" s="166" t="str">
        <f t="shared" si="22"/>
        <v>Date check - OK</v>
      </c>
      <c r="G528" s="68"/>
      <c r="H528" s="162" t="s">
        <v>280</v>
      </c>
      <c r="I528" s="173">
        <v>21853.086195380012</v>
      </c>
      <c r="J528" s="168">
        <f>IFERROR(MIN('MP Calculations'!$E$30/I528,1),"-")</f>
        <v>0.32927792945511891</v>
      </c>
      <c r="K528" s="12"/>
      <c r="L528" s="159">
        <v>5.3730209999999996</v>
      </c>
      <c r="M528" s="187" t="s">
        <v>293</v>
      </c>
      <c r="N528" s="187">
        <v>560.03424299999995</v>
      </c>
      <c r="O528" s="186">
        <f t="shared" si="23"/>
        <v>3009.0757483581024</v>
      </c>
      <c r="P528" s="186">
        <f t="shared" si="24"/>
        <v>990.82223199296834</v>
      </c>
      <c r="Q528" s="215">
        <f>IF(P528="-",0,P528/(1+'General inputs'!$H$30)^'MP Calculations'!$C$40)</f>
        <v>2200.9025304004626</v>
      </c>
    </row>
    <row r="529" spans="3:17">
      <c r="C529" s="159"/>
      <c r="D529" s="165" t="s">
        <v>284</v>
      </c>
      <c r="E529" s="162">
        <v>28491</v>
      </c>
      <c r="F529" s="166" t="str">
        <f t="shared" si="22"/>
        <v>Date check - OK</v>
      </c>
      <c r="G529" s="68"/>
      <c r="H529" s="162" t="s">
        <v>280</v>
      </c>
      <c r="I529" s="173">
        <v>21853.086195380012</v>
      </c>
      <c r="J529" s="168">
        <f>IFERROR(MIN('MP Calculations'!$E$30/I529,1),"-")</f>
        <v>0.32927792945511891</v>
      </c>
      <c r="K529" s="12"/>
      <c r="L529" s="159">
        <v>2.598821</v>
      </c>
      <c r="M529" s="187" t="s">
        <v>293</v>
      </c>
      <c r="N529" s="187">
        <v>315.45229399999999</v>
      </c>
      <c r="O529" s="186">
        <f t="shared" si="23"/>
        <v>819.80404614537395</v>
      </c>
      <c r="P529" s="186">
        <f t="shared" si="24"/>
        <v>269.94337887367749</v>
      </c>
      <c r="Q529" s="215">
        <f>IF(P529="-",0,P529/(1+'General inputs'!$H$30)^'MP Calculations'!$C$40)</f>
        <v>599.62225961855881</v>
      </c>
    </row>
    <row r="530" spans="3:17">
      <c r="C530" s="159"/>
      <c r="D530" s="165" t="s">
        <v>284</v>
      </c>
      <c r="E530" s="162">
        <v>28491</v>
      </c>
      <c r="F530" s="166" t="str">
        <f t="shared" si="22"/>
        <v>Date check - OK</v>
      </c>
      <c r="G530" s="68"/>
      <c r="H530" s="162" t="s">
        <v>280</v>
      </c>
      <c r="I530" s="173">
        <v>21853.086195380012</v>
      </c>
      <c r="J530" s="168">
        <f>IFERROR(MIN('MP Calculations'!$E$30/I530,1),"-")</f>
        <v>0.32927792945511891</v>
      </c>
      <c r="K530" s="12"/>
      <c r="L530" s="159">
        <v>1.0002009999999999</v>
      </c>
      <c r="M530" s="187" t="s">
        <v>293</v>
      </c>
      <c r="N530" s="187">
        <v>315.45229399999999</v>
      </c>
      <c r="O530" s="186">
        <f t="shared" si="23"/>
        <v>315.51569991109398</v>
      </c>
      <c r="P530" s="186">
        <f t="shared" si="24"/>
        <v>103.89235637730766</v>
      </c>
      <c r="Q530" s="215">
        <f>IF(P530="-",0,P530/(1+'General inputs'!$H$30)^'MP Calculations'!$C$40)</f>
        <v>230.77494898368994</v>
      </c>
    </row>
    <row r="531" spans="3:17">
      <c r="C531" s="159"/>
      <c r="D531" s="165" t="s">
        <v>284</v>
      </c>
      <c r="E531" s="162">
        <v>28491</v>
      </c>
      <c r="F531" s="166" t="str">
        <f t="shared" si="22"/>
        <v>Date check - OK</v>
      </c>
      <c r="G531" s="68"/>
      <c r="H531" s="162" t="s">
        <v>280</v>
      </c>
      <c r="I531" s="173">
        <v>21853.086195380012</v>
      </c>
      <c r="J531" s="168">
        <f>IFERROR(MIN('MP Calculations'!$E$30/I531,1),"-")</f>
        <v>0.32927792945511891</v>
      </c>
      <c r="K531" s="12"/>
      <c r="L531" s="159">
        <v>123.93281899999999</v>
      </c>
      <c r="M531" s="187" t="s">
        <v>293</v>
      </c>
      <c r="N531" s="187">
        <v>315.45229399999999</v>
      </c>
      <c r="O531" s="186">
        <f t="shared" si="23"/>
        <v>39094.892055436787</v>
      </c>
      <c r="P531" s="186">
        <f t="shared" si="24"/>
        <v>12873.085108285602</v>
      </c>
      <c r="Q531" s="215">
        <f>IF(P531="-",0,P531/(1+'General inputs'!$H$30)^'MP Calculations'!$C$40)</f>
        <v>28594.842418803702</v>
      </c>
    </row>
    <row r="532" spans="3:17">
      <c r="C532" s="159"/>
      <c r="D532" s="165" t="s">
        <v>284</v>
      </c>
      <c r="E532" s="162">
        <v>28491</v>
      </c>
      <c r="F532" s="166" t="str">
        <f t="shared" si="22"/>
        <v>Date check - OK</v>
      </c>
      <c r="G532" s="68"/>
      <c r="H532" s="162" t="s">
        <v>280</v>
      </c>
      <c r="I532" s="173">
        <v>21853.086195380012</v>
      </c>
      <c r="J532" s="168">
        <f>IFERROR(MIN('MP Calculations'!$E$30/I532,1),"-")</f>
        <v>0.32927792945511891</v>
      </c>
      <c r="K532" s="12"/>
      <c r="L532" s="159">
        <v>1.4394</v>
      </c>
      <c r="M532" s="187" t="s">
        <v>293</v>
      </c>
      <c r="N532" s="187">
        <v>315.45229399999999</v>
      </c>
      <c r="O532" s="186">
        <f t="shared" si="23"/>
        <v>454.06203198359998</v>
      </c>
      <c r="P532" s="186">
        <f t="shared" si="24"/>
        <v>149.51260573574379</v>
      </c>
      <c r="Q532" s="215">
        <f>IF(P532="-",0,P532/(1+'General inputs'!$H$30)^'MP Calculations'!$C$40)</f>
        <v>332.11070731495306</v>
      </c>
    </row>
    <row r="533" spans="3:17">
      <c r="C533" s="159"/>
      <c r="D533" s="165" t="s">
        <v>284</v>
      </c>
      <c r="E533" s="162">
        <v>28491</v>
      </c>
      <c r="F533" s="166" t="str">
        <f t="shared" si="22"/>
        <v>Date check - OK</v>
      </c>
      <c r="G533" s="68"/>
      <c r="H533" s="162" t="s">
        <v>280</v>
      </c>
      <c r="I533" s="173">
        <v>21853.086195380012</v>
      </c>
      <c r="J533" s="168">
        <f>IFERROR(MIN('MP Calculations'!$E$30/I533,1),"-")</f>
        <v>0.32927792945511891</v>
      </c>
      <c r="K533" s="12"/>
      <c r="L533" s="159">
        <v>274.76052099999998</v>
      </c>
      <c r="M533" s="187" t="s">
        <v>293</v>
      </c>
      <c r="N533" s="187">
        <v>315.45229399999999</v>
      </c>
      <c r="O533" s="186">
        <f t="shared" si="23"/>
        <v>86673.83665008517</v>
      </c>
      <c r="P533" s="186">
        <f t="shared" si="24"/>
        <v>28539.781470071244</v>
      </c>
      <c r="Q533" s="215">
        <f>IF(P533="-",0,P533/(1+'General inputs'!$H$30)^'MP Calculations'!$C$40)</f>
        <v>63395.102800844106</v>
      </c>
    </row>
    <row r="534" spans="3:17">
      <c r="C534" s="159"/>
      <c r="D534" s="165" t="s">
        <v>284</v>
      </c>
      <c r="E534" s="162">
        <v>28491</v>
      </c>
      <c r="F534" s="166" t="str">
        <f t="shared" si="22"/>
        <v>Date check - OK</v>
      </c>
      <c r="G534" s="68"/>
      <c r="H534" s="162" t="s">
        <v>280</v>
      </c>
      <c r="I534" s="173">
        <v>21853.086195380012</v>
      </c>
      <c r="J534" s="168">
        <f>IFERROR(MIN('MP Calculations'!$E$30/I534,1),"-")</f>
        <v>0.32927792945511891</v>
      </c>
      <c r="K534" s="12"/>
      <c r="L534" s="159">
        <v>42.982309999999998</v>
      </c>
      <c r="M534" s="187" t="s">
        <v>293</v>
      </c>
      <c r="N534" s="187">
        <v>315.45229399999999</v>
      </c>
      <c r="O534" s="186">
        <f t="shared" si="23"/>
        <v>13558.868290919139</v>
      </c>
      <c r="P534" s="186">
        <f t="shared" si="24"/>
        <v>4464.6360765885211</v>
      </c>
      <c r="Q534" s="215">
        <f>IF(P534="-",0,P534/(1+'General inputs'!$H$30)^'MP Calculations'!$C$40)</f>
        <v>9917.2470307979565</v>
      </c>
    </row>
    <row r="535" spans="3:17">
      <c r="C535" s="159"/>
      <c r="D535" s="165" t="s">
        <v>284</v>
      </c>
      <c r="E535" s="162">
        <v>28491</v>
      </c>
      <c r="F535" s="166" t="str">
        <f t="shared" ref="F535:F598" si="25">IF(E535="","-",IF(OR(E535&lt;$E$15,E535&gt;$E$16),"ERROR - date outside of range","Date check - OK"))</f>
        <v>Date check - OK</v>
      </c>
      <c r="G535" s="68"/>
      <c r="H535" s="162" t="s">
        <v>280</v>
      </c>
      <c r="I535" s="173">
        <v>21853.086195380012</v>
      </c>
      <c r="J535" s="168">
        <f>IFERROR(MIN('MP Calculations'!$E$30/I535,1),"-")</f>
        <v>0.32927792945511891</v>
      </c>
      <c r="K535" s="12"/>
      <c r="L535" s="159">
        <v>82.406908999999999</v>
      </c>
      <c r="M535" s="187" t="s">
        <v>293</v>
      </c>
      <c r="N535" s="187">
        <v>315.45229399999999</v>
      </c>
      <c r="O535" s="186">
        <f t="shared" ref="O535:O598" si="26">IF(N535="","-",L535*N535)</f>
        <v>25995.448485499244</v>
      </c>
      <c r="P535" s="186">
        <f t="shared" ref="P535:P598" si="27">IF(O535="-","-",IF(OR(E535&lt;$E$15,E535&gt;$E$16),0,O535*J535))</f>
        <v>8559.727452562398</v>
      </c>
      <c r="Q535" s="215">
        <f>IF(P535="-",0,P535/(1+'General inputs'!$H$30)^'MP Calculations'!$C$40)</f>
        <v>19013.628481053889</v>
      </c>
    </row>
    <row r="536" spans="3:17">
      <c r="C536" s="159"/>
      <c r="D536" s="165" t="s">
        <v>284</v>
      </c>
      <c r="E536" s="162">
        <v>28491</v>
      </c>
      <c r="F536" s="166" t="str">
        <f t="shared" si="25"/>
        <v>Date check - OK</v>
      </c>
      <c r="G536" s="68"/>
      <c r="H536" s="162" t="s">
        <v>280</v>
      </c>
      <c r="I536" s="173">
        <v>21853.086195380012</v>
      </c>
      <c r="J536" s="168">
        <f>IFERROR(MIN('MP Calculations'!$E$30/I536,1),"-")</f>
        <v>0.32927792945511891</v>
      </c>
      <c r="K536" s="12"/>
      <c r="L536" s="159">
        <v>0.948855</v>
      </c>
      <c r="M536" s="187" t="s">
        <v>293</v>
      </c>
      <c r="N536" s="187">
        <v>315.45229399999999</v>
      </c>
      <c r="O536" s="186">
        <f t="shared" si="26"/>
        <v>299.31848642337002</v>
      </c>
      <c r="P536" s="186">
        <f t="shared" si="27"/>
        <v>98.558971457127399</v>
      </c>
      <c r="Q536" s="215">
        <f>IF(P536="-",0,P536/(1+'General inputs'!$H$30)^'MP Calculations'!$C$40)</f>
        <v>218.92795969801986</v>
      </c>
    </row>
    <row r="537" spans="3:17">
      <c r="C537" s="159"/>
      <c r="D537" s="165" t="s">
        <v>284</v>
      </c>
      <c r="E537" s="162">
        <v>28491</v>
      </c>
      <c r="F537" s="166" t="str">
        <f t="shared" si="25"/>
        <v>Date check - OK</v>
      </c>
      <c r="G537" s="68"/>
      <c r="H537" s="162" t="s">
        <v>280</v>
      </c>
      <c r="I537" s="173">
        <v>21853.086195380012</v>
      </c>
      <c r="J537" s="168">
        <f>IFERROR(MIN('MP Calculations'!$E$30/I537,1),"-")</f>
        <v>0.32927792945511891</v>
      </c>
      <c r="K537" s="12"/>
      <c r="L537" s="159">
        <v>4.3616900000000003</v>
      </c>
      <c r="M537" s="187" t="s">
        <v>293</v>
      </c>
      <c r="N537" s="187">
        <v>315.45229399999999</v>
      </c>
      <c r="O537" s="186">
        <f t="shared" si="26"/>
        <v>1375.9051162168601</v>
      </c>
      <c r="P537" s="186">
        <f t="shared" si="27"/>
        <v>453.05518779459243</v>
      </c>
      <c r="Q537" s="215">
        <f>IF(P537="-",0,P537/(1+'General inputs'!$H$30)^'MP Calculations'!$C$40)</f>
        <v>1006.3665075646503</v>
      </c>
    </row>
    <row r="538" spans="3:17">
      <c r="C538" s="159"/>
      <c r="D538" s="165" t="s">
        <v>291</v>
      </c>
      <c r="E538" s="162">
        <v>28491</v>
      </c>
      <c r="F538" s="166" t="str">
        <f t="shared" si="25"/>
        <v>Date check - OK</v>
      </c>
      <c r="G538" s="68"/>
      <c r="H538" s="162" t="s">
        <v>280</v>
      </c>
      <c r="I538" s="173">
        <v>21853.086195380012</v>
      </c>
      <c r="J538" s="168">
        <f>IFERROR(MIN('MP Calculations'!$E$30/I538,1),"-")</f>
        <v>0.32927792945511891</v>
      </c>
      <c r="K538" s="12"/>
      <c r="L538" s="159">
        <v>68.760468000000003</v>
      </c>
      <c r="M538" s="187" t="s">
        <v>293</v>
      </c>
      <c r="N538" s="187">
        <v>560.03424299999995</v>
      </c>
      <c r="O538" s="186">
        <f t="shared" si="26"/>
        <v>38508.216644705724</v>
      </c>
      <c r="P538" s="186">
        <f t="shared" si="27"/>
        <v>12679.905843777848</v>
      </c>
      <c r="Q538" s="215">
        <f>IF(P538="-",0,P538/(1+'General inputs'!$H$30)^'MP Calculations'!$C$40)</f>
        <v>28165.735442448498</v>
      </c>
    </row>
    <row r="539" spans="3:17">
      <c r="C539" s="159"/>
      <c r="D539" s="165" t="s">
        <v>289</v>
      </c>
      <c r="E539" s="162">
        <v>28491</v>
      </c>
      <c r="F539" s="166" t="str">
        <f t="shared" si="25"/>
        <v>Date check - OK</v>
      </c>
      <c r="G539" s="68"/>
      <c r="H539" s="162" t="s">
        <v>280</v>
      </c>
      <c r="I539" s="173">
        <v>21853.086195380012</v>
      </c>
      <c r="J539" s="168">
        <f>IFERROR(MIN('MP Calculations'!$E$30/I539,1),"-")</f>
        <v>0.32927792945511891</v>
      </c>
      <c r="K539" s="12"/>
      <c r="L539" s="159">
        <v>19.026651999999999</v>
      </c>
      <c r="M539" s="187" t="s">
        <v>293</v>
      </c>
      <c r="N539" s="187">
        <v>421.28581700000001</v>
      </c>
      <c r="O539" s="186">
        <f t="shared" si="26"/>
        <v>8015.6586325946837</v>
      </c>
      <c r="P539" s="186">
        <f t="shared" si="27"/>
        <v>2639.3794777598273</v>
      </c>
      <c r="Q539" s="215">
        <f>IF(P539="-",0,P539/(1+'General inputs'!$H$30)^'MP Calculations'!$C$40)</f>
        <v>5862.8246154754033</v>
      </c>
    </row>
    <row r="540" spans="3:17">
      <c r="C540" s="159"/>
      <c r="D540" s="165" t="s">
        <v>284</v>
      </c>
      <c r="E540" s="162">
        <v>28491</v>
      </c>
      <c r="F540" s="166" t="str">
        <f t="shared" si="25"/>
        <v>Date check - OK</v>
      </c>
      <c r="G540" s="68"/>
      <c r="H540" s="162" t="s">
        <v>280</v>
      </c>
      <c r="I540" s="173">
        <v>21853.086195380012</v>
      </c>
      <c r="J540" s="168">
        <f>IFERROR(MIN('MP Calculations'!$E$30/I540,1),"-")</f>
        <v>0.32927792945511891</v>
      </c>
      <c r="K540" s="12"/>
      <c r="L540" s="159">
        <v>108.405886</v>
      </c>
      <c r="M540" s="187" t="s">
        <v>293</v>
      </c>
      <c r="N540" s="187">
        <v>315.45229399999999</v>
      </c>
      <c r="O540" s="186">
        <f t="shared" si="26"/>
        <v>34196.885421802479</v>
      </c>
      <c r="P540" s="186">
        <f t="shared" si="27"/>
        <v>11260.279625505062</v>
      </c>
      <c r="Q540" s="215">
        <f>IF(P540="-",0,P540/(1+'General inputs'!$H$30)^'MP Calculations'!$C$40)</f>
        <v>25012.335331780021</v>
      </c>
    </row>
    <row r="541" spans="3:17">
      <c r="C541" s="159"/>
      <c r="D541" s="165" t="s">
        <v>282</v>
      </c>
      <c r="E541" s="162">
        <v>28491</v>
      </c>
      <c r="F541" s="166" t="str">
        <f t="shared" si="25"/>
        <v>Date check - OK</v>
      </c>
      <c r="G541" s="68"/>
      <c r="H541" s="162" t="s">
        <v>280</v>
      </c>
      <c r="I541" s="173">
        <v>21853.086195380012</v>
      </c>
      <c r="J541" s="168">
        <f>IFERROR(MIN('MP Calculations'!$E$30/I541,1),"-")</f>
        <v>0.32927792945511891</v>
      </c>
      <c r="K541" s="12"/>
      <c r="L541" s="159">
        <v>7.3020290000000001</v>
      </c>
      <c r="M541" s="187" t="s">
        <v>293</v>
      </c>
      <c r="N541" s="187">
        <v>237.97403299999999</v>
      </c>
      <c r="O541" s="186">
        <f t="shared" si="26"/>
        <v>1737.693290212957</v>
      </c>
      <c r="P541" s="186">
        <f t="shared" si="27"/>
        <v>572.18404862937552</v>
      </c>
      <c r="Q541" s="215">
        <f>IF(P541="-",0,P541/(1+'General inputs'!$H$30)^'MP Calculations'!$C$40)</f>
        <v>1270.9861363830512</v>
      </c>
    </row>
    <row r="542" spans="3:17">
      <c r="C542" s="159"/>
      <c r="D542" s="165" t="s">
        <v>284</v>
      </c>
      <c r="E542" s="162">
        <v>28491</v>
      </c>
      <c r="F542" s="166" t="str">
        <f t="shared" si="25"/>
        <v>Date check - OK</v>
      </c>
      <c r="G542" s="68"/>
      <c r="H542" s="162" t="s">
        <v>280</v>
      </c>
      <c r="I542" s="173">
        <v>21853.086195380012</v>
      </c>
      <c r="J542" s="168">
        <f>IFERROR(MIN('MP Calculations'!$E$30/I542,1),"-")</f>
        <v>0.32927792945511891</v>
      </c>
      <c r="K542" s="12"/>
      <c r="L542" s="159">
        <v>43.983466999999997</v>
      </c>
      <c r="M542" s="187" t="s">
        <v>293</v>
      </c>
      <c r="N542" s="187">
        <v>315.45229399999999</v>
      </c>
      <c r="O542" s="186">
        <f t="shared" si="26"/>
        <v>13874.685563223296</v>
      </c>
      <c r="P542" s="186">
        <f t="shared" si="27"/>
        <v>4568.6277340989973</v>
      </c>
      <c r="Q542" s="215">
        <f>IF(P542="-",0,P542/(1+'General inputs'!$H$30)^'MP Calculations'!$C$40)</f>
        <v>10148.242556296995</v>
      </c>
    </row>
    <row r="543" spans="3:17">
      <c r="C543" s="159"/>
      <c r="D543" s="165" t="s">
        <v>284</v>
      </c>
      <c r="E543" s="162">
        <v>28491</v>
      </c>
      <c r="F543" s="166" t="str">
        <f t="shared" si="25"/>
        <v>Date check - OK</v>
      </c>
      <c r="G543" s="68"/>
      <c r="H543" s="162" t="s">
        <v>280</v>
      </c>
      <c r="I543" s="173">
        <v>21853.086195380012</v>
      </c>
      <c r="J543" s="168">
        <f>IFERROR(MIN('MP Calculations'!$E$30/I543,1),"-")</f>
        <v>0.32927792945511891</v>
      </c>
      <c r="K543" s="12"/>
      <c r="L543" s="159">
        <v>0.88906099999999999</v>
      </c>
      <c r="M543" s="187" t="s">
        <v>293</v>
      </c>
      <c r="N543" s="187">
        <v>315.45229399999999</v>
      </c>
      <c r="O543" s="186">
        <f t="shared" si="26"/>
        <v>280.45633195593399</v>
      </c>
      <c r="P543" s="186">
        <f t="shared" si="27"/>
        <v>92.34808028902745</v>
      </c>
      <c r="Q543" s="215">
        <f>IF(P543="-",0,P543/(1+'General inputs'!$H$30)^'MP Calculations'!$C$40)</f>
        <v>205.13177543152668</v>
      </c>
    </row>
    <row r="544" spans="3:17">
      <c r="C544" s="159"/>
      <c r="D544" s="165" t="s">
        <v>284</v>
      </c>
      <c r="E544" s="162">
        <v>28491</v>
      </c>
      <c r="F544" s="166" t="str">
        <f t="shared" si="25"/>
        <v>Date check - OK</v>
      </c>
      <c r="G544" s="68"/>
      <c r="H544" s="162" t="s">
        <v>280</v>
      </c>
      <c r="I544" s="173">
        <v>21853.086195380012</v>
      </c>
      <c r="J544" s="168">
        <f>IFERROR(MIN('MP Calculations'!$E$30/I544,1),"-")</f>
        <v>0.32927792945511891</v>
      </c>
      <c r="K544" s="12"/>
      <c r="L544" s="159">
        <v>143.938604</v>
      </c>
      <c r="M544" s="187" t="s">
        <v>293</v>
      </c>
      <c r="N544" s="187">
        <v>315.45229399999999</v>
      </c>
      <c r="O544" s="186">
        <f t="shared" si="26"/>
        <v>45405.762826957573</v>
      </c>
      <c r="P544" s="186">
        <f t="shared" si="27"/>
        <v>14951.115568990796</v>
      </c>
      <c r="Q544" s="215">
        <f>IF(P544="-",0,P544/(1+'General inputs'!$H$30)^'MP Calculations'!$C$40)</f>
        <v>33210.748634408032</v>
      </c>
    </row>
    <row r="545" spans="3:17">
      <c r="C545" s="159"/>
      <c r="D545" s="165" t="s">
        <v>284</v>
      </c>
      <c r="E545" s="162">
        <v>28491</v>
      </c>
      <c r="F545" s="166" t="str">
        <f t="shared" si="25"/>
        <v>Date check - OK</v>
      </c>
      <c r="G545" s="68"/>
      <c r="H545" s="162" t="s">
        <v>280</v>
      </c>
      <c r="I545" s="173">
        <v>21853.086195380012</v>
      </c>
      <c r="J545" s="168">
        <f>IFERROR(MIN('MP Calculations'!$E$30/I545,1),"-")</f>
        <v>0.32927792945511891</v>
      </c>
      <c r="K545" s="12"/>
      <c r="L545" s="159">
        <v>77.840986999999998</v>
      </c>
      <c r="M545" s="187" t="s">
        <v>293</v>
      </c>
      <c r="N545" s="187">
        <v>315.45229399999999</v>
      </c>
      <c r="O545" s="186">
        <f t="shared" si="26"/>
        <v>24555.117916374176</v>
      </c>
      <c r="P545" s="186">
        <f t="shared" si="27"/>
        <v>8085.4583850299823</v>
      </c>
      <c r="Q545" s="215">
        <f>IF(P545="-",0,P545/(1+'General inputs'!$H$30)^'MP Calculations'!$C$40)</f>
        <v>17960.139815662125</v>
      </c>
    </row>
    <row r="546" spans="3:17">
      <c r="C546" s="159"/>
      <c r="D546" s="165" t="s">
        <v>284</v>
      </c>
      <c r="E546" s="162">
        <v>28491</v>
      </c>
      <c r="F546" s="166" t="str">
        <f t="shared" si="25"/>
        <v>Date check - OK</v>
      </c>
      <c r="G546" s="68"/>
      <c r="H546" s="162" t="s">
        <v>280</v>
      </c>
      <c r="I546" s="173">
        <v>21853.086195380012</v>
      </c>
      <c r="J546" s="168">
        <f>IFERROR(MIN('MP Calculations'!$E$30/I546,1),"-")</f>
        <v>0.32927792945511891</v>
      </c>
      <c r="K546" s="12"/>
      <c r="L546" s="159">
        <v>73.569242000000003</v>
      </c>
      <c r="M546" s="187" t="s">
        <v>293</v>
      </c>
      <c r="N546" s="187">
        <v>315.45229399999999</v>
      </c>
      <c r="O546" s="186">
        <f t="shared" si="26"/>
        <v>23207.586156741148</v>
      </c>
      <c r="P546" s="186">
        <f t="shared" si="27"/>
        <v>7641.7459173430061</v>
      </c>
      <c r="Q546" s="215">
        <f>IF(P546="-",0,P546/(1+'General inputs'!$H$30)^'MP Calculations'!$C$40)</f>
        <v>16974.526189554643</v>
      </c>
    </row>
    <row r="547" spans="3:17">
      <c r="C547" s="159"/>
      <c r="D547" s="165" t="s">
        <v>284</v>
      </c>
      <c r="E547" s="162">
        <v>28491</v>
      </c>
      <c r="F547" s="166" t="str">
        <f t="shared" si="25"/>
        <v>Date check - OK</v>
      </c>
      <c r="G547" s="68"/>
      <c r="H547" s="162" t="s">
        <v>280</v>
      </c>
      <c r="I547" s="173">
        <v>21853.086195380012</v>
      </c>
      <c r="J547" s="168">
        <f>IFERROR(MIN('MP Calculations'!$E$30/I547,1),"-")</f>
        <v>0.32927792945511891</v>
      </c>
      <c r="K547" s="12"/>
      <c r="L547" s="159">
        <v>0.99939999999999996</v>
      </c>
      <c r="M547" s="187" t="s">
        <v>293</v>
      </c>
      <c r="N547" s="187">
        <v>315.45229399999999</v>
      </c>
      <c r="O547" s="186">
        <f t="shared" si="26"/>
        <v>315.26302262359997</v>
      </c>
      <c r="P547" s="186">
        <f t="shared" si="27"/>
        <v>103.80915532326131</v>
      </c>
      <c r="Q547" s="215">
        <f>IF(P547="-",0,P547/(1+'General inputs'!$H$30)^'MP Calculations'!$C$40)</f>
        <v>230.59013539708494</v>
      </c>
    </row>
    <row r="548" spans="3:17">
      <c r="C548" s="159"/>
      <c r="D548" s="165" t="s">
        <v>284</v>
      </c>
      <c r="E548" s="162">
        <v>28491</v>
      </c>
      <c r="F548" s="166" t="str">
        <f t="shared" si="25"/>
        <v>Date check - OK</v>
      </c>
      <c r="G548" s="68"/>
      <c r="H548" s="162" t="s">
        <v>280</v>
      </c>
      <c r="I548" s="173">
        <v>21853.086195380012</v>
      </c>
      <c r="J548" s="168">
        <f>IFERROR(MIN('MP Calculations'!$E$30/I548,1),"-")</f>
        <v>0.32927792945511891</v>
      </c>
      <c r="K548" s="12"/>
      <c r="L548" s="159">
        <v>5.9977720000000003</v>
      </c>
      <c r="M548" s="187" t="s">
        <v>293</v>
      </c>
      <c r="N548" s="187">
        <v>315.45229399999999</v>
      </c>
      <c r="O548" s="186">
        <f t="shared" si="26"/>
        <v>1892.010936288968</v>
      </c>
      <c r="P548" s="186">
        <f t="shared" si="27"/>
        <v>622.99744360767227</v>
      </c>
      <c r="Q548" s="215">
        <f>IF(P548="-",0,P548/(1+'General inputs'!$H$30)^'MP Calculations'!$C$40)</f>
        <v>1383.8573719840354</v>
      </c>
    </row>
    <row r="549" spans="3:17">
      <c r="C549" s="159"/>
      <c r="D549" s="165" t="s">
        <v>284</v>
      </c>
      <c r="E549" s="162">
        <v>28491</v>
      </c>
      <c r="F549" s="166" t="str">
        <f t="shared" si="25"/>
        <v>Date check - OK</v>
      </c>
      <c r="G549" s="68"/>
      <c r="H549" s="162" t="s">
        <v>280</v>
      </c>
      <c r="I549" s="173">
        <v>21853.086195380012</v>
      </c>
      <c r="J549" s="168">
        <f>IFERROR(MIN('MP Calculations'!$E$30/I549,1),"-")</f>
        <v>0.32927792945511891</v>
      </c>
      <c r="K549" s="12"/>
      <c r="L549" s="159">
        <v>23.771614</v>
      </c>
      <c r="M549" s="187" t="s">
        <v>293</v>
      </c>
      <c r="N549" s="187">
        <v>315.45229399999999</v>
      </c>
      <c r="O549" s="186">
        <f t="shared" si="26"/>
        <v>7498.8101683825162</v>
      </c>
      <c r="P549" s="186">
        <f t="shared" si="27"/>
        <v>2469.1926856219866</v>
      </c>
      <c r="Q549" s="215">
        <f>IF(P549="-",0,P549/(1+'General inputs'!$H$30)^'MP Calculations'!$C$40)</f>
        <v>5484.7905652063646</v>
      </c>
    </row>
    <row r="550" spans="3:17">
      <c r="C550" s="159"/>
      <c r="D550" s="165" t="s">
        <v>284</v>
      </c>
      <c r="E550" s="162">
        <v>28491</v>
      </c>
      <c r="F550" s="166" t="str">
        <f t="shared" si="25"/>
        <v>Date check - OK</v>
      </c>
      <c r="G550" s="68"/>
      <c r="H550" s="162" t="s">
        <v>280</v>
      </c>
      <c r="I550" s="173">
        <v>21853.086195380012</v>
      </c>
      <c r="J550" s="168">
        <f>IFERROR(MIN('MP Calculations'!$E$30/I550,1),"-")</f>
        <v>0.32927792945511891</v>
      </c>
      <c r="K550" s="12"/>
      <c r="L550" s="159">
        <v>8.1168890000000005</v>
      </c>
      <c r="M550" s="187" t="s">
        <v>293</v>
      </c>
      <c r="N550" s="187">
        <v>315.45229399999999</v>
      </c>
      <c r="O550" s="186">
        <f t="shared" si="26"/>
        <v>2560.4912551933662</v>
      </c>
      <c r="P550" s="186">
        <f t="shared" si="27"/>
        <v>843.11325889801014</v>
      </c>
      <c r="Q550" s="215">
        <f>IF(P550="-",0,P550/(1+'General inputs'!$H$30)^'MP Calculations'!$C$40)</f>
        <v>1872.7982124405739</v>
      </c>
    </row>
    <row r="551" spans="3:17">
      <c r="C551" s="159"/>
      <c r="D551" s="165" t="s">
        <v>290</v>
      </c>
      <c r="E551" s="162">
        <v>28491</v>
      </c>
      <c r="F551" s="166" t="str">
        <f t="shared" si="25"/>
        <v>Date check - OK</v>
      </c>
      <c r="G551" s="68"/>
      <c r="H551" s="162" t="s">
        <v>280</v>
      </c>
      <c r="I551" s="173">
        <v>21853.086195380012</v>
      </c>
      <c r="J551" s="168">
        <f>IFERROR(MIN('MP Calculations'!$E$30/I551,1),"-")</f>
        <v>0.32927792945511891</v>
      </c>
      <c r="K551" s="12"/>
      <c r="L551" s="159">
        <v>0.57916100000000004</v>
      </c>
      <c r="M551" s="187" t="s">
        <v>293</v>
      </c>
      <c r="N551" s="187">
        <v>707.97319300000004</v>
      </c>
      <c r="O551" s="186">
        <f t="shared" si="26"/>
        <v>410.03046243107303</v>
      </c>
      <c r="P551" s="186">
        <f t="shared" si="27"/>
        <v>135.01398168282864</v>
      </c>
      <c r="Q551" s="215">
        <f>IF(P551="-",0,P551/(1+'General inputs'!$H$30)^'MP Calculations'!$C$40)</f>
        <v>299.90507311031763</v>
      </c>
    </row>
    <row r="552" spans="3:17">
      <c r="C552" s="159"/>
      <c r="D552" s="165" t="s">
        <v>291</v>
      </c>
      <c r="E552" s="162">
        <v>28491</v>
      </c>
      <c r="F552" s="166" t="str">
        <f t="shared" si="25"/>
        <v>Date check - OK</v>
      </c>
      <c r="G552" s="68"/>
      <c r="H552" s="162" t="s">
        <v>280</v>
      </c>
      <c r="I552" s="173">
        <v>21853.086195380012</v>
      </c>
      <c r="J552" s="168">
        <f>IFERROR(MIN('MP Calculations'!$E$30/I552,1),"-")</f>
        <v>0.32927792945511891</v>
      </c>
      <c r="K552" s="12"/>
      <c r="L552" s="159">
        <v>94.423648</v>
      </c>
      <c r="M552" s="187" t="s">
        <v>293</v>
      </c>
      <c r="N552" s="187">
        <v>560.03424299999995</v>
      </c>
      <c r="O552" s="186">
        <f t="shared" si="26"/>
        <v>52880.476228978456</v>
      </c>
      <c r="P552" s="186">
        <f t="shared" si="27"/>
        <v>17412.373721278662</v>
      </c>
      <c r="Q552" s="215">
        <f>IF(P552="-",0,P552/(1+'General inputs'!$H$30)^'MP Calculations'!$C$40)</f>
        <v>38677.91430795499</v>
      </c>
    </row>
    <row r="553" spans="3:17">
      <c r="C553" s="159"/>
      <c r="D553" s="165" t="s">
        <v>282</v>
      </c>
      <c r="E553" s="162">
        <v>28491</v>
      </c>
      <c r="F553" s="166" t="str">
        <f t="shared" si="25"/>
        <v>Date check - OK</v>
      </c>
      <c r="G553" s="68"/>
      <c r="H553" s="162" t="s">
        <v>280</v>
      </c>
      <c r="I553" s="173">
        <v>21853.086195380012</v>
      </c>
      <c r="J553" s="168">
        <f>IFERROR(MIN('MP Calculations'!$E$30/I553,1),"-")</f>
        <v>0.32927792945511891</v>
      </c>
      <c r="K553" s="12"/>
      <c r="L553" s="159">
        <v>1.2001710000000001</v>
      </c>
      <c r="M553" s="187" t="s">
        <v>293</v>
      </c>
      <c r="N553" s="187">
        <v>237.97403299999999</v>
      </c>
      <c r="O553" s="186">
        <f t="shared" si="26"/>
        <v>285.60953315964304</v>
      </c>
      <c r="P553" s="186">
        <f t="shared" si="27"/>
        <v>94.044915711450386</v>
      </c>
      <c r="Q553" s="215">
        <f>IF(P553="-",0,P553/(1+'General inputs'!$H$30)^'MP Calculations'!$C$40)</f>
        <v>208.90093729961671</v>
      </c>
    </row>
    <row r="554" spans="3:17">
      <c r="C554" s="159"/>
      <c r="D554" s="165" t="s">
        <v>284</v>
      </c>
      <c r="E554" s="162">
        <v>28491</v>
      </c>
      <c r="F554" s="166" t="str">
        <f t="shared" si="25"/>
        <v>Date check - OK</v>
      </c>
      <c r="G554" s="68"/>
      <c r="H554" s="162" t="s">
        <v>280</v>
      </c>
      <c r="I554" s="173">
        <v>21853.086195380012</v>
      </c>
      <c r="J554" s="168">
        <f>IFERROR(MIN('MP Calculations'!$E$30/I554,1),"-")</f>
        <v>0.32927792945511891</v>
      </c>
      <c r="K554" s="12"/>
      <c r="L554" s="159">
        <v>2.3179419999999999</v>
      </c>
      <c r="M554" s="187" t="s">
        <v>293</v>
      </c>
      <c r="N554" s="187">
        <v>315.45229399999999</v>
      </c>
      <c r="O554" s="186">
        <f t="shared" si="26"/>
        <v>731.200121258948</v>
      </c>
      <c r="P554" s="186">
        <f t="shared" si="27"/>
        <v>240.76806194547828</v>
      </c>
      <c r="Q554" s="215">
        <f>IF(P554="-",0,P554/(1+'General inputs'!$H$30)^'MP Calculations'!$C$40)</f>
        <v>534.81544889192503</v>
      </c>
    </row>
    <row r="555" spans="3:17">
      <c r="C555" s="159"/>
      <c r="D555" s="165" t="s">
        <v>291</v>
      </c>
      <c r="E555" s="162">
        <v>28491</v>
      </c>
      <c r="F555" s="166" t="str">
        <f t="shared" si="25"/>
        <v>Date check - OK</v>
      </c>
      <c r="G555" s="68"/>
      <c r="H555" s="162" t="s">
        <v>280</v>
      </c>
      <c r="I555" s="173">
        <v>21853.086195380012</v>
      </c>
      <c r="J555" s="168">
        <f>IFERROR(MIN('MP Calculations'!$E$30/I555,1),"-")</f>
        <v>0.32927792945511891</v>
      </c>
      <c r="K555" s="12"/>
      <c r="L555" s="159">
        <v>74.590120999999996</v>
      </c>
      <c r="M555" s="187" t="s">
        <v>293</v>
      </c>
      <c r="N555" s="187">
        <v>560.03424299999995</v>
      </c>
      <c r="O555" s="186">
        <f t="shared" si="26"/>
        <v>41773.021949513401</v>
      </c>
      <c r="P555" s="186">
        <f t="shared" si="27"/>
        <v>13754.934174619008</v>
      </c>
      <c r="Q555" s="215">
        <f>IF(P555="-",0,P555/(1+'General inputs'!$H$30)^'MP Calculations'!$C$40)</f>
        <v>30553.684054422403</v>
      </c>
    </row>
    <row r="556" spans="3:17">
      <c r="C556" s="159"/>
      <c r="D556" s="165" t="s">
        <v>284</v>
      </c>
      <c r="E556" s="162">
        <v>28491</v>
      </c>
      <c r="F556" s="166" t="str">
        <f t="shared" si="25"/>
        <v>Date check - OK</v>
      </c>
      <c r="G556" s="68"/>
      <c r="H556" s="162" t="s">
        <v>280</v>
      </c>
      <c r="I556" s="173">
        <v>21853.086195380012</v>
      </c>
      <c r="J556" s="168">
        <f>IFERROR(MIN('MP Calculations'!$E$30/I556,1),"-")</f>
        <v>0.32927792945511891</v>
      </c>
      <c r="K556" s="12"/>
      <c r="L556" s="159">
        <v>1.0416920000000001</v>
      </c>
      <c r="M556" s="187" t="s">
        <v>293</v>
      </c>
      <c r="N556" s="187">
        <v>315.45229399999999</v>
      </c>
      <c r="O556" s="186">
        <f t="shared" si="26"/>
        <v>328.604131041448</v>
      </c>
      <c r="P556" s="186">
        <f t="shared" si="27"/>
        <v>108.20208787972656</v>
      </c>
      <c r="Q556" s="215">
        <f>IF(P556="-",0,P556/(1+'General inputs'!$H$30)^'MP Calculations'!$C$40)</f>
        <v>240.34810818697238</v>
      </c>
    </row>
    <row r="557" spans="3:17">
      <c r="C557" s="159"/>
      <c r="D557" s="165" t="s">
        <v>284</v>
      </c>
      <c r="E557" s="162">
        <v>28491</v>
      </c>
      <c r="F557" s="166" t="str">
        <f t="shared" si="25"/>
        <v>Date check - OK</v>
      </c>
      <c r="G557" s="68"/>
      <c r="H557" s="162" t="s">
        <v>280</v>
      </c>
      <c r="I557" s="173">
        <v>21853.086195380012</v>
      </c>
      <c r="J557" s="168">
        <f>IFERROR(MIN('MP Calculations'!$E$30/I557,1),"-")</f>
        <v>0.32927792945511891</v>
      </c>
      <c r="K557" s="12"/>
      <c r="L557" s="159">
        <v>1.2638830000000001</v>
      </c>
      <c r="M557" s="187" t="s">
        <v>293</v>
      </c>
      <c r="N557" s="187">
        <v>315.45229399999999</v>
      </c>
      <c r="O557" s="186">
        <f t="shared" si="26"/>
        <v>398.694791697602</v>
      </c>
      <c r="P557" s="186">
        <f t="shared" si="27"/>
        <v>131.28139549472633</v>
      </c>
      <c r="Q557" s="215">
        <f>IF(P557="-",0,P557/(1+'General inputs'!$H$30)^'MP Calculations'!$C$40)</f>
        <v>291.61392044834292</v>
      </c>
    </row>
    <row r="558" spans="3:17">
      <c r="C558" s="159"/>
      <c r="D558" s="165" t="s">
        <v>291</v>
      </c>
      <c r="E558" s="162">
        <v>28491</v>
      </c>
      <c r="F558" s="166" t="str">
        <f t="shared" si="25"/>
        <v>Date check - OK</v>
      </c>
      <c r="G558" s="68"/>
      <c r="H558" s="162" t="s">
        <v>280</v>
      </c>
      <c r="I558" s="173">
        <v>21853.086195380012</v>
      </c>
      <c r="J558" s="168">
        <f>IFERROR(MIN('MP Calculations'!$E$30/I558,1),"-")</f>
        <v>0.32927792945511891</v>
      </c>
      <c r="K558" s="12"/>
      <c r="L558" s="159">
        <v>7.2662240000000002</v>
      </c>
      <c r="M558" s="187" t="s">
        <v>293</v>
      </c>
      <c r="N558" s="187">
        <v>560.03424299999995</v>
      </c>
      <c r="O558" s="186">
        <f t="shared" si="26"/>
        <v>4069.3342573084319</v>
      </c>
      <c r="P558" s="186">
        <f t="shared" si="27"/>
        <v>1339.9419585073047</v>
      </c>
      <c r="Q558" s="215">
        <f>IF(P558="-",0,P558/(1+'General inputs'!$H$30)^'MP Calculations'!$C$40)</f>
        <v>2976.3983405344175</v>
      </c>
    </row>
    <row r="559" spans="3:17">
      <c r="C559" s="159"/>
      <c r="D559" s="165" t="s">
        <v>284</v>
      </c>
      <c r="E559" s="162">
        <v>28491</v>
      </c>
      <c r="F559" s="166" t="str">
        <f t="shared" si="25"/>
        <v>Date check - OK</v>
      </c>
      <c r="G559" s="68"/>
      <c r="H559" s="162" t="s">
        <v>280</v>
      </c>
      <c r="I559" s="173">
        <v>21853.086195380012</v>
      </c>
      <c r="J559" s="168">
        <f>IFERROR(MIN('MP Calculations'!$E$30/I559,1),"-")</f>
        <v>0.32927792945511891</v>
      </c>
      <c r="K559" s="12"/>
      <c r="L559" s="159">
        <v>11.695842000000001</v>
      </c>
      <c r="M559" s="187" t="s">
        <v>293</v>
      </c>
      <c r="N559" s="187">
        <v>315.45229399999999</v>
      </c>
      <c r="O559" s="186">
        <f t="shared" si="26"/>
        <v>3689.480189161548</v>
      </c>
      <c r="P559" s="186">
        <f t="shared" si="27"/>
        <v>1214.8643974527949</v>
      </c>
      <c r="Q559" s="215">
        <f>IF(P559="-",0,P559/(1+'General inputs'!$H$30)^'MP Calculations'!$C$40)</f>
        <v>2698.5649293205051</v>
      </c>
    </row>
    <row r="560" spans="3:17">
      <c r="C560" s="159"/>
      <c r="D560" s="165" t="s">
        <v>284</v>
      </c>
      <c r="E560" s="162">
        <v>28491</v>
      </c>
      <c r="F560" s="166" t="str">
        <f t="shared" si="25"/>
        <v>Date check - OK</v>
      </c>
      <c r="G560" s="68"/>
      <c r="H560" s="162" t="s">
        <v>280</v>
      </c>
      <c r="I560" s="173">
        <v>21853.086195380012</v>
      </c>
      <c r="J560" s="168">
        <f>IFERROR(MIN('MP Calculations'!$E$30/I560,1),"-")</f>
        <v>0.32927792945511891</v>
      </c>
      <c r="K560" s="12"/>
      <c r="L560" s="159">
        <v>0.90574900000000003</v>
      </c>
      <c r="M560" s="187" t="s">
        <v>293</v>
      </c>
      <c r="N560" s="187">
        <v>315.45229399999999</v>
      </c>
      <c r="O560" s="186">
        <f t="shared" si="26"/>
        <v>285.720599838206</v>
      </c>
      <c r="P560" s="186">
        <f t="shared" si="27"/>
        <v>94.081487517399054</v>
      </c>
      <c r="Q560" s="215">
        <f>IF(P560="-",0,P560/(1+'General inputs'!$H$30)^'MP Calculations'!$C$40)</f>
        <v>208.98217385008434</v>
      </c>
    </row>
    <row r="561" spans="3:17">
      <c r="C561" s="159"/>
      <c r="D561" s="165" t="s">
        <v>290</v>
      </c>
      <c r="E561" s="162">
        <v>28491</v>
      </c>
      <c r="F561" s="166" t="str">
        <f t="shared" si="25"/>
        <v>Date check - OK</v>
      </c>
      <c r="G561" s="68"/>
      <c r="H561" s="162" t="s">
        <v>280</v>
      </c>
      <c r="I561" s="173">
        <v>21853.086195380012</v>
      </c>
      <c r="J561" s="168">
        <f>IFERROR(MIN('MP Calculations'!$E$30/I561,1),"-")</f>
        <v>0.32927792945511891</v>
      </c>
      <c r="K561" s="12"/>
      <c r="L561" s="159">
        <v>1.0566899999999999</v>
      </c>
      <c r="M561" s="187" t="s">
        <v>293</v>
      </c>
      <c r="N561" s="187">
        <v>707.97319300000004</v>
      </c>
      <c r="O561" s="186">
        <f t="shared" si="26"/>
        <v>748.10819331117</v>
      </c>
      <c r="P561" s="186">
        <f t="shared" si="27"/>
        <v>246.33551690191189</v>
      </c>
      <c r="Q561" s="215">
        <f>IF(P561="-",0,P561/(1+'General inputs'!$H$30)^'MP Calculations'!$C$40)</f>
        <v>547.18237537565813</v>
      </c>
    </row>
    <row r="562" spans="3:17">
      <c r="C562" s="159"/>
      <c r="D562" s="165" t="s">
        <v>282</v>
      </c>
      <c r="E562" s="162">
        <v>28491</v>
      </c>
      <c r="F562" s="166" t="str">
        <f t="shared" si="25"/>
        <v>Date check - OK</v>
      </c>
      <c r="G562" s="68"/>
      <c r="H562" s="162" t="s">
        <v>280</v>
      </c>
      <c r="I562" s="173">
        <v>21853.086195380012</v>
      </c>
      <c r="J562" s="168">
        <f>IFERROR(MIN('MP Calculations'!$E$30/I562,1),"-")</f>
        <v>0.32927792945511891</v>
      </c>
      <c r="K562" s="12"/>
      <c r="L562" s="159">
        <v>1.1582969999999999</v>
      </c>
      <c r="M562" s="187" t="s">
        <v>293</v>
      </c>
      <c r="N562" s="187">
        <v>237.97403299999999</v>
      </c>
      <c r="O562" s="186">
        <f t="shared" si="26"/>
        <v>275.64460850180097</v>
      </c>
      <c r="P562" s="186">
        <f t="shared" si="27"/>
        <v>90.763685952939895</v>
      </c>
      <c r="Q562" s="215">
        <f>IF(P562="-",0,P562/(1+'General inputs'!$H$30)^'MP Calculations'!$C$40)</f>
        <v>201.61237771228775</v>
      </c>
    </row>
    <row r="563" spans="3:17">
      <c r="C563" s="159"/>
      <c r="D563" s="165" t="s">
        <v>284</v>
      </c>
      <c r="E563" s="162">
        <v>28491</v>
      </c>
      <c r="F563" s="166" t="str">
        <f t="shared" si="25"/>
        <v>Date check - OK</v>
      </c>
      <c r="G563" s="68"/>
      <c r="H563" s="162" t="s">
        <v>280</v>
      </c>
      <c r="I563" s="173">
        <v>21853.086195380012</v>
      </c>
      <c r="J563" s="168">
        <f>IFERROR(MIN('MP Calculations'!$E$30/I563,1),"-")</f>
        <v>0.32927792945511891</v>
      </c>
      <c r="K563" s="12"/>
      <c r="L563" s="159">
        <v>4.1169840000000004</v>
      </c>
      <c r="M563" s="187" t="s">
        <v>293</v>
      </c>
      <c r="N563" s="187">
        <v>315.45229399999999</v>
      </c>
      <c r="O563" s="186">
        <f t="shared" si="26"/>
        <v>1298.7120471612961</v>
      </c>
      <c r="P563" s="186">
        <f t="shared" si="27"/>
        <v>427.63721384769036</v>
      </c>
      <c r="Q563" s="215">
        <f>IF(P563="-",0,P563/(1+'General inputs'!$H$30)^'MP Calculations'!$C$40)</f>
        <v>949.90584149252811</v>
      </c>
    </row>
    <row r="564" spans="3:17">
      <c r="C564" s="159"/>
      <c r="D564" s="165" t="s">
        <v>284</v>
      </c>
      <c r="E564" s="162">
        <v>28491</v>
      </c>
      <c r="F564" s="166" t="str">
        <f t="shared" si="25"/>
        <v>Date check - OK</v>
      </c>
      <c r="G564" s="68"/>
      <c r="H564" s="162" t="s">
        <v>280</v>
      </c>
      <c r="I564" s="173">
        <v>21853.086195380012</v>
      </c>
      <c r="J564" s="168">
        <f>IFERROR(MIN('MP Calculations'!$E$30/I564,1),"-")</f>
        <v>0.32927792945511891</v>
      </c>
      <c r="K564" s="12"/>
      <c r="L564" s="159">
        <v>1.6739109999999999</v>
      </c>
      <c r="M564" s="187" t="s">
        <v>293</v>
      </c>
      <c r="N564" s="187">
        <v>315.45229399999999</v>
      </c>
      <c r="O564" s="186">
        <f t="shared" si="26"/>
        <v>528.03906490183397</v>
      </c>
      <c r="P564" s="186">
        <f t="shared" si="27"/>
        <v>173.87160996229304</v>
      </c>
      <c r="Q564" s="215">
        <f>IF(P564="-",0,P564/(1+'General inputs'!$H$30)^'MP Calculations'!$C$40)</f>
        <v>386.21909559002387</v>
      </c>
    </row>
    <row r="565" spans="3:17">
      <c r="C565" s="159"/>
      <c r="D565" s="165" t="s">
        <v>284</v>
      </c>
      <c r="E565" s="162">
        <v>28491</v>
      </c>
      <c r="F565" s="166" t="str">
        <f t="shared" si="25"/>
        <v>Date check - OK</v>
      </c>
      <c r="G565" s="68"/>
      <c r="H565" s="162" t="s">
        <v>280</v>
      </c>
      <c r="I565" s="173">
        <v>21853.086195380012</v>
      </c>
      <c r="J565" s="168">
        <f>IFERROR(MIN('MP Calculations'!$E$30/I565,1),"-")</f>
        <v>0.32927792945511891</v>
      </c>
      <c r="K565" s="12"/>
      <c r="L565" s="159">
        <v>0.99880100000000005</v>
      </c>
      <c r="M565" s="187" t="s">
        <v>293</v>
      </c>
      <c r="N565" s="187">
        <v>315.45229399999999</v>
      </c>
      <c r="O565" s="186">
        <f t="shared" si="26"/>
        <v>315.07406669949398</v>
      </c>
      <c r="P565" s="186">
        <f t="shared" si="27"/>
        <v>103.74693630781341</v>
      </c>
      <c r="Q565" s="215">
        <f>IF(P565="-",0,P565/(1+'General inputs'!$H$30)^'MP Calculations'!$C$40)</f>
        <v>230.45192898213313</v>
      </c>
    </row>
    <row r="566" spans="3:17">
      <c r="C566" s="159"/>
      <c r="D566" s="165" t="s">
        <v>282</v>
      </c>
      <c r="E566" s="162">
        <v>28491</v>
      </c>
      <c r="F566" s="166" t="str">
        <f t="shared" si="25"/>
        <v>Date check - OK</v>
      </c>
      <c r="G566" s="68"/>
      <c r="H566" s="162" t="s">
        <v>280</v>
      </c>
      <c r="I566" s="173">
        <v>21853.086195380012</v>
      </c>
      <c r="J566" s="168">
        <f>IFERROR(MIN('MP Calculations'!$E$30/I566,1),"-")</f>
        <v>0.32927792945511891</v>
      </c>
      <c r="K566" s="12"/>
      <c r="L566" s="159">
        <v>1.3367849999999999</v>
      </c>
      <c r="M566" s="187" t="s">
        <v>293</v>
      </c>
      <c r="N566" s="187">
        <v>237.97403299999999</v>
      </c>
      <c r="O566" s="186">
        <f t="shared" si="26"/>
        <v>318.12011770390495</v>
      </c>
      <c r="P566" s="186">
        <f t="shared" si="27"/>
        <v>104.74993367556054</v>
      </c>
      <c r="Q566" s="215">
        <f>IF(P566="-",0,P566/(1+'General inputs'!$H$30)^'MP Calculations'!$C$40)</f>
        <v>232.67987600772562</v>
      </c>
    </row>
    <row r="567" spans="3:17">
      <c r="C567" s="159"/>
      <c r="D567" s="165" t="s">
        <v>282</v>
      </c>
      <c r="E567" s="162">
        <v>28491</v>
      </c>
      <c r="F567" s="166" t="str">
        <f t="shared" si="25"/>
        <v>Date check - OK</v>
      </c>
      <c r="G567" s="68"/>
      <c r="H567" s="162" t="s">
        <v>280</v>
      </c>
      <c r="I567" s="173">
        <v>21853.086195380012</v>
      </c>
      <c r="J567" s="168">
        <f>IFERROR(MIN('MP Calculations'!$E$30/I567,1),"-")</f>
        <v>0.32927792945511891</v>
      </c>
      <c r="K567" s="12"/>
      <c r="L567" s="159">
        <v>0.39521600000000001</v>
      </c>
      <c r="M567" s="187" t="s">
        <v>293</v>
      </c>
      <c r="N567" s="187">
        <v>237.97403299999999</v>
      </c>
      <c r="O567" s="186">
        <f t="shared" si="26"/>
        <v>94.051145426128002</v>
      </c>
      <c r="P567" s="186">
        <f t="shared" si="27"/>
        <v>30.968966428797707</v>
      </c>
      <c r="Q567" s="215">
        <f>IF(P567="-",0,P567/(1+'General inputs'!$H$30)^'MP Calculations'!$C$40)</f>
        <v>68.791024642159584</v>
      </c>
    </row>
    <row r="568" spans="3:17">
      <c r="C568" s="159"/>
      <c r="D568" s="165" t="s">
        <v>284</v>
      </c>
      <c r="E568" s="162">
        <v>28491</v>
      </c>
      <c r="F568" s="166" t="str">
        <f t="shared" si="25"/>
        <v>Date check - OK</v>
      </c>
      <c r="G568" s="68"/>
      <c r="H568" s="162" t="s">
        <v>280</v>
      </c>
      <c r="I568" s="173">
        <v>21853.086195380012</v>
      </c>
      <c r="J568" s="168">
        <f>IFERROR(MIN('MP Calculations'!$E$30/I568,1),"-")</f>
        <v>0.32927792945511891</v>
      </c>
      <c r="K568" s="12"/>
      <c r="L568" s="159">
        <v>0.81411900000000004</v>
      </c>
      <c r="M568" s="187" t="s">
        <v>293</v>
      </c>
      <c r="N568" s="187">
        <v>315.45229399999999</v>
      </c>
      <c r="O568" s="186">
        <f t="shared" si="26"/>
        <v>256.815706138986</v>
      </c>
      <c r="P568" s="186">
        <f t="shared" si="27"/>
        <v>84.563743968999574</v>
      </c>
      <c r="Q568" s="215">
        <f>IF(P568="-",0,P568/(1+'General inputs'!$H$30)^'MP Calculations'!$C$40)</f>
        <v>187.8405147481883</v>
      </c>
    </row>
    <row r="569" spans="3:17">
      <c r="C569" s="159"/>
      <c r="D569" s="165" t="s">
        <v>284</v>
      </c>
      <c r="E569" s="162">
        <v>28491</v>
      </c>
      <c r="F569" s="166" t="str">
        <f t="shared" si="25"/>
        <v>Date check - OK</v>
      </c>
      <c r="G569" s="68"/>
      <c r="H569" s="162" t="s">
        <v>280</v>
      </c>
      <c r="I569" s="173">
        <v>21853.086195380012</v>
      </c>
      <c r="J569" s="168">
        <f>IFERROR(MIN('MP Calculations'!$E$30/I569,1),"-")</f>
        <v>0.32927792945511891</v>
      </c>
      <c r="K569" s="12"/>
      <c r="L569" s="159">
        <v>1.3030679999999999</v>
      </c>
      <c r="M569" s="187" t="s">
        <v>293</v>
      </c>
      <c r="N569" s="187">
        <v>315.45229399999999</v>
      </c>
      <c r="O569" s="186">
        <f t="shared" si="26"/>
        <v>411.05578983799194</v>
      </c>
      <c r="P569" s="186">
        <f t="shared" si="27"/>
        <v>135.3515993683925</v>
      </c>
      <c r="Q569" s="215">
        <f>IF(P569="-",0,P569/(1+'General inputs'!$H$30)^'MP Calculations'!$C$40)</f>
        <v>300.65501956334668</v>
      </c>
    </row>
    <row r="570" spans="3:17">
      <c r="C570" s="159"/>
      <c r="D570" s="165" t="s">
        <v>291</v>
      </c>
      <c r="E570" s="162">
        <v>28491</v>
      </c>
      <c r="F570" s="166" t="str">
        <f t="shared" si="25"/>
        <v>Date check - OK</v>
      </c>
      <c r="G570" s="68"/>
      <c r="H570" s="162" t="s">
        <v>280</v>
      </c>
      <c r="I570" s="173">
        <v>21853.086195380012</v>
      </c>
      <c r="J570" s="168">
        <f>IFERROR(MIN('MP Calculations'!$E$30/I570,1),"-")</f>
        <v>0.32927792945511891</v>
      </c>
      <c r="K570" s="12"/>
      <c r="L570" s="159">
        <v>9.8087</v>
      </c>
      <c r="M570" s="187" t="s">
        <v>293</v>
      </c>
      <c r="N570" s="187">
        <v>560.03424299999995</v>
      </c>
      <c r="O570" s="186">
        <f t="shared" si="26"/>
        <v>5493.207879314099</v>
      </c>
      <c r="P570" s="186">
        <f t="shared" si="27"/>
        <v>1808.7921165670912</v>
      </c>
      <c r="Q570" s="215">
        <f>IF(P570="-",0,P570/(1+'General inputs'!$H$30)^'MP Calculations'!$C$40)</f>
        <v>4017.8500418924509</v>
      </c>
    </row>
    <row r="571" spans="3:17">
      <c r="C571" s="159"/>
      <c r="D571" s="165" t="s">
        <v>282</v>
      </c>
      <c r="E571" s="162">
        <v>28491</v>
      </c>
      <c r="F571" s="166" t="str">
        <f t="shared" si="25"/>
        <v>Date check - OK</v>
      </c>
      <c r="G571" s="68"/>
      <c r="H571" s="162" t="s">
        <v>280</v>
      </c>
      <c r="I571" s="173">
        <v>21853.086195380012</v>
      </c>
      <c r="J571" s="168">
        <f>IFERROR(MIN('MP Calculations'!$E$30/I571,1),"-")</f>
        <v>0.32927792945511891</v>
      </c>
      <c r="K571" s="12"/>
      <c r="L571" s="159">
        <v>6.1638140000000003</v>
      </c>
      <c r="M571" s="187" t="s">
        <v>293</v>
      </c>
      <c r="N571" s="187">
        <v>237.97403299999999</v>
      </c>
      <c r="O571" s="186">
        <f t="shared" si="26"/>
        <v>1466.827676241862</v>
      </c>
      <c r="P571" s="186">
        <f t="shared" si="27"/>
        <v>482.99398010038385</v>
      </c>
      <c r="Q571" s="215">
        <f>IF(P571="-",0,P571/(1+'General inputs'!$H$30)^'MP Calculations'!$C$40)</f>
        <v>1072.8692177535531</v>
      </c>
    </row>
    <row r="572" spans="3:17">
      <c r="C572" s="159"/>
      <c r="D572" s="165" t="s">
        <v>284</v>
      </c>
      <c r="E572" s="162">
        <v>28491</v>
      </c>
      <c r="F572" s="166" t="str">
        <f t="shared" si="25"/>
        <v>Date check - OK</v>
      </c>
      <c r="G572" s="68"/>
      <c r="H572" s="162" t="s">
        <v>280</v>
      </c>
      <c r="I572" s="173">
        <v>21853.086195380012</v>
      </c>
      <c r="J572" s="168">
        <f>IFERROR(MIN('MP Calculations'!$E$30/I572,1),"-")</f>
        <v>0.32927792945511891</v>
      </c>
      <c r="K572" s="12"/>
      <c r="L572" s="159">
        <v>2.6348340000000001</v>
      </c>
      <c r="M572" s="187" t="s">
        <v>293</v>
      </c>
      <c r="N572" s="187">
        <v>315.45229399999999</v>
      </c>
      <c r="O572" s="186">
        <f t="shared" si="26"/>
        <v>831.16442960919608</v>
      </c>
      <c r="P572" s="186">
        <f t="shared" si="27"/>
        <v>273.68410241846101</v>
      </c>
      <c r="Q572" s="215">
        <f>IF(P572="-",0,P572/(1+'General inputs'!$H$30)^'MP Calculations'!$C$40)</f>
        <v>607.93148770146388</v>
      </c>
    </row>
    <row r="573" spans="3:17">
      <c r="C573" s="159"/>
      <c r="D573" s="165" t="s">
        <v>291</v>
      </c>
      <c r="E573" s="162">
        <v>28491</v>
      </c>
      <c r="F573" s="166" t="str">
        <f t="shared" si="25"/>
        <v>Date check - OK</v>
      </c>
      <c r="G573" s="68"/>
      <c r="H573" s="162" t="s">
        <v>280</v>
      </c>
      <c r="I573" s="173">
        <v>21853.086195380012</v>
      </c>
      <c r="J573" s="168">
        <f>IFERROR(MIN('MP Calculations'!$E$30/I573,1),"-")</f>
        <v>0.32927792945511891</v>
      </c>
      <c r="K573" s="12"/>
      <c r="L573" s="159">
        <v>13.564285999999999</v>
      </c>
      <c r="M573" s="187" t="s">
        <v>293</v>
      </c>
      <c r="N573" s="187">
        <v>560.03424299999995</v>
      </c>
      <c r="O573" s="186">
        <f t="shared" si="26"/>
        <v>7596.4646418454968</v>
      </c>
      <c r="P573" s="186">
        <f t="shared" si="27"/>
        <v>2501.3481484459066</v>
      </c>
      <c r="Q573" s="215">
        <f>IF(P573="-",0,P573/(1+'General inputs'!$H$30)^'MP Calculations'!$C$40)</f>
        <v>5556.2171412461576</v>
      </c>
    </row>
    <row r="574" spans="3:17">
      <c r="C574" s="159"/>
      <c r="D574" s="165" t="s">
        <v>290</v>
      </c>
      <c r="E574" s="162">
        <v>28491</v>
      </c>
      <c r="F574" s="166" t="str">
        <f t="shared" si="25"/>
        <v>Date check - OK</v>
      </c>
      <c r="G574" s="68"/>
      <c r="H574" s="162" t="s">
        <v>280</v>
      </c>
      <c r="I574" s="173">
        <v>21853.086195380012</v>
      </c>
      <c r="J574" s="168">
        <f>IFERROR(MIN('MP Calculations'!$E$30/I574,1),"-")</f>
        <v>0.32927792945511891</v>
      </c>
      <c r="K574" s="12"/>
      <c r="L574" s="159">
        <v>8.7383100000000002</v>
      </c>
      <c r="M574" s="187" t="s">
        <v>293</v>
      </c>
      <c r="N574" s="187">
        <v>707.97319300000004</v>
      </c>
      <c r="O574" s="186">
        <f t="shared" si="26"/>
        <v>6186.4892321238303</v>
      </c>
      <c r="P574" s="186">
        <f t="shared" si="27"/>
        <v>2037.0743649501235</v>
      </c>
      <c r="Q574" s="215">
        <f>IF(P574="-",0,P574/(1+'General inputs'!$H$30)^'MP Calculations'!$C$40)</f>
        <v>4524.9308903925157</v>
      </c>
    </row>
    <row r="575" spans="3:17">
      <c r="C575" s="159"/>
      <c r="D575" s="165" t="s">
        <v>289</v>
      </c>
      <c r="E575" s="162">
        <v>28491</v>
      </c>
      <c r="F575" s="166" t="str">
        <f t="shared" si="25"/>
        <v>Date check - OK</v>
      </c>
      <c r="G575" s="68"/>
      <c r="H575" s="162" t="s">
        <v>280</v>
      </c>
      <c r="I575" s="173">
        <v>21853.086195380012</v>
      </c>
      <c r="J575" s="168">
        <f>IFERROR(MIN('MP Calculations'!$E$30/I575,1),"-")</f>
        <v>0.32927792945511891</v>
      </c>
      <c r="K575" s="12"/>
      <c r="L575" s="159">
        <v>1.023739</v>
      </c>
      <c r="M575" s="187" t="s">
        <v>293</v>
      </c>
      <c r="N575" s="187">
        <v>421.28581700000001</v>
      </c>
      <c r="O575" s="186">
        <f t="shared" si="26"/>
        <v>431.28672100976297</v>
      </c>
      <c r="P575" s="186">
        <f t="shared" si="27"/>
        <v>142.01319849558229</v>
      </c>
      <c r="Q575" s="215">
        <f>IF(P575="-",0,P575/(1+'General inputs'!$H$30)^'MP Calculations'!$C$40)</f>
        <v>315.45235646408906</v>
      </c>
    </row>
    <row r="576" spans="3:17">
      <c r="C576" s="159"/>
      <c r="D576" s="165" t="s">
        <v>291</v>
      </c>
      <c r="E576" s="162">
        <v>28491</v>
      </c>
      <c r="F576" s="166" t="str">
        <f t="shared" si="25"/>
        <v>Date check - OK</v>
      </c>
      <c r="G576" s="68"/>
      <c r="H576" s="162" t="s">
        <v>280</v>
      </c>
      <c r="I576" s="173">
        <v>21853.086195380012</v>
      </c>
      <c r="J576" s="168">
        <f>IFERROR(MIN('MP Calculations'!$E$30/I576,1),"-")</f>
        <v>0.32927792945511891</v>
      </c>
      <c r="K576" s="12"/>
      <c r="L576" s="159">
        <v>0.95723000000000003</v>
      </c>
      <c r="M576" s="187" t="s">
        <v>293</v>
      </c>
      <c r="N576" s="187">
        <v>560.03424299999995</v>
      </c>
      <c r="O576" s="186">
        <f t="shared" si="26"/>
        <v>536.08157842689002</v>
      </c>
      <c r="P576" s="186">
        <f t="shared" si="27"/>
        <v>176.51983216343828</v>
      </c>
      <c r="Q576" s="215">
        <f>IF(P576="-",0,P576/(1+'General inputs'!$H$30)^'MP Calculations'!$C$40)</f>
        <v>392.10156244973456</v>
      </c>
    </row>
    <row r="577" spans="3:17">
      <c r="C577" s="159"/>
      <c r="D577" s="165" t="s">
        <v>284</v>
      </c>
      <c r="E577" s="162">
        <v>28491</v>
      </c>
      <c r="F577" s="166" t="str">
        <f t="shared" si="25"/>
        <v>Date check - OK</v>
      </c>
      <c r="G577" s="68"/>
      <c r="H577" s="162" t="s">
        <v>280</v>
      </c>
      <c r="I577" s="173">
        <v>21853.086195380012</v>
      </c>
      <c r="J577" s="168">
        <f>IFERROR(MIN('MP Calculations'!$E$30/I577,1),"-")</f>
        <v>0.32927792945511891</v>
      </c>
      <c r="K577" s="12"/>
      <c r="L577" s="159">
        <v>1.0002009999999999</v>
      </c>
      <c r="M577" s="187" t="s">
        <v>293</v>
      </c>
      <c r="N577" s="187">
        <v>315.45229399999999</v>
      </c>
      <c r="O577" s="186">
        <f t="shared" si="26"/>
        <v>315.51569991109398</v>
      </c>
      <c r="P577" s="186">
        <f t="shared" si="27"/>
        <v>103.89235637730766</v>
      </c>
      <c r="Q577" s="215">
        <f>IF(P577="-",0,P577/(1+'General inputs'!$H$30)^'MP Calculations'!$C$40)</f>
        <v>230.77494898368994</v>
      </c>
    </row>
    <row r="578" spans="3:17">
      <c r="C578" s="159"/>
      <c r="D578" s="165" t="s">
        <v>282</v>
      </c>
      <c r="E578" s="162">
        <v>28491</v>
      </c>
      <c r="F578" s="166" t="str">
        <f t="shared" si="25"/>
        <v>Date check - OK</v>
      </c>
      <c r="G578" s="68"/>
      <c r="H578" s="162" t="s">
        <v>280</v>
      </c>
      <c r="I578" s="173">
        <v>21853.086195380012</v>
      </c>
      <c r="J578" s="168">
        <f>IFERROR(MIN('MP Calculations'!$E$30/I578,1),"-")</f>
        <v>0.32927792945511891</v>
      </c>
      <c r="K578" s="12"/>
      <c r="L578" s="159">
        <v>127.73588700000001</v>
      </c>
      <c r="M578" s="187" t="s">
        <v>293</v>
      </c>
      <c r="N578" s="187">
        <v>237.97403299999999</v>
      </c>
      <c r="O578" s="186">
        <f t="shared" si="26"/>
        <v>30397.824188222272</v>
      </c>
      <c r="P578" s="186">
        <f t="shared" si="27"/>
        <v>10009.33260863856</v>
      </c>
      <c r="Q578" s="215">
        <f>IF(P578="-",0,P578/(1+'General inputs'!$H$30)^'MP Calculations'!$C$40)</f>
        <v>22233.62047666368</v>
      </c>
    </row>
    <row r="579" spans="3:17">
      <c r="C579" s="159"/>
      <c r="D579" s="165" t="s">
        <v>282</v>
      </c>
      <c r="E579" s="162">
        <v>28491</v>
      </c>
      <c r="F579" s="166" t="str">
        <f t="shared" si="25"/>
        <v>Date check - OK</v>
      </c>
      <c r="G579" s="68"/>
      <c r="H579" s="162" t="s">
        <v>280</v>
      </c>
      <c r="I579" s="173">
        <v>21853.086195380012</v>
      </c>
      <c r="J579" s="168">
        <f>IFERROR(MIN('MP Calculations'!$E$30/I579,1),"-")</f>
        <v>0.32927792945511891</v>
      </c>
      <c r="K579" s="12"/>
      <c r="L579" s="159">
        <v>0.77875899999999998</v>
      </c>
      <c r="M579" s="187" t="s">
        <v>293</v>
      </c>
      <c r="N579" s="187">
        <v>237.97403299999999</v>
      </c>
      <c r="O579" s="186">
        <f t="shared" si="26"/>
        <v>185.32441996504699</v>
      </c>
      <c r="P579" s="186">
        <f t="shared" si="27"/>
        <v>61.023241283561575</v>
      </c>
      <c r="Q579" s="215">
        <f>IF(P579="-",0,P579/(1+'General inputs'!$H$30)^'MP Calculations'!$C$40)</f>
        <v>135.55025494743015</v>
      </c>
    </row>
    <row r="580" spans="3:17">
      <c r="C580" s="159"/>
      <c r="D580" s="165" t="s">
        <v>282</v>
      </c>
      <c r="E580" s="162">
        <v>28491</v>
      </c>
      <c r="F580" s="166" t="str">
        <f t="shared" si="25"/>
        <v>Date check - OK</v>
      </c>
      <c r="G580" s="68"/>
      <c r="H580" s="162" t="s">
        <v>280</v>
      </c>
      <c r="I580" s="173">
        <v>21853.086195380012</v>
      </c>
      <c r="J580" s="168">
        <f>IFERROR(MIN('MP Calculations'!$E$30/I580,1),"-")</f>
        <v>0.32927792945511891</v>
      </c>
      <c r="K580" s="12"/>
      <c r="L580" s="159">
        <v>16.936862000000001</v>
      </c>
      <c r="M580" s="187" t="s">
        <v>293</v>
      </c>
      <c r="N580" s="187">
        <v>237.97403299999999</v>
      </c>
      <c r="O580" s="186">
        <f t="shared" si="26"/>
        <v>4030.5333565044461</v>
      </c>
      <c r="P580" s="186">
        <f t="shared" si="27"/>
        <v>1327.1656782295747</v>
      </c>
      <c r="Q580" s="215">
        <f>IF(P580="-",0,P580/(1+'General inputs'!$H$30)^'MP Calculations'!$C$40)</f>
        <v>2948.0185296214131</v>
      </c>
    </row>
    <row r="581" spans="3:17">
      <c r="C581" s="159"/>
      <c r="D581" s="165" t="s">
        <v>283</v>
      </c>
      <c r="E581" s="162">
        <v>28491</v>
      </c>
      <c r="F581" s="166" t="str">
        <f t="shared" si="25"/>
        <v>Date check - OK</v>
      </c>
      <c r="G581" s="68"/>
      <c r="H581" s="162" t="s">
        <v>280</v>
      </c>
      <c r="I581" s="173">
        <v>21853.086195380012</v>
      </c>
      <c r="J581" s="168">
        <f>IFERROR(MIN('MP Calculations'!$E$30/I581,1),"-")</f>
        <v>0.32927792945511891</v>
      </c>
      <c r="K581" s="12"/>
      <c r="L581" s="159">
        <v>0.91537400000000002</v>
      </c>
      <c r="M581" s="187" t="s">
        <v>293</v>
      </c>
      <c r="N581" s="187">
        <v>192.78728599999999</v>
      </c>
      <c r="O581" s="186">
        <f t="shared" si="26"/>
        <v>176.472469134964</v>
      </c>
      <c r="P581" s="186">
        <f t="shared" si="27"/>
        <v>58.108489242593329</v>
      </c>
      <c r="Q581" s="215">
        <f>IF(P581="-",0,P581/(1+'General inputs'!$H$30)^'MP Calculations'!$C$40)</f>
        <v>129.0757482848642</v>
      </c>
    </row>
    <row r="582" spans="3:17">
      <c r="C582" s="159"/>
      <c r="D582" s="165" t="s">
        <v>283</v>
      </c>
      <c r="E582" s="162">
        <v>28491</v>
      </c>
      <c r="F582" s="166" t="str">
        <f t="shared" si="25"/>
        <v>Date check - OK</v>
      </c>
      <c r="G582" s="68"/>
      <c r="H582" s="162" t="s">
        <v>280</v>
      </c>
      <c r="I582" s="173">
        <v>21853.086195380012</v>
      </c>
      <c r="J582" s="168">
        <f>IFERROR(MIN('MP Calculations'!$E$30/I582,1),"-")</f>
        <v>0.32927792945511891</v>
      </c>
      <c r="K582" s="12"/>
      <c r="L582" s="159">
        <v>0.91356599999999999</v>
      </c>
      <c r="M582" s="187" t="s">
        <v>293</v>
      </c>
      <c r="N582" s="187">
        <v>192.78728599999999</v>
      </c>
      <c r="O582" s="186">
        <f t="shared" si="26"/>
        <v>176.123909721876</v>
      </c>
      <c r="P582" s="186">
        <f t="shared" si="27"/>
        <v>57.993716320759617</v>
      </c>
      <c r="Q582" s="215">
        <f>IF(P582="-",0,P582/(1+'General inputs'!$H$30)^'MP Calculations'!$C$40)</f>
        <v>128.82080445545782</v>
      </c>
    </row>
    <row r="583" spans="3:17">
      <c r="C583" s="159"/>
      <c r="D583" s="165" t="s">
        <v>282</v>
      </c>
      <c r="E583" s="162">
        <v>28491</v>
      </c>
      <c r="F583" s="166" t="str">
        <f t="shared" si="25"/>
        <v>Date check - OK</v>
      </c>
      <c r="G583" s="68"/>
      <c r="H583" s="162" t="s">
        <v>280</v>
      </c>
      <c r="I583" s="173">
        <v>21853.086195380012</v>
      </c>
      <c r="J583" s="168">
        <f>IFERROR(MIN('MP Calculations'!$E$30/I583,1),"-")</f>
        <v>0.32927792945511891</v>
      </c>
      <c r="K583" s="12"/>
      <c r="L583" s="159">
        <v>133.10351499999999</v>
      </c>
      <c r="M583" s="187" t="s">
        <v>293</v>
      </c>
      <c r="N583" s="187">
        <v>237.97403299999999</v>
      </c>
      <c r="O583" s="186">
        <f t="shared" si="26"/>
        <v>31675.180271025991</v>
      </c>
      <c r="P583" s="186">
        <f t="shared" si="27"/>
        <v>10429.937774761071</v>
      </c>
      <c r="Q583" s="215">
        <f>IF(P583="-",0,P583/(1+'General inputs'!$H$30)^'MP Calculations'!$C$40)</f>
        <v>23167.90610785762</v>
      </c>
    </row>
    <row r="584" spans="3:17">
      <c r="C584" s="159"/>
      <c r="D584" s="165" t="s">
        <v>282</v>
      </c>
      <c r="E584" s="162">
        <v>28491</v>
      </c>
      <c r="F584" s="166" t="str">
        <f t="shared" si="25"/>
        <v>Date check - OK</v>
      </c>
      <c r="G584" s="68"/>
      <c r="H584" s="162" t="s">
        <v>280</v>
      </c>
      <c r="I584" s="173">
        <v>21853.086195380012</v>
      </c>
      <c r="J584" s="168">
        <f>IFERROR(MIN('MP Calculations'!$E$30/I584,1),"-")</f>
        <v>0.32927792945511891</v>
      </c>
      <c r="K584" s="12"/>
      <c r="L584" s="159">
        <v>94.588843999999995</v>
      </c>
      <c r="M584" s="187" t="s">
        <v>293</v>
      </c>
      <c r="N584" s="187">
        <v>237.97403299999999</v>
      </c>
      <c r="O584" s="186">
        <f t="shared" si="26"/>
        <v>22509.68868348785</v>
      </c>
      <c r="P584" s="186">
        <f t="shared" si="27"/>
        <v>7411.9436823782007</v>
      </c>
      <c r="Q584" s="215">
        <f>IF(P584="-",0,P584/(1+'General inputs'!$H$30)^'MP Calculations'!$C$40)</f>
        <v>16464.069011571872</v>
      </c>
    </row>
    <row r="585" spans="3:17">
      <c r="C585" s="159"/>
      <c r="D585" s="165" t="s">
        <v>283</v>
      </c>
      <c r="E585" s="162">
        <v>28491</v>
      </c>
      <c r="F585" s="166" t="str">
        <f t="shared" si="25"/>
        <v>Date check - OK</v>
      </c>
      <c r="G585" s="68"/>
      <c r="H585" s="162" t="s">
        <v>280</v>
      </c>
      <c r="I585" s="173">
        <v>21853.086195380012</v>
      </c>
      <c r="J585" s="168">
        <f>IFERROR(MIN('MP Calculations'!$E$30/I585,1),"-")</f>
        <v>0.32927792945511891</v>
      </c>
      <c r="K585" s="12"/>
      <c r="L585" s="159">
        <v>17.456427999999999</v>
      </c>
      <c r="M585" s="187" t="s">
        <v>293</v>
      </c>
      <c r="N585" s="187">
        <v>192.78728599999999</v>
      </c>
      <c r="O585" s="186">
        <f t="shared" si="26"/>
        <v>3365.3773773744078</v>
      </c>
      <c r="P585" s="186">
        <f t="shared" si="27"/>
        <v>1108.1444946569434</v>
      </c>
      <c r="Q585" s="215">
        <f>IF(P585="-",0,P585/(1+'General inputs'!$H$30)^'MP Calculations'!$C$40)</f>
        <v>2461.5091825645641</v>
      </c>
    </row>
    <row r="586" spans="3:17">
      <c r="C586" s="159"/>
      <c r="D586" s="165" t="s">
        <v>283</v>
      </c>
      <c r="E586" s="162">
        <v>28491</v>
      </c>
      <c r="F586" s="166" t="str">
        <f t="shared" si="25"/>
        <v>Date check - OK</v>
      </c>
      <c r="G586" s="68"/>
      <c r="H586" s="162" t="s">
        <v>280</v>
      </c>
      <c r="I586" s="173">
        <v>21853.086195380012</v>
      </c>
      <c r="J586" s="168">
        <f>IFERROR(MIN('MP Calculations'!$E$30/I586,1),"-")</f>
        <v>0.32927792945511891</v>
      </c>
      <c r="K586" s="12"/>
      <c r="L586" s="159">
        <v>36.284260000000003</v>
      </c>
      <c r="M586" s="187" t="s">
        <v>293</v>
      </c>
      <c r="N586" s="187">
        <v>192.78728599999999</v>
      </c>
      <c r="O586" s="186">
        <f t="shared" si="26"/>
        <v>6995.1440099183601</v>
      </c>
      <c r="P586" s="186">
        <f t="shared" si="27"/>
        <v>2303.3465358262956</v>
      </c>
      <c r="Q586" s="215">
        <f>IF(P586="-",0,P586/(1+'General inputs'!$H$30)^'MP Calculations'!$C$40)</f>
        <v>5116.3983360490547</v>
      </c>
    </row>
    <row r="587" spans="3:17">
      <c r="C587" s="159"/>
      <c r="D587" s="165" t="s">
        <v>282</v>
      </c>
      <c r="E587" s="162">
        <v>28491</v>
      </c>
      <c r="F587" s="166" t="str">
        <f t="shared" si="25"/>
        <v>Date check - OK</v>
      </c>
      <c r="G587" s="68"/>
      <c r="H587" s="162" t="s">
        <v>280</v>
      </c>
      <c r="I587" s="173">
        <v>21853.086195380012</v>
      </c>
      <c r="J587" s="168">
        <f>IFERROR(MIN('MP Calculations'!$E$30/I587,1),"-")</f>
        <v>0.32927792945511891</v>
      </c>
      <c r="K587" s="12"/>
      <c r="L587" s="159">
        <v>21.431412999999999</v>
      </c>
      <c r="M587" s="187" t="s">
        <v>293</v>
      </c>
      <c r="N587" s="187">
        <v>237.97403299999999</v>
      </c>
      <c r="O587" s="186">
        <f t="shared" si="26"/>
        <v>5100.1197844986282</v>
      </c>
      <c r="P587" s="186">
        <f t="shared" si="27"/>
        <v>1679.3568826127955</v>
      </c>
      <c r="Q587" s="215">
        <f>IF(P587="-",0,P587/(1+'General inputs'!$H$30)^'MP Calculations'!$C$40)</f>
        <v>3730.336979776373</v>
      </c>
    </row>
    <row r="588" spans="3:17">
      <c r="C588" s="159"/>
      <c r="D588" s="165" t="s">
        <v>283</v>
      </c>
      <c r="E588" s="162">
        <v>28491</v>
      </c>
      <c r="F588" s="166" t="str">
        <f t="shared" si="25"/>
        <v>Date check - OK</v>
      </c>
      <c r="G588" s="68"/>
      <c r="H588" s="162" t="s">
        <v>280</v>
      </c>
      <c r="I588" s="173">
        <v>21853.086195380012</v>
      </c>
      <c r="J588" s="168">
        <f>IFERROR(MIN('MP Calculations'!$E$30/I588,1),"-")</f>
        <v>0.32927792945511891</v>
      </c>
      <c r="K588" s="12"/>
      <c r="L588" s="159">
        <v>114.070804</v>
      </c>
      <c r="M588" s="187" t="s">
        <v>293</v>
      </c>
      <c r="N588" s="187">
        <v>192.78728599999999</v>
      </c>
      <c r="O588" s="186">
        <f t="shared" si="26"/>
        <v>21991.400714997944</v>
      </c>
      <c r="P588" s="186">
        <f t="shared" si="27"/>
        <v>7241.2828932523444</v>
      </c>
      <c r="Q588" s="215">
        <f>IF(P588="-",0,P588/(1+'General inputs'!$H$30)^'MP Calculations'!$C$40)</f>
        <v>16084.982077004679</v>
      </c>
    </row>
    <row r="589" spans="3:17">
      <c r="C589" s="159"/>
      <c r="D589" s="165" t="s">
        <v>282</v>
      </c>
      <c r="E589" s="162">
        <v>28491</v>
      </c>
      <c r="F589" s="166" t="str">
        <f t="shared" si="25"/>
        <v>Date check - OK</v>
      </c>
      <c r="G589" s="68"/>
      <c r="H589" s="162" t="s">
        <v>280</v>
      </c>
      <c r="I589" s="173">
        <v>21853.086195380012</v>
      </c>
      <c r="J589" s="168">
        <f>IFERROR(MIN('MP Calculations'!$E$30/I589,1),"-")</f>
        <v>0.32927792945511891</v>
      </c>
      <c r="K589" s="12"/>
      <c r="L589" s="159">
        <v>225.437059</v>
      </c>
      <c r="M589" s="187" t="s">
        <v>293</v>
      </c>
      <c r="N589" s="187">
        <v>237.97403299999999</v>
      </c>
      <c r="O589" s="186">
        <f t="shared" si="26"/>
        <v>53648.166117888948</v>
      </c>
      <c r="P589" s="186">
        <f t="shared" si="27"/>
        <v>17665.157058362736</v>
      </c>
      <c r="Q589" s="215">
        <f>IF(P589="-",0,P589/(1+'General inputs'!$H$30)^'MP Calculations'!$C$40)</f>
        <v>39239.419155411175</v>
      </c>
    </row>
    <row r="590" spans="3:17">
      <c r="C590" s="159"/>
      <c r="D590" s="165" t="s">
        <v>282</v>
      </c>
      <c r="E590" s="162">
        <v>28491</v>
      </c>
      <c r="F590" s="166" t="str">
        <f t="shared" si="25"/>
        <v>Date check - OK</v>
      </c>
      <c r="G590" s="68"/>
      <c r="H590" s="162" t="s">
        <v>280</v>
      </c>
      <c r="I590" s="173">
        <v>21853.086195380012</v>
      </c>
      <c r="J590" s="168">
        <f>IFERROR(MIN('MP Calculations'!$E$30/I590,1),"-")</f>
        <v>0.32927792945511891</v>
      </c>
      <c r="K590" s="12"/>
      <c r="L590" s="159">
        <v>143.14714000000001</v>
      </c>
      <c r="M590" s="187" t="s">
        <v>293</v>
      </c>
      <c r="N590" s="187">
        <v>237.97403299999999</v>
      </c>
      <c r="O590" s="186">
        <f t="shared" si="26"/>
        <v>34065.30221821562</v>
      </c>
      <c r="P590" s="186">
        <f t="shared" si="27"/>
        <v>11216.952180676908</v>
      </c>
      <c r="Q590" s="215">
        <f>IF(P590="-",0,P590/(1+'General inputs'!$H$30)^'MP Calculations'!$C$40)</f>
        <v>24916.092554943796</v>
      </c>
    </row>
    <row r="591" spans="3:17">
      <c r="C591" s="159"/>
      <c r="D591" s="165" t="s">
        <v>282</v>
      </c>
      <c r="E591" s="162">
        <v>28491</v>
      </c>
      <c r="F591" s="166" t="str">
        <f t="shared" si="25"/>
        <v>Date check - OK</v>
      </c>
      <c r="G591" s="68"/>
      <c r="H591" s="162" t="s">
        <v>280</v>
      </c>
      <c r="I591" s="173">
        <v>21853.086195380012</v>
      </c>
      <c r="J591" s="168">
        <f>IFERROR(MIN('MP Calculations'!$E$30/I591,1),"-")</f>
        <v>0.32927792945511891</v>
      </c>
      <c r="K591" s="12"/>
      <c r="L591" s="159">
        <v>24.421130999999999</v>
      </c>
      <c r="M591" s="187" t="s">
        <v>293</v>
      </c>
      <c r="N591" s="187">
        <v>237.97403299999999</v>
      </c>
      <c r="O591" s="186">
        <f t="shared" si="26"/>
        <v>5811.5950344913226</v>
      </c>
      <c r="P591" s="186">
        <f t="shared" si="27"/>
        <v>1913.6299797889531</v>
      </c>
      <c r="Q591" s="215">
        <f>IF(P591="-",0,P591/(1+'General inputs'!$H$30)^'MP Calculations'!$C$40)</f>
        <v>4250.7252348346401</v>
      </c>
    </row>
    <row r="592" spans="3:17">
      <c r="C592" s="159"/>
      <c r="D592" s="165" t="s">
        <v>283</v>
      </c>
      <c r="E592" s="162">
        <v>28491</v>
      </c>
      <c r="F592" s="166" t="str">
        <f t="shared" si="25"/>
        <v>Date check - OK</v>
      </c>
      <c r="G592" s="68"/>
      <c r="H592" s="162" t="s">
        <v>280</v>
      </c>
      <c r="I592" s="173">
        <v>21853.086195380012</v>
      </c>
      <c r="J592" s="168">
        <f>IFERROR(MIN('MP Calculations'!$E$30/I592,1),"-")</f>
        <v>0.32927792945511891</v>
      </c>
      <c r="K592" s="12"/>
      <c r="L592" s="159">
        <v>3.7912750000000002</v>
      </c>
      <c r="M592" s="187" t="s">
        <v>293</v>
      </c>
      <c r="N592" s="187">
        <v>192.78728599999999</v>
      </c>
      <c r="O592" s="186">
        <f t="shared" si="26"/>
        <v>730.90961772964999</v>
      </c>
      <c r="P592" s="186">
        <f t="shared" si="27"/>
        <v>240.67240554485161</v>
      </c>
      <c r="Q592" s="215">
        <f>IF(P592="-",0,P592/(1+'General inputs'!$H$30)^'MP Calculations'!$C$40)</f>
        <v>534.60296838090062</v>
      </c>
    </row>
    <row r="593" spans="3:17">
      <c r="C593" s="159"/>
      <c r="D593" s="165" t="s">
        <v>282</v>
      </c>
      <c r="E593" s="162">
        <v>28491</v>
      </c>
      <c r="F593" s="166" t="str">
        <f t="shared" si="25"/>
        <v>Date check - OK</v>
      </c>
      <c r="G593" s="68"/>
      <c r="H593" s="162" t="s">
        <v>280</v>
      </c>
      <c r="I593" s="173">
        <v>21853.086195380012</v>
      </c>
      <c r="J593" s="168">
        <f>IFERROR(MIN('MP Calculations'!$E$30/I593,1),"-")</f>
        <v>0.32927792945511891</v>
      </c>
      <c r="K593" s="12"/>
      <c r="L593" s="159">
        <v>9.6974959999999992</v>
      </c>
      <c r="M593" s="187" t="s">
        <v>293</v>
      </c>
      <c r="N593" s="187">
        <v>237.97403299999999</v>
      </c>
      <c r="O593" s="186">
        <f t="shared" si="26"/>
        <v>2307.7522331213677</v>
      </c>
      <c r="P593" s="186">
        <f t="shared" si="27"/>
        <v>759.8918770176308</v>
      </c>
      <c r="Q593" s="215">
        <f>IF(P593="-",0,P593/(1+'General inputs'!$H$30)^'MP Calculations'!$C$40)</f>
        <v>1687.9394718413321</v>
      </c>
    </row>
    <row r="594" spans="3:17">
      <c r="C594" s="159"/>
      <c r="D594" s="165" t="s">
        <v>282</v>
      </c>
      <c r="E594" s="162">
        <v>28491</v>
      </c>
      <c r="F594" s="166" t="str">
        <f t="shared" si="25"/>
        <v>Date check - OK</v>
      </c>
      <c r="G594" s="68"/>
      <c r="H594" s="162" t="s">
        <v>280</v>
      </c>
      <c r="I594" s="173">
        <v>21853.086195380012</v>
      </c>
      <c r="J594" s="168">
        <f>IFERROR(MIN('MP Calculations'!$E$30/I594,1),"-")</f>
        <v>0.32927792945511891</v>
      </c>
      <c r="K594" s="12"/>
      <c r="L594" s="159">
        <v>49.356969999999997</v>
      </c>
      <c r="M594" s="187" t="s">
        <v>293</v>
      </c>
      <c r="N594" s="187">
        <v>237.97403299999999</v>
      </c>
      <c r="O594" s="186">
        <f t="shared" si="26"/>
        <v>11745.677207560009</v>
      </c>
      <c r="P594" s="186">
        <f t="shared" si="27"/>
        <v>3867.592270953543</v>
      </c>
      <c r="Q594" s="215">
        <f>IF(P594="-",0,P594/(1+'General inputs'!$H$30)^'MP Calculations'!$C$40)</f>
        <v>8591.0401894972147</v>
      </c>
    </row>
    <row r="595" spans="3:17">
      <c r="C595" s="159"/>
      <c r="D595" s="165" t="s">
        <v>283</v>
      </c>
      <c r="E595" s="162">
        <v>28491</v>
      </c>
      <c r="F595" s="166" t="str">
        <f t="shared" si="25"/>
        <v>Date check - OK</v>
      </c>
      <c r="G595" s="68"/>
      <c r="H595" s="162" t="s">
        <v>280</v>
      </c>
      <c r="I595" s="173">
        <v>21853.086195380012</v>
      </c>
      <c r="J595" s="168">
        <f>IFERROR(MIN('MP Calculations'!$E$30/I595,1),"-")</f>
        <v>0.32927792945511891</v>
      </c>
      <c r="K595" s="12"/>
      <c r="L595" s="159">
        <v>8.9035949999999993</v>
      </c>
      <c r="M595" s="187" t="s">
        <v>293</v>
      </c>
      <c r="N595" s="187">
        <v>192.78728599999999</v>
      </c>
      <c r="O595" s="186">
        <f t="shared" si="26"/>
        <v>1716.4999156931699</v>
      </c>
      <c r="P595" s="186">
        <f t="shared" si="27"/>
        <v>565.20553814933317</v>
      </c>
      <c r="Q595" s="215">
        <f>IF(P595="-",0,P595/(1+'General inputs'!$H$30)^'MP Calculations'!$C$40)</f>
        <v>1255.4848477784769</v>
      </c>
    </row>
    <row r="596" spans="3:17">
      <c r="C596" s="159"/>
      <c r="D596" s="165" t="s">
        <v>282</v>
      </c>
      <c r="E596" s="162">
        <v>28491</v>
      </c>
      <c r="F596" s="166" t="str">
        <f t="shared" si="25"/>
        <v>Date check - OK</v>
      </c>
      <c r="G596" s="68"/>
      <c r="H596" s="162" t="s">
        <v>280</v>
      </c>
      <c r="I596" s="173">
        <v>21853.086195380012</v>
      </c>
      <c r="J596" s="168">
        <f>IFERROR(MIN('MP Calculations'!$E$30/I596,1),"-")</f>
        <v>0.32927792945511891</v>
      </c>
      <c r="K596" s="12"/>
      <c r="L596" s="159">
        <v>109.716182</v>
      </c>
      <c r="M596" s="187" t="s">
        <v>293</v>
      </c>
      <c r="N596" s="187">
        <v>237.97403299999999</v>
      </c>
      <c r="O596" s="186">
        <f t="shared" si="26"/>
        <v>26109.602315902004</v>
      </c>
      <c r="P596" s="186">
        <f t="shared" si="27"/>
        <v>8597.3157894767901</v>
      </c>
      <c r="Q596" s="215">
        <f>IF(P596="-",0,P596/(1+'General inputs'!$H$30)^'MP Calculations'!$C$40)</f>
        <v>19097.123040579496</v>
      </c>
    </row>
    <row r="597" spans="3:17">
      <c r="C597" s="159"/>
      <c r="D597" s="165" t="s">
        <v>282</v>
      </c>
      <c r="E597" s="162">
        <v>28491</v>
      </c>
      <c r="F597" s="166" t="str">
        <f t="shared" si="25"/>
        <v>Date check - OK</v>
      </c>
      <c r="G597" s="68"/>
      <c r="H597" s="162" t="s">
        <v>280</v>
      </c>
      <c r="I597" s="173">
        <v>21853.086195380012</v>
      </c>
      <c r="J597" s="168">
        <f>IFERROR(MIN('MP Calculations'!$E$30/I597,1),"-")</f>
        <v>0.32927792945511891</v>
      </c>
      <c r="K597" s="12"/>
      <c r="L597" s="159">
        <v>0.69968300000000005</v>
      </c>
      <c r="M597" s="187" t="s">
        <v>293</v>
      </c>
      <c r="N597" s="187">
        <v>237.97403299999999</v>
      </c>
      <c r="O597" s="186">
        <f t="shared" si="26"/>
        <v>166.50638533153901</v>
      </c>
      <c r="P597" s="186">
        <f t="shared" si="27"/>
        <v>54.826877803025347</v>
      </c>
      <c r="Q597" s="215">
        <f>IF(P597="-",0,P597/(1+'General inputs'!$H$30)^'MP Calculations'!$C$40)</f>
        <v>121.7863408735986</v>
      </c>
    </row>
    <row r="598" spans="3:17">
      <c r="C598" s="159"/>
      <c r="D598" s="165" t="s">
        <v>283</v>
      </c>
      <c r="E598" s="162">
        <v>28491</v>
      </c>
      <c r="F598" s="166" t="str">
        <f t="shared" si="25"/>
        <v>Date check - OK</v>
      </c>
      <c r="G598" s="68"/>
      <c r="H598" s="162" t="s">
        <v>280</v>
      </c>
      <c r="I598" s="173">
        <v>21853.086195380012</v>
      </c>
      <c r="J598" s="168">
        <f>IFERROR(MIN('MP Calculations'!$E$30/I598,1),"-")</f>
        <v>0.32927792945511891</v>
      </c>
      <c r="K598" s="12"/>
      <c r="L598" s="159">
        <v>5.8978149999999996</v>
      </c>
      <c r="M598" s="187" t="s">
        <v>293</v>
      </c>
      <c r="N598" s="187">
        <v>192.78728599999999</v>
      </c>
      <c r="O598" s="186">
        <f t="shared" si="26"/>
        <v>1137.0237471800899</v>
      </c>
      <c r="P598" s="186">
        <f t="shared" si="27"/>
        <v>374.39682521276063</v>
      </c>
      <c r="Q598" s="215">
        <f>IF(P598="-",0,P598/(1+'General inputs'!$H$30)^'MP Calculations'!$C$40)</f>
        <v>831.6435515654764</v>
      </c>
    </row>
    <row r="599" spans="3:17">
      <c r="C599" s="159"/>
      <c r="D599" s="165" t="s">
        <v>282</v>
      </c>
      <c r="E599" s="162">
        <v>28491</v>
      </c>
      <c r="F599" s="166" t="str">
        <f t="shared" ref="F599:F662" si="28">IF(E599="","-",IF(OR(E599&lt;$E$15,E599&gt;$E$16),"ERROR - date outside of range","Date check - OK"))</f>
        <v>Date check - OK</v>
      </c>
      <c r="G599" s="68"/>
      <c r="H599" s="162" t="s">
        <v>280</v>
      </c>
      <c r="I599" s="173">
        <v>21853.086195380012</v>
      </c>
      <c r="J599" s="168">
        <f>IFERROR(MIN('MP Calculations'!$E$30/I599,1),"-")</f>
        <v>0.32927792945511891</v>
      </c>
      <c r="K599" s="12"/>
      <c r="L599" s="159">
        <v>4.6721709999999996</v>
      </c>
      <c r="M599" s="187" t="s">
        <v>293</v>
      </c>
      <c r="N599" s="187">
        <v>237.97403299999999</v>
      </c>
      <c r="O599" s="186">
        <f t="shared" ref="O599:O662" si="29">IF(N599="","-",L599*N599)</f>
        <v>1111.8553757356428</v>
      </c>
      <c r="P599" s="186">
        <f t="shared" ref="P599:P662" si="30">IF(O599="-","-",IF(OR(E599&lt;$E$15,E599&gt;$E$16),0,O599*J599))</f>
        <v>366.10943597577574</v>
      </c>
      <c r="Q599" s="215">
        <f>IF(P599="-",0,P599/(1+'General inputs'!$H$30)^'MP Calculations'!$C$40)</f>
        <v>813.23486496848147</v>
      </c>
    </row>
    <row r="600" spans="3:17">
      <c r="C600" s="159"/>
      <c r="D600" s="165" t="s">
        <v>282</v>
      </c>
      <c r="E600" s="162">
        <v>28491</v>
      </c>
      <c r="F600" s="166" t="str">
        <f t="shared" si="28"/>
        <v>Date check - OK</v>
      </c>
      <c r="G600" s="68"/>
      <c r="H600" s="162" t="s">
        <v>280</v>
      </c>
      <c r="I600" s="173">
        <v>21853.086195380012</v>
      </c>
      <c r="J600" s="168">
        <f>IFERROR(MIN('MP Calculations'!$E$30/I600,1),"-")</f>
        <v>0.32927792945511891</v>
      </c>
      <c r="K600" s="12"/>
      <c r="L600" s="159">
        <v>4.3970149999999997</v>
      </c>
      <c r="M600" s="187" t="s">
        <v>293</v>
      </c>
      <c r="N600" s="187">
        <v>237.97403299999999</v>
      </c>
      <c r="O600" s="186">
        <f t="shared" si="29"/>
        <v>1046.3753927114949</v>
      </c>
      <c r="P600" s="186">
        <f t="shared" si="30"/>
        <v>344.54832274482794</v>
      </c>
      <c r="Q600" s="215">
        <f>IF(P600="-",0,P600/(1+'General inputs'!$H$30)^'MP Calculations'!$C$40)</f>
        <v>765.34140120072391</v>
      </c>
    </row>
    <row r="601" spans="3:17">
      <c r="C601" s="159"/>
      <c r="D601" s="165" t="s">
        <v>282</v>
      </c>
      <c r="E601" s="162">
        <v>28491</v>
      </c>
      <c r="F601" s="166" t="str">
        <f t="shared" si="28"/>
        <v>Date check - OK</v>
      </c>
      <c r="G601" s="68"/>
      <c r="H601" s="162" t="s">
        <v>280</v>
      </c>
      <c r="I601" s="173">
        <v>21853.086195380012</v>
      </c>
      <c r="J601" s="168">
        <f>IFERROR(MIN('MP Calculations'!$E$30/I601,1),"-")</f>
        <v>0.32927792945511891</v>
      </c>
      <c r="K601" s="12"/>
      <c r="L601" s="159">
        <v>7.7465599999999997</v>
      </c>
      <c r="M601" s="187" t="s">
        <v>293</v>
      </c>
      <c r="N601" s="187">
        <v>237.97403299999999</v>
      </c>
      <c r="O601" s="186">
        <f t="shared" si="29"/>
        <v>1843.4801250764799</v>
      </c>
      <c r="P601" s="186">
        <f t="shared" si="30"/>
        <v>607.01731857684695</v>
      </c>
      <c r="Q601" s="215">
        <f>IF(P601="-",0,P601/(1+'General inputs'!$H$30)^'MP Calculations'!$C$40)</f>
        <v>1348.3608959454266</v>
      </c>
    </row>
    <row r="602" spans="3:17">
      <c r="C602" s="159"/>
      <c r="D602" s="165" t="s">
        <v>282</v>
      </c>
      <c r="E602" s="162">
        <v>28491</v>
      </c>
      <c r="F602" s="166" t="str">
        <f t="shared" si="28"/>
        <v>Date check - OK</v>
      </c>
      <c r="G602" s="68"/>
      <c r="H602" s="162" t="s">
        <v>280</v>
      </c>
      <c r="I602" s="173">
        <v>21853.086195380012</v>
      </c>
      <c r="J602" s="168">
        <f>IFERROR(MIN('MP Calculations'!$E$30/I602,1),"-")</f>
        <v>0.32927792945511891</v>
      </c>
      <c r="K602" s="12"/>
      <c r="L602" s="159">
        <v>73.269476999999995</v>
      </c>
      <c r="M602" s="187" t="s">
        <v>293</v>
      </c>
      <c r="N602" s="187">
        <v>237.97403299999999</v>
      </c>
      <c r="O602" s="186">
        <f t="shared" si="29"/>
        <v>17436.232937490739</v>
      </c>
      <c r="P602" s="186">
        <f t="shared" si="30"/>
        <v>5741.3666791540963</v>
      </c>
      <c r="Q602" s="215">
        <f>IF(P602="-",0,P602/(1+'General inputs'!$H$30)^'MP Calculations'!$C$40)</f>
        <v>12753.234681351829</v>
      </c>
    </row>
    <row r="603" spans="3:17">
      <c r="C603" s="159"/>
      <c r="D603" s="165" t="s">
        <v>282</v>
      </c>
      <c r="E603" s="162">
        <v>28491</v>
      </c>
      <c r="F603" s="166" t="str">
        <f t="shared" si="28"/>
        <v>Date check - OK</v>
      </c>
      <c r="G603" s="68"/>
      <c r="H603" s="162" t="s">
        <v>280</v>
      </c>
      <c r="I603" s="173">
        <v>21853.086195380012</v>
      </c>
      <c r="J603" s="168">
        <f>IFERROR(MIN('MP Calculations'!$E$30/I603,1),"-")</f>
        <v>0.32927792945511891</v>
      </c>
      <c r="K603" s="12"/>
      <c r="L603" s="159">
        <v>7.2396929999999999</v>
      </c>
      <c r="M603" s="187" t="s">
        <v>293</v>
      </c>
      <c r="N603" s="187">
        <v>237.97403299999999</v>
      </c>
      <c r="O603" s="186">
        <f t="shared" si="29"/>
        <v>1722.858940891869</v>
      </c>
      <c r="P603" s="186">
        <f t="shared" si="30"/>
        <v>567.29942480011368</v>
      </c>
      <c r="Q603" s="215">
        <f>IF(P603="-",0,P603/(1+'General inputs'!$H$30)^'MP Calculations'!$C$40)</f>
        <v>1260.1359751747657</v>
      </c>
    </row>
    <row r="604" spans="3:17">
      <c r="C604" s="159"/>
      <c r="D604" s="165" t="s">
        <v>283</v>
      </c>
      <c r="E604" s="162">
        <v>28491</v>
      </c>
      <c r="F604" s="166" t="str">
        <f t="shared" si="28"/>
        <v>Date check - OK</v>
      </c>
      <c r="G604" s="68"/>
      <c r="H604" s="162" t="s">
        <v>280</v>
      </c>
      <c r="I604" s="173">
        <v>21853.086195380012</v>
      </c>
      <c r="J604" s="168">
        <f>IFERROR(MIN('MP Calculations'!$E$30/I604,1),"-")</f>
        <v>0.32927792945511891</v>
      </c>
      <c r="K604" s="12"/>
      <c r="L604" s="159">
        <v>0.80232000000000003</v>
      </c>
      <c r="M604" s="187" t="s">
        <v>293</v>
      </c>
      <c r="N604" s="187">
        <v>192.78728599999999</v>
      </c>
      <c r="O604" s="186">
        <f t="shared" si="29"/>
        <v>154.67709530351999</v>
      </c>
      <c r="P604" s="186">
        <f t="shared" si="30"/>
        <v>50.931753675675161</v>
      </c>
      <c r="Q604" s="215">
        <f>IF(P604="-",0,P604/(1+'General inputs'!$H$30)^'MP Calculations'!$C$40)</f>
        <v>113.13414447418459</v>
      </c>
    </row>
    <row r="605" spans="3:17">
      <c r="C605" s="159"/>
      <c r="D605" s="165" t="s">
        <v>282</v>
      </c>
      <c r="E605" s="162">
        <v>28491</v>
      </c>
      <c r="F605" s="166" t="str">
        <f t="shared" si="28"/>
        <v>Date check - OK</v>
      </c>
      <c r="G605" s="68"/>
      <c r="H605" s="162" t="s">
        <v>280</v>
      </c>
      <c r="I605" s="173">
        <v>21853.086195380012</v>
      </c>
      <c r="J605" s="168">
        <f>IFERROR(MIN('MP Calculations'!$E$30/I605,1),"-")</f>
        <v>0.32927792945511891</v>
      </c>
      <c r="K605" s="12"/>
      <c r="L605" s="159">
        <v>0.400476</v>
      </c>
      <c r="M605" s="187" t="s">
        <v>293</v>
      </c>
      <c r="N605" s="187">
        <v>237.97403299999999</v>
      </c>
      <c r="O605" s="186">
        <f t="shared" si="29"/>
        <v>95.30288883970799</v>
      </c>
      <c r="P605" s="186">
        <f t="shared" si="30"/>
        <v>31.381137908230407</v>
      </c>
      <c r="Q605" s="215">
        <f>IF(P605="-",0,P605/(1+'General inputs'!$H$30)^'MP Calculations'!$C$40)</f>
        <v>69.706576617833036</v>
      </c>
    </row>
    <row r="606" spans="3:17">
      <c r="C606" s="159"/>
      <c r="D606" s="165" t="s">
        <v>282</v>
      </c>
      <c r="E606" s="162">
        <v>28491</v>
      </c>
      <c r="F606" s="166" t="str">
        <f t="shared" si="28"/>
        <v>Date check - OK</v>
      </c>
      <c r="G606" s="68"/>
      <c r="H606" s="162" t="s">
        <v>280</v>
      </c>
      <c r="I606" s="173">
        <v>21853.086195380012</v>
      </c>
      <c r="J606" s="168">
        <f>IFERROR(MIN('MP Calculations'!$E$30/I606,1),"-")</f>
        <v>0.32927792945511891</v>
      </c>
      <c r="K606" s="12"/>
      <c r="L606" s="159">
        <v>3.2981729999999998</v>
      </c>
      <c r="M606" s="187" t="s">
        <v>293</v>
      </c>
      <c r="N606" s="187">
        <v>237.97403299999999</v>
      </c>
      <c r="O606" s="186">
        <f t="shared" si="29"/>
        <v>784.87953034170891</v>
      </c>
      <c r="P606" s="186">
        <f t="shared" si="30"/>
        <v>258.44350662262411</v>
      </c>
      <c r="Q606" s="215">
        <f>IF(P606="-",0,P606/(1+'General inputs'!$H$30)^'MP Calculations'!$C$40)</f>
        <v>574.0777198218326</v>
      </c>
    </row>
    <row r="607" spans="3:17">
      <c r="C607" s="159"/>
      <c r="D607" s="165" t="s">
        <v>283</v>
      </c>
      <c r="E607" s="162">
        <v>28856</v>
      </c>
      <c r="F607" s="166" t="str">
        <f t="shared" si="28"/>
        <v>Date check - OK</v>
      </c>
      <c r="G607" s="68"/>
      <c r="H607" s="162" t="s">
        <v>280</v>
      </c>
      <c r="I607" s="173">
        <v>21853.086195380012</v>
      </c>
      <c r="J607" s="168">
        <f>IFERROR(MIN('MP Calculations'!$E$30/I607,1),"-")</f>
        <v>0.32927792945511891</v>
      </c>
      <c r="K607" s="12"/>
      <c r="L607" s="159">
        <v>36.383194000000003</v>
      </c>
      <c r="M607" s="187" t="s">
        <v>293</v>
      </c>
      <c r="N607" s="187">
        <v>192.78728599999999</v>
      </c>
      <c r="O607" s="186">
        <f t="shared" si="29"/>
        <v>7014.2172272714843</v>
      </c>
      <c r="P607" s="186">
        <f t="shared" si="30"/>
        <v>2309.6269253443797</v>
      </c>
      <c r="Q607" s="215">
        <f>IF(P607="-",0,P607/(1+'General inputs'!$H$30)^'MP Calculations'!$C$40)</f>
        <v>5130.3488962362735</v>
      </c>
    </row>
    <row r="608" spans="3:17">
      <c r="C608" s="159"/>
      <c r="D608" s="165" t="s">
        <v>283</v>
      </c>
      <c r="E608" s="162">
        <v>28856</v>
      </c>
      <c r="F608" s="166" t="str">
        <f t="shared" si="28"/>
        <v>Date check - OK</v>
      </c>
      <c r="G608" s="68"/>
      <c r="H608" s="162" t="s">
        <v>280</v>
      </c>
      <c r="I608" s="173">
        <v>21853.086195380012</v>
      </c>
      <c r="J608" s="168">
        <f>IFERROR(MIN('MP Calculations'!$E$30/I608,1),"-")</f>
        <v>0.32927792945511891</v>
      </c>
      <c r="K608" s="12"/>
      <c r="L608" s="159">
        <v>48.253987000000002</v>
      </c>
      <c r="M608" s="187" t="s">
        <v>293</v>
      </c>
      <c r="N608" s="187">
        <v>192.78728599999999</v>
      </c>
      <c r="O608" s="186">
        <f t="shared" si="29"/>
        <v>9302.7551924092822</v>
      </c>
      <c r="P608" s="186">
        <f t="shared" si="30"/>
        <v>3063.191967984385</v>
      </c>
      <c r="Q608" s="215">
        <f>IF(P608="-",0,P608/(1+'General inputs'!$H$30)^'MP Calculations'!$C$40)</f>
        <v>6804.2346404345226</v>
      </c>
    </row>
    <row r="609" spans="3:17">
      <c r="C609" s="159"/>
      <c r="D609" s="165" t="s">
        <v>283</v>
      </c>
      <c r="E609" s="162">
        <v>28856</v>
      </c>
      <c r="F609" s="166" t="str">
        <f t="shared" si="28"/>
        <v>Date check - OK</v>
      </c>
      <c r="G609" s="68"/>
      <c r="H609" s="162" t="s">
        <v>280</v>
      </c>
      <c r="I609" s="173">
        <v>21853.086195380012</v>
      </c>
      <c r="J609" s="168">
        <f>IFERROR(MIN('MP Calculations'!$E$30/I609,1),"-")</f>
        <v>0.32927792945511891</v>
      </c>
      <c r="K609" s="12"/>
      <c r="L609" s="159">
        <v>10.714155</v>
      </c>
      <c r="M609" s="187" t="s">
        <v>293</v>
      </c>
      <c r="N609" s="187">
        <v>192.78728599999999</v>
      </c>
      <c r="O609" s="186">
        <f t="shared" si="29"/>
        <v>2065.5528642333297</v>
      </c>
      <c r="P609" s="186">
        <f t="shared" si="30"/>
        <v>680.14097031484118</v>
      </c>
      <c r="Q609" s="215">
        <f>IF(P609="-",0,P609/(1+'General inputs'!$H$30)^'MP Calculations'!$C$40)</f>
        <v>1510.7896595981742</v>
      </c>
    </row>
    <row r="610" spans="3:17">
      <c r="C610" s="159"/>
      <c r="D610" s="165" t="s">
        <v>283</v>
      </c>
      <c r="E610" s="162">
        <v>28856</v>
      </c>
      <c r="F610" s="166" t="str">
        <f t="shared" si="28"/>
        <v>Date check - OK</v>
      </c>
      <c r="G610" s="68"/>
      <c r="H610" s="162" t="s">
        <v>280</v>
      </c>
      <c r="I610" s="173">
        <v>21853.086195380012</v>
      </c>
      <c r="J610" s="168">
        <f>IFERROR(MIN('MP Calculations'!$E$30/I610,1),"-")</f>
        <v>0.32927792945511891</v>
      </c>
      <c r="K610" s="12"/>
      <c r="L610" s="159">
        <v>13.384834</v>
      </c>
      <c r="M610" s="187" t="s">
        <v>293</v>
      </c>
      <c r="N610" s="187">
        <v>192.78728599999999</v>
      </c>
      <c r="O610" s="186">
        <f t="shared" si="29"/>
        <v>2580.4258204205239</v>
      </c>
      <c r="P610" s="186">
        <f t="shared" si="30"/>
        <v>849.67727126059663</v>
      </c>
      <c r="Q610" s="215">
        <f>IF(P610="-",0,P610/(1+'General inputs'!$H$30)^'MP Calculations'!$C$40)</f>
        <v>1887.378780934014</v>
      </c>
    </row>
    <row r="611" spans="3:17">
      <c r="C611" s="159"/>
      <c r="D611" s="165" t="s">
        <v>283</v>
      </c>
      <c r="E611" s="162">
        <v>28856</v>
      </c>
      <c r="F611" s="166" t="str">
        <f t="shared" si="28"/>
        <v>Date check - OK</v>
      </c>
      <c r="G611" s="68"/>
      <c r="H611" s="162" t="s">
        <v>280</v>
      </c>
      <c r="I611" s="173">
        <v>21853.086195380012</v>
      </c>
      <c r="J611" s="168">
        <f>IFERROR(MIN('MP Calculations'!$E$30/I611,1),"-")</f>
        <v>0.32927792945511891</v>
      </c>
      <c r="K611" s="12"/>
      <c r="L611" s="159">
        <v>1.1420269999999999</v>
      </c>
      <c r="M611" s="187" t="s">
        <v>293</v>
      </c>
      <c r="N611" s="187">
        <v>192.78728599999999</v>
      </c>
      <c r="O611" s="186">
        <f t="shared" si="29"/>
        <v>220.16828586872197</v>
      </c>
      <c r="P611" s="186">
        <f t="shared" si="30"/>
        <v>72.496557302535479</v>
      </c>
      <c r="Q611" s="215">
        <f>IF(P611="-",0,P611/(1+'General inputs'!$H$30)^'MP Calculations'!$C$40)</f>
        <v>161.03580567780884</v>
      </c>
    </row>
    <row r="612" spans="3:17">
      <c r="C612" s="159"/>
      <c r="D612" s="165" t="s">
        <v>283</v>
      </c>
      <c r="E612" s="162">
        <v>29392</v>
      </c>
      <c r="F612" s="166" t="str">
        <f t="shared" si="28"/>
        <v>Date check - OK</v>
      </c>
      <c r="G612" s="68"/>
      <c r="H612" s="162" t="s">
        <v>280</v>
      </c>
      <c r="I612" s="173">
        <v>21853.086195380012</v>
      </c>
      <c r="J612" s="168">
        <f>IFERROR(MIN('MP Calculations'!$E$30/I612,1),"-")</f>
        <v>0.32927792945511891</v>
      </c>
      <c r="K612" s="12"/>
      <c r="L612" s="159">
        <v>58.353538</v>
      </c>
      <c r="M612" s="187" t="s">
        <v>293</v>
      </c>
      <c r="N612" s="187">
        <v>192.78728599999999</v>
      </c>
      <c r="O612" s="186">
        <f t="shared" si="29"/>
        <v>11249.820219517867</v>
      </c>
      <c r="P612" s="186">
        <f t="shared" si="30"/>
        <v>3704.3175086251745</v>
      </c>
      <c r="Q612" s="215">
        <f>IF(P612="-",0,P612/(1+'General inputs'!$H$30)^'MP Calculations'!$C$40)</f>
        <v>8228.359755050129</v>
      </c>
    </row>
    <row r="613" spans="3:17">
      <c r="C613" s="159"/>
      <c r="D613" s="165" t="s">
        <v>283</v>
      </c>
      <c r="E613" s="162">
        <v>29392</v>
      </c>
      <c r="F613" s="166" t="str">
        <f t="shared" si="28"/>
        <v>Date check - OK</v>
      </c>
      <c r="G613" s="68"/>
      <c r="H613" s="162" t="s">
        <v>280</v>
      </c>
      <c r="I613" s="173">
        <v>21853.086195380012</v>
      </c>
      <c r="J613" s="168">
        <f>IFERROR(MIN('MP Calculations'!$E$30/I613,1),"-")</f>
        <v>0.32927792945511891</v>
      </c>
      <c r="K613" s="12"/>
      <c r="L613" s="159">
        <v>24.690773</v>
      </c>
      <c r="M613" s="187" t="s">
        <v>293</v>
      </c>
      <c r="N613" s="187">
        <v>192.78728599999999</v>
      </c>
      <c r="O613" s="186">
        <f t="shared" si="29"/>
        <v>4760.0671159120775</v>
      </c>
      <c r="P613" s="186">
        <f t="shared" si="30"/>
        <v>1567.3850439949283</v>
      </c>
      <c r="Q613" s="215">
        <f>IF(P613="-",0,P613/(1+'General inputs'!$H$30)^'MP Calculations'!$C$40)</f>
        <v>3481.6151657210289</v>
      </c>
    </row>
    <row r="614" spans="3:17">
      <c r="C614" s="159"/>
      <c r="D614" s="165" t="s">
        <v>283</v>
      </c>
      <c r="E614" s="162">
        <v>29392</v>
      </c>
      <c r="F614" s="166" t="str">
        <f t="shared" si="28"/>
        <v>Date check - OK</v>
      </c>
      <c r="G614" s="68"/>
      <c r="H614" s="162" t="s">
        <v>280</v>
      </c>
      <c r="I614" s="173">
        <v>21853.086195380012</v>
      </c>
      <c r="J614" s="168">
        <f>IFERROR(MIN('MP Calculations'!$E$30/I614,1),"-")</f>
        <v>0.32927792945511891</v>
      </c>
      <c r="K614" s="12"/>
      <c r="L614" s="159">
        <v>72.972431</v>
      </c>
      <c r="M614" s="187" t="s">
        <v>293</v>
      </c>
      <c r="N614" s="187">
        <v>192.78728599999999</v>
      </c>
      <c r="O614" s="186">
        <f t="shared" si="29"/>
        <v>14068.156925312265</v>
      </c>
      <c r="P614" s="186">
        <f t="shared" si="30"/>
        <v>4632.3335836165143</v>
      </c>
      <c r="Q614" s="215">
        <f>IF(P614="-",0,P614/(1+'General inputs'!$H$30)^'MP Calculations'!$C$40)</f>
        <v>10289.751659420763</v>
      </c>
    </row>
    <row r="615" spans="3:17">
      <c r="C615" s="159"/>
      <c r="D615" s="165" t="s">
        <v>283</v>
      </c>
      <c r="E615" s="162">
        <v>29392</v>
      </c>
      <c r="F615" s="166" t="str">
        <f t="shared" si="28"/>
        <v>Date check - OK</v>
      </c>
      <c r="G615" s="68"/>
      <c r="H615" s="162" t="s">
        <v>280</v>
      </c>
      <c r="I615" s="173">
        <v>21853.086195380012</v>
      </c>
      <c r="J615" s="168">
        <f>IFERROR(MIN('MP Calculations'!$E$30/I615,1),"-")</f>
        <v>0.32927792945511891</v>
      </c>
      <c r="K615" s="12"/>
      <c r="L615" s="159">
        <v>15.99492</v>
      </c>
      <c r="M615" s="187" t="s">
        <v>293</v>
      </c>
      <c r="N615" s="187">
        <v>192.78728599999999</v>
      </c>
      <c r="O615" s="186">
        <f t="shared" si="29"/>
        <v>3083.6172165871199</v>
      </c>
      <c r="P615" s="186">
        <f t="shared" si="30"/>
        <v>1015.3670923099638</v>
      </c>
      <c r="Q615" s="215">
        <f>IF(P615="-",0,P615/(1+'General inputs'!$H$30)^'MP Calculations'!$C$40)</f>
        <v>2255.4237587658599</v>
      </c>
    </row>
    <row r="616" spans="3:17">
      <c r="C616" s="159"/>
      <c r="D616" s="165" t="s">
        <v>282</v>
      </c>
      <c r="E616" s="162">
        <v>29587</v>
      </c>
      <c r="F616" s="166" t="str">
        <f t="shared" si="28"/>
        <v>Date check - OK</v>
      </c>
      <c r="G616" s="68"/>
      <c r="H616" s="162" t="s">
        <v>280</v>
      </c>
      <c r="I616" s="173">
        <v>21853.086195380012</v>
      </c>
      <c r="J616" s="168">
        <f>IFERROR(MIN('MP Calculations'!$E$30/I616,1),"-")</f>
        <v>0.32927792945511891</v>
      </c>
      <c r="K616" s="12"/>
      <c r="L616" s="159">
        <v>140.319874</v>
      </c>
      <c r="M616" s="187" t="s">
        <v>293</v>
      </c>
      <c r="N616" s="187">
        <v>237.97403299999999</v>
      </c>
      <c r="O616" s="186">
        <f t="shared" si="29"/>
        <v>33392.486325831844</v>
      </c>
      <c r="P616" s="186">
        <f t="shared" si="30"/>
        <v>10995.40875672828</v>
      </c>
      <c r="Q616" s="215">
        <f>IF(P616="-",0,P616/(1+'General inputs'!$H$30)^'MP Calculations'!$C$40)</f>
        <v>24423.980583070341</v>
      </c>
    </row>
    <row r="617" spans="3:17">
      <c r="C617" s="159"/>
      <c r="D617" s="165" t="s">
        <v>282</v>
      </c>
      <c r="E617" s="162">
        <v>29587</v>
      </c>
      <c r="F617" s="166" t="str">
        <f t="shared" si="28"/>
        <v>Date check - OK</v>
      </c>
      <c r="G617" s="68"/>
      <c r="H617" s="162" t="s">
        <v>280</v>
      </c>
      <c r="I617" s="173">
        <v>21853.086195380012</v>
      </c>
      <c r="J617" s="168">
        <f>IFERROR(MIN('MP Calculations'!$E$30/I617,1),"-")</f>
        <v>0.32927792945511891</v>
      </c>
      <c r="K617" s="12"/>
      <c r="L617" s="159">
        <v>105.141386</v>
      </c>
      <c r="M617" s="187" t="s">
        <v>293</v>
      </c>
      <c r="N617" s="187">
        <v>237.97403299999999</v>
      </c>
      <c r="O617" s="186">
        <f t="shared" si="29"/>
        <v>25020.919661629738</v>
      </c>
      <c r="P617" s="186">
        <f t="shared" si="30"/>
        <v>8238.8366192443136</v>
      </c>
      <c r="Q617" s="215">
        <f>IF(P617="-",0,P617/(1+'General inputs'!$H$30)^'MP Calculations'!$C$40)</f>
        <v>18300.837201016184</v>
      </c>
    </row>
    <row r="618" spans="3:17">
      <c r="C618" s="159"/>
      <c r="D618" s="165" t="s">
        <v>282</v>
      </c>
      <c r="E618" s="162">
        <v>29587</v>
      </c>
      <c r="F618" s="166" t="str">
        <f t="shared" si="28"/>
        <v>Date check - OK</v>
      </c>
      <c r="G618" s="68"/>
      <c r="H618" s="162" t="s">
        <v>280</v>
      </c>
      <c r="I618" s="173">
        <v>21853.086195380012</v>
      </c>
      <c r="J618" s="168">
        <f>IFERROR(MIN('MP Calculations'!$E$30/I618,1),"-")</f>
        <v>0.32927792945511891</v>
      </c>
      <c r="K618" s="12"/>
      <c r="L618" s="159">
        <v>48.428742999999997</v>
      </c>
      <c r="M618" s="187" t="s">
        <v>293</v>
      </c>
      <c r="N618" s="187">
        <v>237.97403299999999</v>
      </c>
      <c r="O618" s="186">
        <f t="shared" si="29"/>
        <v>11524.783284830519</v>
      </c>
      <c r="P618" s="186">
        <f t="shared" si="30"/>
        <v>3794.856777447957</v>
      </c>
      <c r="Q618" s="215">
        <f>IF(P618="-",0,P618/(1+'General inputs'!$H$30)^'MP Calculations'!$C$40)</f>
        <v>8429.4736374585373</v>
      </c>
    </row>
    <row r="619" spans="3:17">
      <c r="C619" s="159"/>
      <c r="D619" s="165" t="s">
        <v>282</v>
      </c>
      <c r="E619" s="162">
        <v>29587</v>
      </c>
      <c r="F619" s="166" t="str">
        <f t="shared" si="28"/>
        <v>Date check - OK</v>
      </c>
      <c r="G619" s="68"/>
      <c r="H619" s="162" t="s">
        <v>280</v>
      </c>
      <c r="I619" s="173">
        <v>21853.086195380012</v>
      </c>
      <c r="J619" s="168">
        <f>IFERROR(MIN('MP Calculations'!$E$30/I619,1),"-")</f>
        <v>0.32927792945511891</v>
      </c>
      <c r="K619" s="12"/>
      <c r="L619" s="159">
        <v>2.0989770000000001</v>
      </c>
      <c r="M619" s="187" t="s">
        <v>293</v>
      </c>
      <c r="N619" s="187">
        <v>237.97403299999999</v>
      </c>
      <c r="O619" s="186">
        <f t="shared" si="29"/>
        <v>499.50202186424099</v>
      </c>
      <c r="P619" s="186">
        <f t="shared" si="30"/>
        <v>164.4749915181028</v>
      </c>
      <c r="Q619" s="215">
        <f>IF(P619="-",0,P619/(1+'General inputs'!$H$30)^'MP Calculations'!$C$40)</f>
        <v>365.34649035040633</v>
      </c>
    </row>
    <row r="620" spans="3:17">
      <c r="C620" s="159"/>
      <c r="D620" s="165" t="s">
        <v>282</v>
      </c>
      <c r="E620" s="162">
        <v>29587</v>
      </c>
      <c r="F620" s="166" t="str">
        <f t="shared" si="28"/>
        <v>Date check - OK</v>
      </c>
      <c r="G620" s="68"/>
      <c r="H620" s="162" t="s">
        <v>280</v>
      </c>
      <c r="I620" s="173">
        <v>21853.086195380012</v>
      </c>
      <c r="J620" s="168">
        <f>IFERROR(MIN('MP Calculations'!$E$30/I620,1),"-")</f>
        <v>0.32927792945511891</v>
      </c>
      <c r="K620" s="12"/>
      <c r="L620" s="159">
        <v>0.59982199999999997</v>
      </c>
      <c r="M620" s="187" t="s">
        <v>293</v>
      </c>
      <c r="N620" s="187">
        <v>237.97403299999999</v>
      </c>
      <c r="O620" s="186">
        <f t="shared" si="29"/>
        <v>142.74206042212597</v>
      </c>
      <c r="P620" s="186">
        <f t="shared" si="30"/>
        <v>47.001810101955115</v>
      </c>
      <c r="Q620" s="215">
        <f>IF(P620="-",0,P620/(1+'General inputs'!$H$30)^'MP Calculations'!$C$40)</f>
        <v>104.40460402136917</v>
      </c>
    </row>
    <row r="621" spans="3:17">
      <c r="C621" s="159"/>
      <c r="D621" s="165" t="s">
        <v>282</v>
      </c>
      <c r="E621" s="162">
        <v>29587</v>
      </c>
      <c r="F621" s="166" t="str">
        <f t="shared" si="28"/>
        <v>Date check - OK</v>
      </c>
      <c r="G621" s="68"/>
      <c r="H621" s="162" t="s">
        <v>280</v>
      </c>
      <c r="I621" s="173">
        <v>21853.086195380012</v>
      </c>
      <c r="J621" s="168">
        <f>IFERROR(MIN('MP Calculations'!$E$30/I621,1),"-")</f>
        <v>0.32927792945511891</v>
      </c>
      <c r="K621" s="12"/>
      <c r="L621" s="159">
        <v>48.668179000000002</v>
      </c>
      <c r="M621" s="187" t="s">
        <v>293</v>
      </c>
      <c r="N621" s="187">
        <v>237.97403299999999</v>
      </c>
      <c r="O621" s="186">
        <f t="shared" si="29"/>
        <v>11581.762835395906</v>
      </c>
      <c r="P621" s="186">
        <f t="shared" si="30"/>
        <v>3813.6188858794112</v>
      </c>
      <c r="Q621" s="215">
        <f>IF(P621="-",0,P621/(1+'General inputs'!$H$30)^'MP Calculations'!$C$40)</f>
        <v>8471.1497026386423</v>
      </c>
    </row>
    <row r="622" spans="3:17">
      <c r="C622" s="159"/>
      <c r="D622" s="165" t="s">
        <v>282</v>
      </c>
      <c r="E622" s="162">
        <v>29587</v>
      </c>
      <c r="F622" s="166" t="str">
        <f t="shared" si="28"/>
        <v>Date check - OK</v>
      </c>
      <c r="G622" s="68"/>
      <c r="H622" s="162" t="s">
        <v>280</v>
      </c>
      <c r="I622" s="173">
        <v>21853.086195380012</v>
      </c>
      <c r="J622" s="168">
        <f>IFERROR(MIN('MP Calculations'!$E$30/I622,1),"-")</f>
        <v>0.32927792945511891</v>
      </c>
      <c r="K622" s="12"/>
      <c r="L622" s="159">
        <v>0.599908</v>
      </c>
      <c r="M622" s="187" t="s">
        <v>293</v>
      </c>
      <c r="N622" s="187">
        <v>237.97403299999999</v>
      </c>
      <c r="O622" s="186">
        <f t="shared" si="29"/>
        <v>142.76252618896399</v>
      </c>
      <c r="P622" s="186">
        <f t="shared" si="30"/>
        <v>47.008549027284253</v>
      </c>
      <c r="Q622" s="215">
        <f>IF(P622="-",0,P622/(1+'General inputs'!$H$30)^'MP Calculations'!$C$40)</f>
        <v>104.41957312211214</v>
      </c>
    </row>
    <row r="623" spans="3:17">
      <c r="C623" s="159"/>
      <c r="D623" s="165" t="s">
        <v>282</v>
      </c>
      <c r="E623" s="162">
        <v>29587</v>
      </c>
      <c r="F623" s="166" t="str">
        <f t="shared" si="28"/>
        <v>Date check - OK</v>
      </c>
      <c r="G623" s="68"/>
      <c r="H623" s="162" t="s">
        <v>280</v>
      </c>
      <c r="I623" s="173">
        <v>21853.086195380012</v>
      </c>
      <c r="J623" s="168">
        <f>IFERROR(MIN('MP Calculations'!$E$30/I623,1),"-")</f>
        <v>0.32927792945511891</v>
      </c>
      <c r="K623" s="12"/>
      <c r="L623" s="159">
        <v>14.742582000000001</v>
      </c>
      <c r="M623" s="187" t="s">
        <v>293</v>
      </c>
      <c r="N623" s="187">
        <v>237.97403299999999</v>
      </c>
      <c r="O623" s="186">
        <f t="shared" si="29"/>
        <v>3508.351695373206</v>
      </c>
      <c r="P623" s="186">
        <f t="shared" si="30"/>
        <v>1155.2227820528453</v>
      </c>
      <c r="Q623" s="215">
        <f>IF(P623="-",0,P623/(1+'General inputs'!$H$30)^'MP Calculations'!$C$40)</f>
        <v>2566.0836647581532</v>
      </c>
    </row>
    <row r="624" spans="3:17">
      <c r="C624" s="159"/>
      <c r="D624" s="165" t="s">
        <v>282</v>
      </c>
      <c r="E624" s="162">
        <v>29587</v>
      </c>
      <c r="F624" s="166" t="str">
        <f t="shared" si="28"/>
        <v>Date check - OK</v>
      </c>
      <c r="G624" s="68"/>
      <c r="H624" s="162" t="s">
        <v>280</v>
      </c>
      <c r="I624" s="173">
        <v>21853.086195380012</v>
      </c>
      <c r="J624" s="168">
        <f>IFERROR(MIN('MP Calculations'!$E$30/I624,1),"-")</f>
        <v>0.32927792945511891</v>
      </c>
      <c r="K624" s="12"/>
      <c r="L624" s="159">
        <v>149.27291199999999</v>
      </c>
      <c r="M624" s="187" t="s">
        <v>293</v>
      </c>
      <c r="N624" s="187">
        <v>237.97403299999999</v>
      </c>
      <c r="O624" s="186">
        <f t="shared" si="29"/>
        <v>35523.076886294089</v>
      </c>
      <c r="P624" s="186">
        <f t="shared" si="30"/>
        <v>11696.96520499391</v>
      </c>
      <c r="Q624" s="215">
        <f>IF(P624="-",0,P624/(1+'General inputs'!$H$30)^'MP Calculations'!$C$40)</f>
        <v>25982.340208389633</v>
      </c>
    </row>
    <row r="625" spans="3:17">
      <c r="C625" s="159"/>
      <c r="D625" s="165" t="s">
        <v>282</v>
      </c>
      <c r="E625" s="162">
        <v>29587</v>
      </c>
      <c r="F625" s="166" t="str">
        <f t="shared" si="28"/>
        <v>Date check - OK</v>
      </c>
      <c r="G625" s="68"/>
      <c r="H625" s="162" t="s">
        <v>280</v>
      </c>
      <c r="I625" s="173">
        <v>21853.086195380012</v>
      </c>
      <c r="J625" s="168">
        <f>IFERROR(MIN('MP Calculations'!$E$30/I625,1),"-")</f>
        <v>0.32927792945511891</v>
      </c>
      <c r="K625" s="12"/>
      <c r="L625" s="159">
        <v>33.621585000000003</v>
      </c>
      <c r="M625" s="187" t="s">
        <v>293</v>
      </c>
      <c r="N625" s="187">
        <v>237.97403299999999</v>
      </c>
      <c r="O625" s="186">
        <f t="shared" ref="O625:O628" si="31">IF(N625="","-",L625*N625)</f>
        <v>8001.0641783023057</v>
      </c>
      <c r="P625" s="186">
        <f t="shared" ref="P625:P628" si="32">IF(O625="-","-",IF(OR(E625&lt;$E$15,E625&gt;$E$16),0,O625*J625))</f>
        <v>2634.5738460689054</v>
      </c>
      <c r="Q625" s="215">
        <f>IF(P625="-",0,P625/(1+'General inputs'!$H$30)^'MP Calculations'!$C$40)</f>
        <v>5852.1499186355386</v>
      </c>
    </row>
    <row r="626" spans="3:17">
      <c r="C626" s="159"/>
      <c r="D626" s="165" t="s">
        <v>282</v>
      </c>
      <c r="E626" s="162">
        <v>29587</v>
      </c>
      <c r="F626" s="166" t="str">
        <f t="shared" si="28"/>
        <v>Date check - OK</v>
      </c>
      <c r="G626" s="68"/>
      <c r="H626" s="162" t="s">
        <v>280</v>
      </c>
      <c r="I626" s="173">
        <v>21853.086195380012</v>
      </c>
      <c r="J626" s="168">
        <f>IFERROR(MIN('MP Calculations'!$E$30/I626,1),"-")</f>
        <v>0.32927792945511891</v>
      </c>
      <c r="K626" s="12"/>
      <c r="L626" s="159">
        <v>15.019067</v>
      </c>
      <c r="M626" s="187" t="s">
        <v>293</v>
      </c>
      <c r="N626" s="187">
        <v>237.97403299999999</v>
      </c>
      <c r="O626" s="186">
        <f t="shared" si="31"/>
        <v>3574.1479458872109</v>
      </c>
      <c r="P626" s="186">
        <f t="shared" si="32"/>
        <v>1176.8880351880073</v>
      </c>
      <c r="Q626" s="215">
        <f>IF(P626="-",0,P626/(1+'General inputs'!$H$30)^'MP Calculations'!$C$40)</f>
        <v>2614.2084533501829</v>
      </c>
    </row>
    <row r="627" spans="3:17">
      <c r="C627" s="159"/>
      <c r="D627" s="165" t="s">
        <v>282</v>
      </c>
      <c r="E627" s="162">
        <v>29587</v>
      </c>
      <c r="F627" s="166" t="str">
        <f t="shared" si="28"/>
        <v>Date check - OK</v>
      </c>
      <c r="G627" s="68"/>
      <c r="H627" s="162" t="s">
        <v>280</v>
      </c>
      <c r="I627" s="173">
        <v>21853.086195380012</v>
      </c>
      <c r="J627" s="168">
        <f>IFERROR(MIN('MP Calculations'!$E$30/I627,1),"-")</f>
        <v>0.32927792945511891</v>
      </c>
      <c r="K627" s="12"/>
      <c r="L627" s="159">
        <v>17.814751000000001</v>
      </c>
      <c r="M627" s="187" t="s">
        <v>293</v>
      </c>
      <c r="N627" s="187">
        <v>237.97403299999999</v>
      </c>
      <c r="O627" s="186">
        <f t="shared" si="31"/>
        <v>4239.4481423607831</v>
      </c>
      <c r="P627" s="186">
        <f t="shared" si="32"/>
        <v>1395.9567063489089</v>
      </c>
      <c r="Q627" s="215">
        <f>IF(P627="-",0,P627/(1+'General inputs'!$H$30)^'MP Calculations'!$C$40)</f>
        <v>3100.8232840647574</v>
      </c>
    </row>
    <row r="628" spans="3:17">
      <c r="C628" s="159"/>
      <c r="D628" s="165" t="s">
        <v>282</v>
      </c>
      <c r="E628" s="162">
        <v>29587</v>
      </c>
      <c r="F628" s="166" t="str">
        <f t="shared" si="28"/>
        <v>Date check - OK</v>
      </c>
      <c r="G628" s="68"/>
      <c r="H628" s="162" t="s">
        <v>280</v>
      </c>
      <c r="I628" s="173">
        <v>21853.086195380012</v>
      </c>
      <c r="J628" s="168">
        <f>IFERROR(MIN('MP Calculations'!$E$30/I628,1),"-")</f>
        <v>0.32927792945511891</v>
      </c>
      <c r="K628" s="12"/>
      <c r="L628" s="159">
        <v>9.2904180000000007</v>
      </c>
      <c r="M628" s="187" t="s">
        <v>293</v>
      </c>
      <c r="N628" s="187">
        <v>237.97403299999999</v>
      </c>
      <c r="O628" s="186">
        <f t="shared" si="31"/>
        <v>2210.8782397157943</v>
      </c>
      <c r="P628" s="186">
        <f t="shared" si="32"/>
        <v>727.99340905099484</v>
      </c>
      <c r="Q628" s="215">
        <f>IF(P628="-",0,P628/(1+'General inputs'!$H$30)^'MP Calculations'!$C$40)</f>
        <v>1617.0837556525119</v>
      </c>
    </row>
    <row r="629" spans="3:17">
      <c r="C629" s="159"/>
      <c r="D629" s="165" t="s">
        <v>284</v>
      </c>
      <c r="E629" s="162">
        <v>29587</v>
      </c>
      <c r="F629" s="166" t="str">
        <f t="shared" si="28"/>
        <v>Date check - OK</v>
      </c>
      <c r="G629" s="68"/>
      <c r="H629" s="162" t="s">
        <v>280</v>
      </c>
      <c r="I629" s="173">
        <v>21853.086195380012</v>
      </c>
      <c r="J629" s="168">
        <f>IFERROR(MIN('MP Calculations'!$E$30/I629,1),"-")</f>
        <v>0.32927792945511891</v>
      </c>
      <c r="K629" s="12"/>
      <c r="L629" s="159">
        <v>6.4970720000000002</v>
      </c>
      <c r="M629" s="187" t="s">
        <v>293</v>
      </c>
      <c r="N629" s="187">
        <v>315.45229399999999</v>
      </c>
      <c r="O629" s="186">
        <f t="shared" si="29"/>
        <v>2049.5162666831679</v>
      </c>
      <c r="P629" s="186">
        <f t="shared" si="30"/>
        <v>674.86047267801882</v>
      </c>
      <c r="Q629" s="215">
        <f>IF(P629="-",0,P629/(1+'General inputs'!$H$30)^'MP Calculations'!$C$40)</f>
        <v>1499.0601482535615</v>
      </c>
    </row>
    <row r="630" spans="3:17">
      <c r="C630" s="159"/>
      <c r="D630" s="165" t="s">
        <v>282</v>
      </c>
      <c r="E630" s="162">
        <v>29587</v>
      </c>
      <c r="F630" s="166" t="str">
        <f t="shared" si="28"/>
        <v>Date check - OK</v>
      </c>
      <c r="G630" s="68"/>
      <c r="H630" s="162" t="s">
        <v>280</v>
      </c>
      <c r="I630" s="173">
        <v>21853.086195380012</v>
      </c>
      <c r="J630" s="168">
        <f>IFERROR(MIN('MP Calculations'!$E$30/I630,1),"-")</f>
        <v>0.32927792945511891</v>
      </c>
      <c r="K630" s="12"/>
      <c r="L630" s="159">
        <v>119.092478</v>
      </c>
      <c r="M630" s="187" t="s">
        <v>293</v>
      </c>
      <c r="N630" s="187">
        <v>237.97403299999999</v>
      </c>
      <c r="O630" s="186">
        <f t="shared" si="29"/>
        <v>28340.917289623772</v>
      </c>
      <c r="P630" s="186">
        <f t="shared" si="30"/>
        <v>9332.0385639860961</v>
      </c>
      <c r="Q630" s="215">
        <f>IF(P630="-",0,P630/(1+'General inputs'!$H$30)^'MP Calculations'!$C$40)</f>
        <v>20729.154661739016</v>
      </c>
    </row>
    <row r="631" spans="3:17">
      <c r="C631" s="159"/>
      <c r="D631" s="165" t="s">
        <v>282</v>
      </c>
      <c r="E631" s="162">
        <v>29587</v>
      </c>
      <c r="F631" s="166" t="str">
        <f t="shared" si="28"/>
        <v>Date check - OK</v>
      </c>
      <c r="G631" s="68"/>
      <c r="H631" s="162" t="s">
        <v>280</v>
      </c>
      <c r="I631" s="173">
        <v>21853.086195380012</v>
      </c>
      <c r="J631" s="168">
        <f>IFERROR(MIN('MP Calculations'!$E$30/I631,1),"-")</f>
        <v>0.32927792945511891</v>
      </c>
      <c r="K631" s="12"/>
      <c r="L631" s="159">
        <v>75.409077999999994</v>
      </c>
      <c r="M631" s="187" t="s">
        <v>293</v>
      </c>
      <c r="N631" s="187">
        <v>237.97403299999999</v>
      </c>
      <c r="O631" s="186">
        <f t="shared" si="29"/>
        <v>17945.40241647157</v>
      </c>
      <c r="P631" s="186">
        <f t="shared" si="30"/>
        <v>5909.0249509346459</v>
      </c>
      <c r="Q631" s="215">
        <f>IF(P631="-",0,P631/(1+'General inputs'!$H$30)^'MP Calculations'!$C$40)</f>
        <v>13125.652157150857</v>
      </c>
    </row>
    <row r="632" spans="3:17">
      <c r="C632" s="159"/>
      <c r="D632" s="165" t="s">
        <v>282</v>
      </c>
      <c r="E632" s="162">
        <v>29587</v>
      </c>
      <c r="F632" s="166" t="str">
        <f t="shared" si="28"/>
        <v>Date check - OK</v>
      </c>
      <c r="G632" s="68"/>
      <c r="H632" s="162" t="s">
        <v>280</v>
      </c>
      <c r="I632" s="173">
        <v>21853.086195380012</v>
      </c>
      <c r="J632" s="168">
        <f>IFERROR(MIN('MP Calculations'!$E$30/I632,1),"-")</f>
        <v>0.32927792945511891</v>
      </c>
      <c r="K632" s="12"/>
      <c r="L632" s="159">
        <v>0.90541199999999999</v>
      </c>
      <c r="M632" s="187" t="s">
        <v>293</v>
      </c>
      <c r="N632" s="187">
        <v>237.97403299999999</v>
      </c>
      <c r="O632" s="186">
        <f t="shared" si="29"/>
        <v>215.464545166596</v>
      </c>
      <c r="P632" s="186">
        <f t="shared" si="30"/>
        <v>70.94771930344568</v>
      </c>
      <c r="Q632" s="215">
        <f>IF(P632="-",0,P632/(1+'General inputs'!$H$30)^'MP Calculations'!$C$40)</f>
        <v>157.59538885902137</v>
      </c>
    </row>
    <row r="633" spans="3:17">
      <c r="C633" s="159"/>
      <c r="D633" s="165" t="s">
        <v>282</v>
      </c>
      <c r="E633" s="162">
        <v>29587</v>
      </c>
      <c r="F633" s="166" t="str">
        <f t="shared" si="28"/>
        <v>Date check - OK</v>
      </c>
      <c r="G633" s="68"/>
      <c r="H633" s="162" t="s">
        <v>280</v>
      </c>
      <c r="I633" s="173">
        <v>21853.086195380012</v>
      </c>
      <c r="J633" s="168">
        <f>IFERROR(MIN('MP Calculations'!$E$30/I633,1),"-")</f>
        <v>0.32927792945511891</v>
      </c>
      <c r="K633" s="12"/>
      <c r="L633" s="159">
        <v>0.59976499999999999</v>
      </c>
      <c r="M633" s="187" t="s">
        <v>293</v>
      </c>
      <c r="N633" s="187">
        <v>237.97403299999999</v>
      </c>
      <c r="O633" s="186">
        <f t="shared" si="29"/>
        <v>142.72849590224499</v>
      </c>
      <c r="P633" s="186">
        <f t="shared" si="30"/>
        <v>46.997343604934656</v>
      </c>
      <c r="Q633" s="215">
        <f>IF(P633="-",0,P633/(1+'General inputs'!$H$30)^'MP Calculations'!$C$40)</f>
        <v>104.39468264064421</v>
      </c>
    </row>
    <row r="634" spans="3:17">
      <c r="C634" s="159"/>
      <c r="D634" s="165" t="s">
        <v>282</v>
      </c>
      <c r="E634" s="162">
        <v>29587</v>
      </c>
      <c r="F634" s="166" t="str">
        <f t="shared" si="28"/>
        <v>Date check - OK</v>
      </c>
      <c r="G634" s="68"/>
      <c r="H634" s="162" t="s">
        <v>280</v>
      </c>
      <c r="I634" s="173">
        <v>21853.086195380012</v>
      </c>
      <c r="J634" s="168">
        <f>IFERROR(MIN('MP Calculations'!$E$30/I634,1),"-")</f>
        <v>0.32927792945511891</v>
      </c>
      <c r="K634" s="12"/>
      <c r="L634" s="159">
        <v>117.886053</v>
      </c>
      <c r="M634" s="187" t="s">
        <v>293</v>
      </c>
      <c r="N634" s="187">
        <v>237.97403299999999</v>
      </c>
      <c r="O634" s="186">
        <f t="shared" si="29"/>
        <v>28053.819466861751</v>
      </c>
      <c r="P634" s="186">
        <f t="shared" si="30"/>
        <v>9237.5035873559445</v>
      </c>
      <c r="Q634" s="215">
        <f>IF(P634="-",0,P634/(1+'General inputs'!$H$30)^'MP Calculations'!$C$40)</f>
        <v>20519.165157508629</v>
      </c>
    </row>
    <row r="635" spans="3:17">
      <c r="C635" s="159"/>
      <c r="D635" s="165" t="s">
        <v>283</v>
      </c>
      <c r="E635" s="162">
        <v>29587</v>
      </c>
      <c r="F635" s="166" t="str">
        <f t="shared" si="28"/>
        <v>Date check - OK</v>
      </c>
      <c r="G635" s="68"/>
      <c r="H635" s="162" t="s">
        <v>280</v>
      </c>
      <c r="I635" s="173">
        <v>21853.086195380012</v>
      </c>
      <c r="J635" s="168">
        <f>IFERROR(MIN('MP Calculations'!$E$30/I635,1),"-")</f>
        <v>0.32927792945511891</v>
      </c>
      <c r="K635" s="12"/>
      <c r="L635" s="159">
        <v>22.591242999999999</v>
      </c>
      <c r="M635" s="187" t="s">
        <v>293</v>
      </c>
      <c r="N635" s="187">
        <v>192.78728599999999</v>
      </c>
      <c r="O635" s="186">
        <f t="shared" si="29"/>
        <v>4355.3044253364978</v>
      </c>
      <c r="P635" s="186">
        <f t="shared" si="30"/>
        <v>1434.1056233215186</v>
      </c>
      <c r="Q635" s="215">
        <f>IF(P635="-",0,P635/(1+'General inputs'!$H$30)^'MP Calculations'!$C$40)</f>
        <v>3185.5630539104241</v>
      </c>
    </row>
    <row r="636" spans="3:17">
      <c r="C636" s="159"/>
      <c r="D636" s="165" t="s">
        <v>284</v>
      </c>
      <c r="E636" s="162">
        <v>29749</v>
      </c>
      <c r="F636" s="166" t="str">
        <f t="shared" si="28"/>
        <v>Date check - OK</v>
      </c>
      <c r="G636" s="68"/>
      <c r="H636" s="162" t="s">
        <v>280</v>
      </c>
      <c r="I636" s="173">
        <v>21853.086195380012</v>
      </c>
      <c r="J636" s="168">
        <f>IFERROR(MIN('MP Calculations'!$E$30/I636,1),"-")</f>
        <v>0.32927792945511891</v>
      </c>
      <c r="K636" s="12"/>
      <c r="L636" s="159">
        <v>0.49971300000000002</v>
      </c>
      <c r="M636" s="187" t="s">
        <v>293</v>
      </c>
      <c r="N636" s="187">
        <v>315.45229399999999</v>
      </c>
      <c r="O636" s="186">
        <f t="shared" si="29"/>
        <v>157.63561219162202</v>
      </c>
      <c r="P636" s="186">
        <f t="shared" si="30"/>
        <v>51.905927990847395</v>
      </c>
      <c r="Q636" s="215">
        <f>IF(P636="-",0,P636/(1+'General inputs'!$H$30)^'MP Calculations'!$C$40)</f>
        <v>115.29806716998552</v>
      </c>
    </row>
    <row r="637" spans="3:17">
      <c r="C637" s="159"/>
      <c r="D637" s="165" t="s">
        <v>284</v>
      </c>
      <c r="E637" s="162">
        <v>29952</v>
      </c>
      <c r="F637" s="166" t="str">
        <f t="shared" si="28"/>
        <v>Date check - OK</v>
      </c>
      <c r="G637" s="68"/>
      <c r="H637" s="162" t="s">
        <v>280</v>
      </c>
      <c r="I637" s="173">
        <v>21853.086195380012</v>
      </c>
      <c r="J637" s="168">
        <f>IFERROR(MIN('MP Calculations'!$E$30/I637,1),"-")</f>
        <v>0.32927792945511891</v>
      </c>
      <c r="K637" s="12"/>
      <c r="L637" s="159">
        <v>117.35377099999999</v>
      </c>
      <c r="M637" s="187" t="s">
        <v>293</v>
      </c>
      <c r="N637" s="187">
        <v>315.45229399999999</v>
      </c>
      <c r="O637" s="186">
        <f t="shared" si="29"/>
        <v>37019.516271500674</v>
      </c>
      <c r="P637" s="186">
        <f t="shared" si="30"/>
        <v>12189.709667309826</v>
      </c>
      <c r="Q637" s="215">
        <f>IF(P637="-",0,P637/(1+'General inputs'!$H$30)^'MP Calculations'!$C$40)</f>
        <v>27076.868065087554</v>
      </c>
    </row>
    <row r="638" spans="3:17">
      <c r="C638" s="159"/>
      <c r="D638" s="165" t="s">
        <v>284</v>
      </c>
      <c r="E638" s="162">
        <v>29952</v>
      </c>
      <c r="F638" s="166" t="str">
        <f t="shared" si="28"/>
        <v>Date check - OK</v>
      </c>
      <c r="G638" s="68"/>
      <c r="H638" s="162" t="s">
        <v>280</v>
      </c>
      <c r="I638" s="173">
        <v>21853.086195380012</v>
      </c>
      <c r="J638" s="168">
        <f>IFERROR(MIN('MP Calculations'!$E$30/I638,1),"-")</f>
        <v>0.32927792945511891</v>
      </c>
      <c r="K638" s="12"/>
      <c r="L638" s="159">
        <v>27.051546999999999</v>
      </c>
      <c r="M638" s="187" t="s">
        <v>293</v>
      </c>
      <c r="N638" s="187">
        <v>315.45229399999999</v>
      </c>
      <c r="O638" s="186">
        <f t="shared" si="29"/>
        <v>8533.472557398818</v>
      </c>
      <c r="P638" s="186">
        <f t="shared" si="30"/>
        <v>2809.884174762361</v>
      </c>
      <c r="Q638" s="215">
        <f>IF(P638="-",0,P638/(1+'General inputs'!$H$30)^'MP Calculations'!$C$40)</f>
        <v>6241.5648243252017</v>
      </c>
    </row>
    <row r="639" spans="3:17">
      <c r="C639" s="159"/>
      <c r="D639" s="165" t="s">
        <v>284</v>
      </c>
      <c r="E639" s="162">
        <v>29952</v>
      </c>
      <c r="F639" s="166" t="str">
        <f t="shared" si="28"/>
        <v>Date check - OK</v>
      </c>
      <c r="G639" s="68"/>
      <c r="H639" s="162" t="s">
        <v>280</v>
      </c>
      <c r="I639" s="173">
        <v>21853.086195380012</v>
      </c>
      <c r="J639" s="168">
        <f>IFERROR(MIN('MP Calculations'!$E$30/I639,1),"-")</f>
        <v>0.32927792945511891</v>
      </c>
      <c r="K639" s="12"/>
      <c r="L639" s="159">
        <v>44.278570999999999</v>
      </c>
      <c r="M639" s="187" t="s">
        <v>293</v>
      </c>
      <c r="N639" s="187">
        <v>315.45229399999999</v>
      </c>
      <c r="O639" s="186">
        <f t="shared" si="29"/>
        <v>13967.776796991873</v>
      </c>
      <c r="P639" s="186">
        <f t="shared" si="30"/>
        <v>4599.2806228047366</v>
      </c>
      <c r="Q639" s="215">
        <f>IF(P639="-",0,P639/(1+'General inputs'!$H$30)^'MP Calculations'!$C$40)</f>
        <v>10216.33148096802</v>
      </c>
    </row>
    <row r="640" spans="3:17">
      <c r="C640" s="159"/>
      <c r="D640" s="165" t="s">
        <v>282</v>
      </c>
      <c r="E640" s="162">
        <v>29952</v>
      </c>
      <c r="F640" s="166" t="str">
        <f t="shared" si="28"/>
        <v>Date check - OK</v>
      </c>
      <c r="G640" s="68"/>
      <c r="H640" s="162" t="s">
        <v>280</v>
      </c>
      <c r="I640" s="173">
        <v>21853.086195380012</v>
      </c>
      <c r="J640" s="168">
        <f>IFERROR(MIN('MP Calculations'!$E$30/I640,1),"-")</f>
        <v>0.32927792945511891</v>
      </c>
      <c r="K640" s="12"/>
      <c r="L640" s="159">
        <v>0.79652800000000001</v>
      </c>
      <c r="M640" s="187" t="s">
        <v>293</v>
      </c>
      <c r="N640" s="187">
        <v>237.97403299999999</v>
      </c>
      <c r="O640" s="186">
        <f t="shared" si="29"/>
        <v>189.55298055742401</v>
      </c>
      <c r="P640" s="186">
        <f t="shared" si="30"/>
        <v>62.415612959994988</v>
      </c>
      <c r="Q640" s="215">
        <f>IF(P640="-",0,P640/(1+'General inputs'!$H$30)^'MP Calculations'!$C$40)</f>
        <v>138.64311484395898</v>
      </c>
    </row>
    <row r="641" spans="3:17">
      <c r="C641" s="159"/>
      <c r="D641" s="165" t="s">
        <v>282</v>
      </c>
      <c r="E641" s="162">
        <v>29952</v>
      </c>
      <c r="F641" s="166" t="str">
        <f t="shared" si="28"/>
        <v>Date check - OK</v>
      </c>
      <c r="G641" s="68"/>
      <c r="H641" s="162" t="s">
        <v>280</v>
      </c>
      <c r="I641" s="173">
        <v>21853.086195380012</v>
      </c>
      <c r="J641" s="168">
        <f>IFERROR(MIN('MP Calculations'!$E$30/I641,1),"-")</f>
        <v>0.32927792945511891</v>
      </c>
      <c r="K641" s="12"/>
      <c r="L641" s="159">
        <v>0.40144999999999997</v>
      </c>
      <c r="M641" s="187" t="s">
        <v>293</v>
      </c>
      <c r="N641" s="187">
        <v>237.97403299999999</v>
      </c>
      <c r="O641" s="186">
        <f t="shared" si="29"/>
        <v>95.534675547849986</v>
      </c>
      <c r="P641" s="186">
        <f t="shared" si="30"/>
        <v>31.457460155562622</v>
      </c>
      <c r="Q641" s="215">
        <f>IF(P641="-",0,P641/(1+'General inputs'!$H$30)^'MP Calculations'!$C$40)</f>
        <v>69.876110386712483</v>
      </c>
    </row>
    <row r="642" spans="3:17">
      <c r="C642" s="159"/>
      <c r="D642" s="165" t="s">
        <v>282</v>
      </c>
      <c r="E642" s="162">
        <v>29952</v>
      </c>
      <c r="F642" s="166" t="str">
        <f t="shared" si="28"/>
        <v>Date check - OK</v>
      </c>
      <c r="G642" s="68"/>
      <c r="H642" s="162" t="s">
        <v>280</v>
      </c>
      <c r="I642" s="173">
        <v>21853.086195380012</v>
      </c>
      <c r="J642" s="168">
        <f>IFERROR(MIN('MP Calculations'!$E$30/I642,1),"-")</f>
        <v>0.32927792945511891</v>
      </c>
      <c r="K642" s="12"/>
      <c r="L642" s="159">
        <v>0.86669099999999999</v>
      </c>
      <c r="M642" s="187" t="s">
        <v>293</v>
      </c>
      <c r="N642" s="187">
        <v>237.97403299999999</v>
      </c>
      <c r="O642" s="186">
        <f t="shared" si="29"/>
        <v>206.24995263480298</v>
      </c>
      <c r="P642" s="186">
        <f t="shared" si="30"/>
        <v>67.913557353804279</v>
      </c>
      <c r="Q642" s="215">
        <f>IF(P642="-",0,P642/(1+'General inputs'!$H$30)^'MP Calculations'!$C$40)</f>
        <v>150.85563827916363</v>
      </c>
    </row>
    <row r="643" spans="3:17">
      <c r="C643" s="159"/>
      <c r="D643" s="165" t="s">
        <v>282</v>
      </c>
      <c r="E643" s="162">
        <v>29952</v>
      </c>
      <c r="F643" s="166" t="str">
        <f t="shared" si="28"/>
        <v>Date check - OK</v>
      </c>
      <c r="G643" s="68"/>
      <c r="H643" s="162" t="s">
        <v>280</v>
      </c>
      <c r="I643" s="173">
        <v>21853.086195380012</v>
      </c>
      <c r="J643" s="168">
        <f>IFERROR(MIN('MP Calculations'!$E$30/I643,1),"-")</f>
        <v>0.32927792945511891</v>
      </c>
      <c r="K643" s="12"/>
      <c r="L643" s="159">
        <v>1.429343</v>
      </c>
      <c r="M643" s="187" t="s">
        <v>293</v>
      </c>
      <c r="N643" s="187">
        <v>237.97403299999999</v>
      </c>
      <c r="O643" s="186">
        <f t="shared" si="29"/>
        <v>340.14651825031899</v>
      </c>
      <c r="P643" s="186">
        <f t="shared" si="30"/>
        <v>112.00274124083285</v>
      </c>
      <c r="Q643" s="215">
        <f>IF(P643="-",0,P643/(1+'General inputs'!$H$30)^'MP Calculations'!$C$40)</f>
        <v>248.79045771198105</v>
      </c>
    </row>
    <row r="644" spans="3:17">
      <c r="C644" s="159"/>
      <c r="D644" s="165" t="s">
        <v>284</v>
      </c>
      <c r="E644" s="162">
        <v>29952</v>
      </c>
      <c r="F644" s="166" t="str">
        <f t="shared" si="28"/>
        <v>Date check - OK</v>
      </c>
      <c r="G644" s="68"/>
      <c r="H644" s="162" t="s">
        <v>280</v>
      </c>
      <c r="I644" s="173">
        <v>21853.086195380012</v>
      </c>
      <c r="J644" s="168">
        <f>IFERROR(MIN('MP Calculations'!$E$30/I644,1),"-")</f>
        <v>0.32927792945511891</v>
      </c>
      <c r="K644" s="12"/>
      <c r="L644" s="159">
        <v>2.7629350000000001</v>
      </c>
      <c r="M644" s="187" t="s">
        <v>293</v>
      </c>
      <c r="N644" s="187">
        <v>315.45229399999999</v>
      </c>
      <c r="O644" s="186">
        <f t="shared" si="29"/>
        <v>871.57418392289003</v>
      </c>
      <c r="P644" s="186">
        <f t="shared" si="30"/>
        <v>286.99014264866423</v>
      </c>
      <c r="Q644" s="215">
        <f>IF(P644="-",0,P644/(1+'General inputs'!$H$30)^'MP Calculations'!$C$40)</f>
        <v>637.48804857248842</v>
      </c>
    </row>
    <row r="645" spans="3:17">
      <c r="C645" s="159"/>
      <c r="D645" s="165" t="s">
        <v>284</v>
      </c>
      <c r="E645" s="162">
        <v>29952</v>
      </c>
      <c r="F645" s="166" t="str">
        <f t="shared" si="28"/>
        <v>Date check - OK</v>
      </c>
      <c r="G645" s="68"/>
      <c r="H645" s="162" t="s">
        <v>280</v>
      </c>
      <c r="I645" s="173">
        <v>21853.086195380012</v>
      </c>
      <c r="J645" s="168">
        <f>IFERROR(MIN('MP Calculations'!$E$30/I645,1),"-")</f>
        <v>0.32927792945511891</v>
      </c>
      <c r="K645" s="12"/>
      <c r="L645" s="159">
        <v>73.935360000000003</v>
      </c>
      <c r="M645" s="187" t="s">
        <v>293</v>
      </c>
      <c r="N645" s="187">
        <v>315.45229399999999</v>
      </c>
      <c r="O645" s="186">
        <f t="shared" si="29"/>
        <v>23323.078919715841</v>
      </c>
      <c r="P645" s="186">
        <f t="shared" si="30"/>
        <v>7679.7751352023633</v>
      </c>
      <c r="Q645" s="215">
        <f>IF(P645="-",0,P645/(1+'General inputs'!$H$30)^'MP Calculations'!$C$40)</f>
        <v>17059.000073076066</v>
      </c>
    </row>
    <row r="646" spans="3:17">
      <c r="C646" s="159"/>
      <c r="D646" s="165" t="s">
        <v>282</v>
      </c>
      <c r="E646" s="162">
        <v>29952</v>
      </c>
      <c r="F646" s="166" t="str">
        <f t="shared" si="28"/>
        <v>Date check - OK</v>
      </c>
      <c r="G646" s="68"/>
      <c r="H646" s="162" t="s">
        <v>280</v>
      </c>
      <c r="I646" s="173">
        <v>21853.086195380012</v>
      </c>
      <c r="J646" s="168">
        <f>IFERROR(MIN('MP Calculations'!$E$30/I646,1),"-")</f>
        <v>0.32927792945511891</v>
      </c>
      <c r="K646" s="12"/>
      <c r="L646" s="159">
        <v>0.75534400000000002</v>
      </c>
      <c r="M646" s="187" t="s">
        <v>293</v>
      </c>
      <c r="N646" s="187">
        <v>237.97403299999999</v>
      </c>
      <c r="O646" s="186">
        <f t="shared" si="29"/>
        <v>179.75225798235201</v>
      </c>
      <c r="P646" s="186">
        <f t="shared" si="30"/>
        <v>59.188451323311241</v>
      </c>
      <c r="Q646" s="215">
        <f>IF(P646="-",0,P646/(1+'General inputs'!$H$30)^'MP Calculations'!$C$40)</f>
        <v>131.4746561811956</v>
      </c>
    </row>
    <row r="647" spans="3:17">
      <c r="C647" s="159"/>
      <c r="D647" s="165" t="s">
        <v>284</v>
      </c>
      <c r="E647" s="162">
        <v>29952</v>
      </c>
      <c r="F647" s="166" t="str">
        <f t="shared" si="28"/>
        <v>Date check - OK</v>
      </c>
      <c r="G647" s="68"/>
      <c r="H647" s="162" t="s">
        <v>280</v>
      </c>
      <c r="I647" s="173">
        <v>21853.086195380012</v>
      </c>
      <c r="J647" s="168">
        <f>IFERROR(MIN('MP Calculations'!$E$30/I647,1),"-")</f>
        <v>0.32927792945511891</v>
      </c>
      <c r="K647" s="12"/>
      <c r="L647" s="159">
        <v>154.13864000000001</v>
      </c>
      <c r="M647" s="187" t="s">
        <v>293</v>
      </c>
      <c r="N647" s="187">
        <v>315.45229399999999</v>
      </c>
      <c r="O647" s="186">
        <f t="shared" si="29"/>
        <v>48623.387582040159</v>
      </c>
      <c r="P647" s="186">
        <f t="shared" si="30"/>
        <v>16010.608386107924</v>
      </c>
      <c r="Q647" s="215">
        <f>IF(P647="-",0,P647/(1+'General inputs'!$H$30)^'MP Calculations'!$C$40)</f>
        <v>35564.188380550862</v>
      </c>
    </row>
    <row r="648" spans="3:17">
      <c r="C648" s="159"/>
      <c r="D648" s="165" t="s">
        <v>284</v>
      </c>
      <c r="E648" s="162">
        <v>29952</v>
      </c>
      <c r="F648" s="166" t="str">
        <f t="shared" si="28"/>
        <v>Date check - OK</v>
      </c>
      <c r="G648" s="68"/>
      <c r="H648" s="162" t="s">
        <v>280</v>
      </c>
      <c r="I648" s="173">
        <v>21853.086195380012</v>
      </c>
      <c r="J648" s="168">
        <f>IFERROR(MIN('MP Calculations'!$E$30/I648,1),"-")</f>
        <v>0.32927792945511891</v>
      </c>
      <c r="K648" s="12"/>
      <c r="L648" s="159">
        <v>47.983505999999998</v>
      </c>
      <c r="M648" s="187" t="s">
        <v>293</v>
      </c>
      <c r="N648" s="187">
        <v>315.45229399999999</v>
      </c>
      <c r="O648" s="186">
        <f t="shared" si="29"/>
        <v>15136.507041862764</v>
      </c>
      <c r="P648" s="186">
        <f t="shared" si="30"/>
        <v>4984.1176979273978</v>
      </c>
      <c r="Q648" s="215">
        <f>IF(P648="-",0,P648/(1+'General inputs'!$H$30)^'MP Calculations'!$C$40)</f>
        <v>11071.165844873762</v>
      </c>
    </row>
    <row r="649" spans="3:17">
      <c r="C649" s="159"/>
      <c r="D649" s="165" t="s">
        <v>284</v>
      </c>
      <c r="E649" s="162">
        <v>29952</v>
      </c>
      <c r="F649" s="166" t="str">
        <f t="shared" si="28"/>
        <v>Date check - OK</v>
      </c>
      <c r="G649" s="68"/>
      <c r="H649" s="162" t="s">
        <v>280</v>
      </c>
      <c r="I649" s="173">
        <v>21853.086195380012</v>
      </c>
      <c r="J649" s="168">
        <f>IFERROR(MIN('MP Calculations'!$E$30/I649,1),"-")</f>
        <v>0.32927792945511891</v>
      </c>
      <c r="K649" s="12"/>
      <c r="L649" s="159">
        <v>68.866771</v>
      </c>
      <c r="M649" s="187" t="s">
        <v>293</v>
      </c>
      <c r="N649" s="187">
        <v>315.45229399999999</v>
      </c>
      <c r="O649" s="186">
        <f t="shared" si="29"/>
        <v>21724.180892322674</v>
      </c>
      <c r="P649" s="186">
        <f t="shared" si="30"/>
        <v>7153.293303332468</v>
      </c>
      <c r="Q649" s="215">
        <f>IF(P649="-",0,P649/(1+'General inputs'!$H$30)^'MP Calculations'!$C$40)</f>
        <v>15889.531768311032</v>
      </c>
    </row>
    <row r="650" spans="3:17">
      <c r="C650" s="159"/>
      <c r="D650" s="165" t="s">
        <v>284</v>
      </c>
      <c r="E650" s="162">
        <v>29952</v>
      </c>
      <c r="F650" s="166" t="str">
        <f t="shared" si="28"/>
        <v>Date check - OK</v>
      </c>
      <c r="G650" s="68"/>
      <c r="H650" s="162" t="s">
        <v>280</v>
      </c>
      <c r="I650" s="173">
        <v>21853.086195380012</v>
      </c>
      <c r="J650" s="168">
        <f>IFERROR(MIN('MP Calculations'!$E$30/I650,1),"-")</f>
        <v>0.32927792945511891</v>
      </c>
      <c r="K650" s="12"/>
      <c r="L650" s="159">
        <v>15.520604000000001</v>
      </c>
      <c r="M650" s="187" t="s">
        <v>293</v>
      </c>
      <c r="N650" s="187">
        <v>315.45229399999999</v>
      </c>
      <c r="O650" s="186">
        <f t="shared" si="29"/>
        <v>4896.0101360655763</v>
      </c>
      <c r="P650" s="186">
        <f t="shared" si="30"/>
        <v>1612.1480801949479</v>
      </c>
      <c r="Q650" s="215">
        <f>IF(P650="-",0,P650/(1+'General inputs'!$H$30)^'MP Calculations'!$C$40)</f>
        <v>3581.046805888071</v>
      </c>
    </row>
    <row r="651" spans="3:17">
      <c r="C651" s="159"/>
      <c r="D651" s="165" t="s">
        <v>282</v>
      </c>
      <c r="E651" s="162">
        <v>29952</v>
      </c>
      <c r="F651" s="166" t="str">
        <f t="shared" si="28"/>
        <v>Date check - OK</v>
      </c>
      <c r="G651" s="68"/>
      <c r="H651" s="162" t="s">
        <v>280</v>
      </c>
      <c r="I651" s="173">
        <v>21853.086195380012</v>
      </c>
      <c r="J651" s="168">
        <f>IFERROR(MIN('MP Calculations'!$E$30/I651,1),"-")</f>
        <v>0.32927792945511891</v>
      </c>
      <c r="K651" s="12"/>
      <c r="L651" s="159">
        <v>1.084803</v>
      </c>
      <c r="M651" s="187" t="s">
        <v>293</v>
      </c>
      <c r="N651" s="187">
        <v>237.97403299999999</v>
      </c>
      <c r="O651" s="186">
        <f t="shared" si="29"/>
        <v>258.15494492049896</v>
      </c>
      <c r="P651" s="186">
        <f t="shared" si="30"/>
        <v>85.00472574202216</v>
      </c>
      <c r="Q651" s="215">
        <f>IF(P651="-",0,P651/(1+'General inputs'!$H$30)^'MP Calculations'!$C$40)</f>
        <v>188.82006271226021</v>
      </c>
    </row>
    <row r="652" spans="3:17">
      <c r="C652" s="159"/>
      <c r="D652" s="165" t="s">
        <v>282</v>
      </c>
      <c r="E652" s="162">
        <v>29952</v>
      </c>
      <c r="F652" s="166" t="str">
        <f t="shared" si="28"/>
        <v>Date check - OK</v>
      </c>
      <c r="G652" s="68"/>
      <c r="H652" s="162" t="s">
        <v>280</v>
      </c>
      <c r="I652" s="173">
        <v>21853.086195380012</v>
      </c>
      <c r="J652" s="168">
        <f>IFERROR(MIN('MP Calculations'!$E$30/I652,1),"-")</f>
        <v>0.32927792945511891</v>
      </c>
      <c r="K652" s="12"/>
      <c r="L652" s="159">
        <v>5.1391119999999999</v>
      </c>
      <c r="M652" s="187" t="s">
        <v>293</v>
      </c>
      <c r="N652" s="187">
        <v>237.97403299999999</v>
      </c>
      <c r="O652" s="186">
        <f t="shared" si="29"/>
        <v>1222.9752086786959</v>
      </c>
      <c r="P652" s="186">
        <f t="shared" si="30"/>
        <v>402.69874448866295</v>
      </c>
      <c r="Q652" s="215">
        <f>IF(P652="-",0,P652/(1+'General inputs'!$H$30)^'MP Calculations'!$C$40)</f>
        <v>894.51029368957234</v>
      </c>
    </row>
    <row r="653" spans="3:17">
      <c r="C653" s="159"/>
      <c r="D653" s="165" t="s">
        <v>282</v>
      </c>
      <c r="E653" s="162">
        <v>29952</v>
      </c>
      <c r="F653" s="166" t="str">
        <f t="shared" si="28"/>
        <v>Date check - OK</v>
      </c>
      <c r="G653" s="68"/>
      <c r="H653" s="162" t="s">
        <v>280</v>
      </c>
      <c r="I653" s="173">
        <v>21853.086195380012</v>
      </c>
      <c r="J653" s="168">
        <f>IFERROR(MIN('MP Calculations'!$E$30/I653,1),"-")</f>
        <v>0.32927792945511891</v>
      </c>
      <c r="K653" s="12"/>
      <c r="L653" s="159">
        <v>1.1064130000000001</v>
      </c>
      <c r="M653" s="187" t="s">
        <v>293</v>
      </c>
      <c r="N653" s="187">
        <v>237.97403299999999</v>
      </c>
      <c r="O653" s="186">
        <f t="shared" si="29"/>
        <v>263.29756377362901</v>
      </c>
      <c r="P653" s="186">
        <f t="shared" si="30"/>
        <v>86.698076629957683</v>
      </c>
      <c r="Q653" s="215">
        <f>IF(P653="-",0,P653/(1+'General inputs'!$H$30)^'MP Calculations'!$C$40)</f>
        <v>192.58148442220386</v>
      </c>
    </row>
    <row r="654" spans="3:17">
      <c r="C654" s="159"/>
      <c r="D654" s="165" t="s">
        <v>282</v>
      </c>
      <c r="E654" s="162">
        <v>29952</v>
      </c>
      <c r="F654" s="166" t="str">
        <f t="shared" si="28"/>
        <v>Date check - OK</v>
      </c>
      <c r="G654" s="68"/>
      <c r="H654" s="162" t="s">
        <v>280</v>
      </c>
      <c r="I654" s="173">
        <v>21853.086195380012</v>
      </c>
      <c r="J654" s="168">
        <f>IFERROR(MIN('MP Calculations'!$E$30/I654,1),"-")</f>
        <v>0.32927792945511891</v>
      </c>
      <c r="K654" s="12"/>
      <c r="L654" s="159">
        <v>0.81449000000000005</v>
      </c>
      <c r="M654" s="187" t="s">
        <v>293</v>
      </c>
      <c r="N654" s="187">
        <v>237.97403299999999</v>
      </c>
      <c r="O654" s="186">
        <f t="shared" si="29"/>
        <v>193.82747013817001</v>
      </c>
      <c r="P654" s="186">
        <f t="shared" si="30"/>
        <v>63.823108038620511</v>
      </c>
      <c r="Q654" s="215">
        <f>IF(P654="-",0,P654/(1+'General inputs'!$H$30)^'MP Calculations'!$C$40)</f>
        <v>141.76956818750395</v>
      </c>
    </row>
    <row r="655" spans="3:17">
      <c r="C655" s="159"/>
      <c r="D655" s="165" t="s">
        <v>284</v>
      </c>
      <c r="E655" s="162">
        <v>29952</v>
      </c>
      <c r="F655" s="166" t="str">
        <f t="shared" si="28"/>
        <v>Date check - OK</v>
      </c>
      <c r="G655" s="68"/>
      <c r="H655" s="162" t="s">
        <v>280</v>
      </c>
      <c r="I655" s="173">
        <v>21853.086195380012</v>
      </c>
      <c r="J655" s="168">
        <f>IFERROR(MIN('MP Calculations'!$E$30/I655,1),"-")</f>
        <v>0.32927792945511891</v>
      </c>
      <c r="K655" s="12"/>
      <c r="L655" s="159">
        <v>87.533287999999999</v>
      </c>
      <c r="M655" s="187" t="s">
        <v>293</v>
      </c>
      <c r="N655" s="187">
        <v>315.45229399999999</v>
      </c>
      <c r="O655" s="186">
        <f t="shared" si="29"/>
        <v>27612.57650096267</v>
      </c>
      <c r="P655" s="186">
        <f t="shared" si="30"/>
        <v>9092.2120171580609</v>
      </c>
      <c r="Q655" s="215">
        <f>IF(P655="-",0,P655/(1+'General inputs'!$H$30)^'MP Calculations'!$C$40)</f>
        <v>20196.430590026048</v>
      </c>
    </row>
    <row r="656" spans="3:17">
      <c r="C656" s="159"/>
      <c r="D656" s="165" t="s">
        <v>284</v>
      </c>
      <c r="E656" s="162">
        <v>29952</v>
      </c>
      <c r="F656" s="166" t="str">
        <f t="shared" si="28"/>
        <v>Date check - OK</v>
      </c>
      <c r="G656" s="68"/>
      <c r="H656" s="162" t="s">
        <v>280</v>
      </c>
      <c r="I656" s="173">
        <v>21853.086195380012</v>
      </c>
      <c r="J656" s="168">
        <f>IFERROR(MIN('MP Calculations'!$E$30/I656,1),"-")</f>
        <v>0.32927792945511891</v>
      </c>
      <c r="K656" s="12"/>
      <c r="L656" s="159">
        <v>60.596721000000002</v>
      </c>
      <c r="M656" s="187" t="s">
        <v>293</v>
      </c>
      <c r="N656" s="187">
        <v>315.45229399999999</v>
      </c>
      <c r="O656" s="186">
        <f t="shared" si="29"/>
        <v>19115.374648327976</v>
      </c>
      <c r="P656" s="186">
        <f t="shared" si="30"/>
        <v>6294.2709849603079</v>
      </c>
      <c r="Q656" s="215">
        <f>IF(P656="-",0,P656/(1+'General inputs'!$H$30)^'MP Calculations'!$C$40)</f>
        <v>13981.394936971566</v>
      </c>
    </row>
    <row r="657" spans="3:17">
      <c r="C657" s="159"/>
      <c r="D657" s="165" t="s">
        <v>284</v>
      </c>
      <c r="E657" s="162">
        <v>29952</v>
      </c>
      <c r="F657" s="166" t="str">
        <f t="shared" si="28"/>
        <v>Date check - OK</v>
      </c>
      <c r="G657" s="68"/>
      <c r="H657" s="162" t="s">
        <v>280</v>
      </c>
      <c r="I657" s="173">
        <v>21853.086195380012</v>
      </c>
      <c r="J657" s="168">
        <f>IFERROR(MIN('MP Calculations'!$E$30/I657,1),"-")</f>
        <v>0.32927792945511891</v>
      </c>
      <c r="K657" s="12"/>
      <c r="L657" s="159">
        <v>0.99991600000000003</v>
      </c>
      <c r="M657" s="187" t="s">
        <v>293</v>
      </c>
      <c r="N657" s="187">
        <v>315.45229399999999</v>
      </c>
      <c r="O657" s="186">
        <f t="shared" si="29"/>
        <v>315.42579600730403</v>
      </c>
      <c r="P657" s="186">
        <f t="shared" si="30"/>
        <v>103.86275300601778</v>
      </c>
      <c r="Q657" s="215">
        <f>IF(P657="-",0,P657/(1+'General inputs'!$H$30)^'MP Calculations'!$C$40)</f>
        <v>230.70919134051593</v>
      </c>
    </row>
    <row r="658" spans="3:17">
      <c r="C658" s="159"/>
      <c r="D658" s="165" t="s">
        <v>282</v>
      </c>
      <c r="E658" s="162">
        <v>29952</v>
      </c>
      <c r="F658" s="166" t="str">
        <f t="shared" si="28"/>
        <v>Date check - OK</v>
      </c>
      <c r="G658" s="68"/>
      <c r="H658" s="162" t="s">
        <v>280</v>
      </c>
      <c r="I658" s="173">
        <v>21853.086195380012</v>
      </c>
      <c r="J658" s="168">
        <f>IFERROR(MIN('MP Calculations'!$E$30/I658,1),"-")</f>
        <v>0.32927792945511891</v>
      </c>
      <c r="K658" s="12"/>
      <c r="L658" s="159">
        <v>3.9859019999999998</v>
      </c>
      <c r="M658" s="187" t="s">
        <v>293</v>
      </c>
      <c r="N658" s="187">
        <v>237.97403299999999</v>
      </c>
      <c r="O658" s="186">
        <f t="shared" si="29"/>
        <v>948.54117408276591</v>
      </c>
      <c r="P658" s="186">
        <f t="shared" si="30"/>
        <v>312.33367380490068</v>
      </c>
      <c r="Q658" s="215">
        <f>IF(P658="-",0,P658/(1+'General inputs'!$H$30)^'MP Calculations'!$C$40)</f>
        <v>693.78335569216119</v>
      </c>
    </row>
    <row r="659" spans="3:17">
      <c r="C659" s="159"/>
      <c r="D659" s="165" t="s">
        <v>282</v>
      </c>
      <c r="E659" s="162">
        <v>29952</v>
      </c>
      <c r="F659" s="166" t="str">
        <f t="shared" si="28"/>
        <v>Date check - OK</v>
      </c>
      <c r="G659" s="68"/>
      <c r="H659" s="162" t="s">
        <v>280</v>
      </c>
      <c r="I659" s="173">
        <v>21853.086195380012</v>
      </c>
      <c r="J659" s="168">
        <f>IFERROR(MIN('MP Calculations'!$E$30/I659,1),"-")</f>
        <v>0.32927792945511891</v>
      </c>
      <c r="K659" s="12"/>
      <c r="L659" s="159">
        <v>0.72869499999999998</v>
      </c>
      <c r="M659" s="187" t="s">
        <v>293</v>
      </c>
      <c r="N659" s="187">
        <v>237.97403299999999</v>
      </c>
      <c r="O659" s="186">
        <f t="shared" si="29"/>
        <v>173.410487976935</v>
      </c>
      <c r="P659" s="186">
        <f t="shared" si="30"/>
        <v>57.100246426846951</v>
      </c>
      <c r="Q659" s="215">
        <f>IF(P659="-",0,P659/(1+'General inputs'!$H$30)^'MP Calculations'!$C$40)</f>
        <v>126.83614960330169</v>
      </c>
    </row>
    <row r="660" spans="3:17">
      <c r="C660" s="159"/>
      <c r="D660" s="165" t="s">
        <v>284</v>
      </c>
      <c r="E660" s="162">
        <v>29952</v>
      </c>
      <c r="F660" s="166" t="str">
        <f t="shared" si="28"/>
        <v>Date check - OK</v>
      </c>
      <c r="G660" s="68"/>
      <c r="H660" s="162" t="s">
        <v>280</v>
      </c>
      <c r="I660" s="173">
        <v>21853.086195380012</v>
      </c>
      <c r="J660" s="168">
        <f>IFERROR(MIN('MP Calculations'!$E$30/I660,1),"-")</f>
        <v>0.32927792945511891</v>
      </c>
      <c r="K660" s="12"/>
      <c r="L660" s="159">
        <v>2.9984920000000002</v>
      </c>
      <c r="M660" s="187" t="s">
        <v>293</v>
      </c>
      <c r="N660" s="187">
        <v>315.45229399999999</v>
      </c>
      <c r="O660" s="186">
        <f t="shared" si="29"/>
        <v>945.88117994064805</v>
      </c>
      <c r="P660" s="186">
        <f t="shared" si="30"/>
        <v>311.45779644142135</v>
      </c>
      <c r="Q660" s="215">
        <f>IF(P660="-",0,P660/(1+'General inputs'!$H$30)^'MP Calculations'!$C$40)</f>
        <v>691.83777893443676</v>
      </c>
    </row>
    <row r="661" spans="3:17">
      <c r="C661" s="159"/>
      <c r="D661" s="165" t="s">
        <v>284</v>
      </c>
      <c r="E661" s="162">
        <v>29952</v>
      </c>
      <c r="F661" s="166" t="str">
        <f t="shared" si="28"/>
        <v>Date check - OK</v>
      </c>
      <c r="G661" s="68"/>
      <c r="H661" s="162" t="s">
        <v>280</v>
      </c>
      <c r="I661" s="173">
        <v>21853.086195380012</v>
      </c>
      <c r="J661" s="168">
        <f>IFERROR(MIN('MP Calculations'!$E$30/I661,1),"-")</f>
        <v>0.32927792945511891</v>
      </c>
      <c r="K661" s="12"/>
      <c r="L661" s="159">
        <v>111.310227</v>
      </c>
      <c r="M661" s="187" t="s">
        <v>293</v>
      </c>
      <c r="N661" s="187">
        <v>315.45229399999999</v>
      </c>
      <c r="O661" s="186">
        <f t="shared" si="29"/>
        <v>35113.066452810737</v>
      </c>
      <c r="P661" s="186">
        <f t="shared" si="30"/>
        <v>11561.957818401517</v>
      </c>
      <c r="Q661" s="215">
        <f>IF(P661="-",0,P661/(1+'General inputs'!$H$30)^'MP Calculations'!$C$40)</f>
        <v>25682.449784881192</v>
      </c>
    </row>
    <row r="662" spans="3:17">
      <c r="C662" s="159"/>
      <c r="D662" s="165" t="s">
        <v>282</v>
      </c>
      <c r="E662" s="162">
        <v>29952</v>
      </c>
      <c r="F662" s="166" t="str">
        <f t="shared" si="28"/>
        <v>Date check - OK</v>
      </c>
      <c r="G662" s="68"/>
      <c r="H662" s="162" t="s">
        <v>280</v>
      </c>
      <c r="I662" s="173">
        <v>21853.086195380012</v>
      </c>
      <c r="J662" s="168">
        <f>IFERROR(MIN('MP Calculations'!$E$30/I662,1),"-")</f>
        <v>0.32927792945511891</v>
      </c>
      <c r="K662" s="12"/>
      <c r="L662" s="159">
        <v>0.75222999999999995</v>
      </c>
      <c r="M662" s="187" t="s">
        <v>293</v>
      </c>
      <c r="N662" s="187">
        <v>237.97403299999999</v>
      </c>
      <c r="O662" s="186">
        <f t="shared" si="29"/>
        <v>179.01120684358997</v>
      </c>
      <c r="P662" s="186">
        <f t="shared" si="30"/>
        <v>58.944439538719323</v>
      </c>
      <c r="Q662" s="215">
        <f>IF(P662="-",0,P662/(1+'General inputs'!$H$30)^'MP Calculations'!$C$40)</f>
        <v>130.93263548685201</v>
      </c>
    </row>
    <row r="663" spans="3:17">
      <c r="C663" s="159"/>
      <c r="D663" s="165" t="s">
        <v>284</v>
      </c>
      <c r="E663" s="162">
        <v>29952</v>
      </c>
      <c r="F663" s="166" t="str">
        <f t="shared" ref="F663:F726" si="33">IF(E663="","-",IF(OR(E663&lt;$E$15,E663&gt;$E$16),"ERROR - date outside of range","Date check - OK"))</f>
        <v>Date check - OK</v>
      </c>
      <c r="G663" s="68"/>
      <c r="H663" s="162" t="s">
        <v>280</v>
      </c>
      <c r="I663" s="173">
        <v>21853.086195380012</v>
      </c>
      <c r="J663" s="168">
        <f>IFERROR(MIN('MP Calculations'!$E$30/I663,1),"-")</f>
        <v>0.32927792945511891</v>
      </c>
      <c r="K663" s="12"/>
      <c r="L663" s="159">
        <v>56.340637999999998</v>
      </c>
      <c r="M663" s="187" t="s">
        <v>293</v>
      </c>
      <c r="N663" s="187">
        <v>315.45229399999999</v>
      </c>
      <c r="O663" s="186">
        <f t="shared" ref="O663:O726" si="34">IF(N663="","-",L663*N663)</f>
        <v>17772.783502523573</v>
      </c>
      <c r="P663" s="186">
        <f t="shared" ref="P663:P726" si="35">IF(O663="-","-",IF(OR(E663&lt;$E$15,E663&gt;$E$16),0,O663*J663))</f>
        <v>5852.185352365058</v>
      </c>
      <c r="Q663" s="215">
        <f>IF(P663="-",0,P663/(1+'General inputs'!$H$30)^'MP Calculations'!$C$40)</f>
        <v>12999.394981767209</v>
      </c>
    </row>
    <row r="664" spans="3:17">
      <c r="C664" s="159"/>
      <c r="D664" s="165" t="s">
        <v>282</v>
      </c>
      <c r="E664" s="162">
        <v>29952</v>
      </c>
      <c r="F664" s="166" t="str">
        <f t="shared" si="33"/>
        <v>Date check - OK</v>
      </c>
      <c r="G664" s="68"/>
      <c r="H664" s="162" t="s">
        <v>280</v>
      </c>
      <c r="I664" s="173">
        <v>21853.086195380012</v>
      </c>
      <c r="J664" s="168">
        <f>IFERROR(MIN('MP Calculations'!$E$30/I664,1),"-")</f>
        <v>0.32927792945511891</v>
      </c>
      <c r="K664" s="12"/>
      <c r="L664" s="159">
        <v>0.23122500000000001</v>
      </c>
      <c r="M664" s="187" t="s">
        <v>293</v>
      </c>
      <c r="N664" s="187">
        <v>237.97403299999999</v>
      </c>
      <c r="O664" s="186">
        <f t="shared" si="34"/>
        <v>55.025545780424999</v>
      </c>
      <c r="P664" s="186">
        <f t="shared" si="35"/>
        <v>18.1186977817162</v>
      </c>
      <c r="Q664" s="215">
        <f>IF(P664="-",0,P664/(1+'General inputs'!$H$30)^'MP Calculations'!$C$40)</f>
        <v>40.246864177774562</v>
      </c>
    </row>
    <row r="665" spans="3:17">
      <c r="C665" s="159"/>
      <c r="D665" s="165" t="s">
        <v>284</v>
      </c>
      <c r="E665" s="162">
        <v>29952</v>
      </c>
      <c r="F665" s="166" t="str">
        <f t="shared" si="33"/>
        <v>Date check - OK</v>
      </c>
      <c r="G665" s="68"/>
      <c r="H665" s="162" t="s">
        <v>280</v>
      </c>
      <c r="I665" s="173">
        <v>21853.086195380012</v>
      </c>
      <c r="J665" s="168">
        <f>IFERROR(MIN('MP Calculations'!$E$30/I665,1),"-")</f>
        <v>0.32927792945511891</v>
      </c>
      <c r="K665" s="12"/>
      <c r="L665" s="159">
        <v>5.7811539999999999</v>
      </c>
      <c r="M665" s="187" t="s">
        <v>293</v>
      </c>
      <c r="N665" s="187">
        <v>315.45229399999999</v>
      </c>
      <c r="O665" s="186">
        <f t="shared" si="34"/>
        <v>1823.6782912672759</v>
      </c>
      <c r="P665" s="186">
        <f t="shared" si="35"/>
        <v>600.49701174073789</v>
      </c>
      <c r="Q665" s="215">
        <f>IF(P665="-",0,P665/(1+'General inputs'!$H$30)^'MP Calculations'!$C$40)</f>
        <v>1333.8774100574337</v>
      </c>
    </row>
    <row r="666" spans="3:17">
      <c r="C666" s="159"/>
      <c r="D666" s="165" t="s">
        <v>282</v>
      </c>
      <c r="E666" s="162">
        <v>29952</v>
      </c>
      <c r="F666" s="166" t="str">
        <f t="shared" si="33"/>
        <v>Date check - OK</v>
      </c>
      <c r="G666" s="68"/>
      <c r="H666" s="162" t="s">
        <v>280</v>
      </c>
      <c r="I666" s="173">
        <v>21853.086195380012</v>
      </c>
      <c r="J666" s="168">
        <f>IFERROR(MIN('MP Calculations'!$E$30/I666,1),"-")</f>
        <v>0.32927792945511891</v>
      </c>
      <c r="K666" s="12"/>
      <c r="L666" s="159">
        <v>2.4940069999999999</v>
      </c>
      <c r="M666" s="187" t="s">
        <v>293</v>
      </c>
      <c r="N666" s="187">
        <v>237.97403299999999</v>
      </c>
      <c r="O666" s="186">
        <f t="shared" si="34"/>
        <v>593.50890412023091</v>
      </c>
      <c r="P666" s="186">
        <f t="shared" si="35"/>
        <v>195.42938306188634</v>
      </c>
      <c r="Q666" s="215">
        <f>IF(P666="-",0,P666/(1+'General inputs'!$H$30)^'MP Calculations'!$C$40)</f>
        <v>434.10513996072649</v>
      </c>
    </row>
    <row r="667" spans="3:17">
      <c r="C667" s="159"/>
      <c r="D667" s="165" t="s">
        <v>284</v>
      </c>
      <c r="E667" s="162">
        <v>29952</v>
      </c>
      <c r="F667" s="166" t="str">
        <f t="shared" si="33"/>
        <v>Date check - OK</v>
      </c>
      <c r="G667" s="68"/>
      <c r="H667" s="162" t="s">
        <v>280</v>
      </c>
      <c r="I667" s="173">
        <v>21853.086195380012</v>
      </c>
      <c r="J667" s="168">
        <f>IFERROR(MIN('MP Calculations'!$E$30/I667,1),"-")</f>
        <v>0.32927792945511891</v>
      </c>
      <c r="K667" s="12"/>
      <c r="L667" s="159">
        <v>3.9983279999999999</v>
      </c>
      <c r="M667" s="187" t="s">
        <v>293</v>
      </c>
      <c r="N667" s="187">
        <v>315.45229399999999</v>
      </c>
      <c r="O667" s="186">
        <f t="shared" si="34"/>
        <v>1261.2817397644319</v>
      </c>
      <c r="P667" s="186">
        <f t="shared" si="35"/>
        <v>415.31223972918224</v>
      </c>
      <c r="Q667" s="215">
        <f>IF(P667="-",0,P667/(1+'General inputs'!$H$30)^'MP Calculations'!$C$40)</f>
        <v>922.52851198914925</v>
      </c>
    </row>
    <row r="668" spans="3:17">
      <c r="C668" s="159"/>
      <c r="D668" s="165" t="s">
        <v>282</v>
      </c>
      <c r="E668" s="162">
        <v>29952</v>
      </c>
      <c r="F668" s="166" t="str">
        <f t="shared" si="33"/>
        <v>Date check - OK</v>
      </c>
      <c r="G668" s="68"/>
      <c r="H668" s="162" t="s">
        <v>280</v>
      </c>
      <c r="I668" s="173">
        <v>21853.086195380012</v>
      </c>
      <c r="J668" s="168">
        <f>IFERROR(MIN('MP Calculations'!$E$30/I668,1),"-")</f>
        <v>0.32927792945511891</v>
      </c>
      <c r="K668" s="12"/>
      <c r="L668" s="159">
        <v>1.7413320000000001</v>
      </c>
      <c r="M668" s="187" t="s">
        <v>293</v>
      </c>
      <c r="N668" s="187">
        <v>237.97403299999999</v>
      </c>
      <c r="O668" s="186">
        <f t="shared" si="34"/>
        <v>414.39179883195601</v>
      </c>
      <c r="P668" s="186">
        <f t="shared" si="35"/>
        <v>136.45007350256864</v>
      </c>
      <c r="Q668" s="215">
        <f>IF(P668="-",0,P668/(1+'General inputs'!$H$30)^'MP Calculations'!$C$40)</f>
        <v>303.0950480804953</v>
      </c>
    </row>
    <row r="669" spans="3:17">
      <c r="C669" s="159"/>
      <c r="D669" s="165" t="s">
        <v>282</v>
      </c>
      <c r="E669" s="162">
        <v>29952</v>
      </c>
      <c r="F669" s="166" t="str">
        <f t="shared" si="33"/>
        <v>Date check - OK</v>
      </c>
      <c r="G669" s="68"/>
      <c r="H669" s="162" t="s">
        <v>280</v>
      </c>
      <c r="I669" s="173">
        <v>21853.086195380012</v>
      </c>
      <c r="J669" s="168">
        <f>IFERROR(MIN('MP Calculations'!$E$30/I669,1),"-")</f>
        <v>0.32927792945511891</v>
      </c>
      <c r="K669" s="12"/>
      <c r="L669" s="159">
        <v>1.0625709999999999</v>
      </c>
      <c r="M669" s="187" t="s">
        <v>293</v>
      </c>
      <c r="N669" s="187">
        <v>237.97403299999999</v>
      </c>
      <c r="O669" s="186">
        <f t="shared" si="34"/>
        <v>252.86430621884298</v>
      </c>
      <c r="P669" s="186">
        <f t="shared" si="35"/>
        <v>83.262635184845763</v>
      </c>
      <c r="Q669" s="215">
        <f>IF(P669="-",0,P669/(1+'General inputs'!$H$30)^'MP Calculations'!$C$40)</f>
        <v>184.95037611089668</v>
      </c>
    </row>
    <row r="670" spans="3:17">
      <c r="C670" s="159"/>
      <c r="D670" s="165" t="s">
        <v>282</v>
      </c>
      <c r="E670" s="162">
        <v>29952</v>
      </c>
      <c r="F670" s="166" t="str">
        <f t="shared" si="33"/>
        <v>Date check - OK</v>
      </c>
      <c r="G670" s="68"/>
      <c r="H670" s="162" t="s">
        <v>280</v>
      </c>
      <c r="I670" s="173">
        <v>21853.086195380012</v>
      </c>
      <c r="J670" s="168">
        <f>IFERROR(MIN('MP Calculations'!$E$30/I670,1),"-")</f>
        <v>0.32927792945511891</v>
      </c>
      <c r="K670" s="12"/>
      <c r="L670" s="159">
        <v>1.2040850000000001</v>
      </c>
      <c r="M670" s="187" t="s">
        <v>293</v>
      </c>
      <c r="N670" s="187">
        <v>237.97403299999999</v>
      </c>
      <c r="O670" s="186">
        <f t="shared" si="34"/>
        <v>286.54096352480502</v>
      </c>
      <c r="P670" s="186">
        <f t="shared" si="35"/>
        <v>94.351615173522546</v>
      </c>
      <c r="Q670" s="215">
        <f>IF(P670="-",0,P670/(1+'General inputs'!$H$30)^'MP Calculations'!$C$40)</f>
        <v>209.58220544273189</v>
      </c>
    </row>
    <row r="671" spans="3:17">
      <c r="C671" s="159"/>
      <c r="D671" s="165" t="s">
        <v>284</v>
      </c>
      <c r="E671" s="162">
        <v>29952</v>
      </c>
      <c r="F671" s="166" t="str">
        <f t="shared" si="33"/>
        <v>Date check - OK</v>
      </c>
      <c r="G671" s="68"/>
      <c r="H671" s="162" t="s">
        <v>280</v>
      </c>
      <c r="I671" s="173">
        <v>21853.086195380012</v>
      </c>
      <c r="J671" s="168">
        <f>IFERROR(MIN('MP Calculations'!$E$30/I671,1),"-")</f>
        <v>0.32927792945511891</v>
      </c>
      <c r="K671" s="12"/>
      <c r="L671" s="159">
        <v>3.1554709999999999</v>
      </c>
      <c r="M671" s="187" t="s">
        <v>293</v>
      </c>
      <c r="N671" s="187">
        <v>315.45229399999999</v>
      </c>
      <c r="O671" s="186">
        <f t="shared" si="34"/>
        <v>995.40056560047401</v>
      </c>
      <c r="P671" s="186">
        <f t="shared" si="35"/>
        <v>327.76343721937832</v>
      </c>
      <c r="Q671" s="215">
        <f>IF(P671="-",0,P671/(1+'General inputs'!$H$30)^'MP Calculations'!$C$40)</f>
        <v>728.05731952328892</v>
      </c>
    </row>
    <row r="672" spans="3:17">
      <c r="C672" s="159"/>
      <c r="D672" s="165" t="s">
        <v>284</v>
      </c>
      <c r="E672" s="162">
        <v>29952</v>
      </c>
      <c r="F672" s="166" t="str">
        <f t="shared" si="33"/>
        <v>Date check - OK</v>
      </c>
      <c r="G672" s="68"/>
      <c r="H672" s="162" t="s">
        <v>280</v>
      </c>
      <c r="I672" s="173">
        <v>21853.086195380012</v>
      </c>
      <c r="J672" s="168">
        <f>IFERROR(MIN('MP Calculations'!$E$30/I672,1),"-")</f>
        <v>0.32927792945511891</v>
      </c>
      <c r="K672" s="12"/>
      <c r="L672" s="159">
        <v>4.6951349999999996</v>
      </c>
      <c r="M672" s="187" t="s">
        <v>293</v>
      </c>
      <c r="N672" s="187">
        <v>315.45229399999999</v>
      </c>
      <c r="O672" s="186">
        <f t="shared" si="34"/>
        <v>1481.0911063896899</v>
      </c>
      <c r="P672" s="186">
        <f t="shared" si="35"/>
        <v>487.69061284638832</v>
      </c>
      <c r="Q672" s="215">
        <f>IF(P672="-",0,P672/(1+'General inputs'!$H$30)^'MP Calculations'!$C$40)</f>
        <v>1083.3017964354535</v>
      </c>
    </row>
    <row r="673" spans="3:17">
      <c r="C673" s="159"/>
      <c r="D673" s="165" t="s">
        <v>282</v>
      </c>
      <c r="E673" s="162">
        <v>29952</v>
      </c>
      <c r="F673" s="166" t="str">
        <f t="shared" si="33"/>
        <v>Date check - OK</v>
      </c>
      <c r="G673" s="68"/>
      <c r="H673" s="162" t="s">
        <v>280</v>
      </c>
      <c r="I673" s="173">
        <v>21853.086195380012</v>
      </c>
      <c r="J673" s="168">
        <f>IFERROR(MIN('MP Calculations'!$E$30/I673,1),"-")</f>
        <v>0.32927792945511891</v>
      </c>
      <c r="K673" s="12"/>
      <c r="L673" s="159">
        <v>1.1180030000000001</v>
      </c>
      <c r="M673" s="187" t="s">
        <v>293</v>
      </c>
      <c r="N673" s="187">
        <v>237.97403299999999</v>
      </c>
      <c r="O673" s="186">
        <f t="shared" si="34"/>
        <v>266.05568281609902</v>
      </c>
      <c r="P673" s="186">
        <f t="shared" si="35"/>
        <v>87.606264357452943</v>
      </c>
      <c r="Q673" s="215">
        <f>IF(P673="-",0,P673/(1+'General inputs'!$H$30)^'MP Calculations'!$C$40)</f>
        <v>194.59883183628281</v>
      </c>
    </row>
    <row r="674" spans="3:17">
      <c r="C674" s="159"/>
      <c r="D674" s="165" t="s">
        <v>282</v>
      </c>
      <c r="E674" s="162">
        <v>29952</v>
      </c>
      <c r="F674" s="166" t="str">
        <f t="shared" si="33"/>
        <v>Date check - OK</v>
      </c>
      <c r="G674" s="68"/>
      <c r="H674" s="162" t="s">
        <v>280</v>
      </c>
      <c r="I674" s="173">
        <v>21853.086195380012</v>
      </c>
      <c r="J674" s="168">
        <f>IFERROR(MIN('MP Calculations'!$E$30/I674,1),"-")</f>
        <v>0.32927792945511891</v>
      </c>
      <c r="K674" s="12"/>
      <c r="L674" s="159">
        <v>0.75877899999999998</v>
      </c>
      <c r="M674" s="187" t="s">
        <v>293</v>
      </c>
      <c r="N674" s="187">
        <v>237.97403299999999</v>
      </c>
      <c r="O674" s="186">
        <f t="shared" si="34"/>
        <v>180.56969878570698</v>
      </c>
      <c r="P674" s="186">
        <f t="shared" si="35"/>
        <v>59.45761653849209</v>
      </c>
      <c r="Q674" s="215">
        <f>IF(P674="-",0,P674/(1+'General inputs'!$H$30)^'MP Calculations'!$C$40)</f>
        <v>132.07254991435872</v>
      </c>
    </row>
    <row r="675" spans="3:17">
      <c r="C675" s="159"/>
      <c r="D675" s="165" t="s">
        <v>282</v>
      </c>
      <c r="E675" s="162">
        <v>29952</v>
      </c>
      <c r="F675" s="166" t="str">
        <f t="shared" si="33"/>
        <v>Date check - OK</v>
      </c>
      <c r="G675" s="68"/>
      <c r="H675" s="162" t="s">
        <v>280</v>
      </c>
      <c r="I675" s="173">
        <v>21853.086195380012</v>
      </c>
      <c r="J675" s="168">
        <f>IFERROR(MIN('MP Calculations'!$E$30/I675,1),"-")</f>
        <v>0.32927792945511891</v>
      </c>
      <c r="K675" s="12"/>
      <c r="L675" s="159">
        <v>1.595961</v>
      </c>
      <c r="M675" s="187" t="s">
        <v>293</v>
      </c>
      <c r="N675" s="187">
        <v>237.97403299999999</v>
      </c>
      <c r="O675" s="186">
        <f t="shared" si="34"/>
        <v>379.79727568071297</v>
      </c>
      <c r="P675" s="186">
        <f t="shared" si="35"/>
        <v>125.05886054884016</v>
      </c>
      <c r="Q675" s="215">
        <f>IF(P675="-",0,P675/(1+'General inputs'!$H$30)^'MP Calculations'!$C$40)</f>
        <v>277.79187198626994</v>
      </c>
    </row>
    <row r="676" spans="3:17">
      <c r="C676" s="159"/>
      <c r="D676" s="165" t="s">
        <v>282</v>
      </c>
      <c r="E676" s="162">
        <v>29952</v>
      </c>
      <c r="F676" s="166" t="str">
        <f t="shared" si="33"/>
        <v>Date check - OK</v>
      </c>
      <c r="G676" s="68"/>
      <c r="H676" s="162" t="s">
        <v>280</v>
      </c>
      <c r="I676" s="173">
        <v>21853.086195380012</v>
      </c>
      <c r="J676" s="168">
        <f>IFERROR(MIN('MP Calculations'!$E$30/I676,1),"-")</f>
        <v>0.32927792945511891</v>
      </c>
      <c r="K676" s="12"/>
      <c r="L676" s="159">
        <v>0.64526300000000003</v>
      </c>
      <c r="M676" s="187" t="s">
        <v>293</v>
      </c>
      <c r="N676" s="187">
        <v>237.97403299999999</v>
      </c>
      <c r="O676" s="186">
        <f t="shared" si="34"/>
        <v>153.55583845567901</v>
      </c>
      <c r="P676" s="186">
        <f t="shared" si="35"/>
        <v>50.562548542430712</v>
      </c>
      <c r="Q676" s="215">
        <f>IF(P676="-",0,P676/(1+'General inputs'!$H$30)^'MP Calculations'!$C$40)</f>
        <v>112.31403317090863</v>
      </c>
    </row>
    <row r="677" spans="3:17">
      <c r="C677" s="159"/>
      <c r="D677" s="165" t="s">
        <v>282</v>
      </c>
      <c r="E677" s="162">
        <v>29952</v>
      </c>
      <c r="F677" s="166" t="str">
        <f t="shared" si="33"/>
        <v>Date check - OK</v>
      </c>
      <c r="G677" s="68"/>
      <c r="H677" s="162" t="s">
        <v>280</v>
      </c>
      <c r="I677" s="173">
        <v>21853.086195380012</v>
      </c>
      <c r="J677" s="168">
        <f>IFERROR(MIN('MP Calculations'!$E$30/I677,1),"-")</f>
        <v>0.32927792945511891</v>
      </c>
      <c r="K677" s="12"/>
      <c r="L677" s="159">
        <v>0.93234399999999995</v>
      </c>
      <c r="M677" s="187" t="s">
        <v>293</v>
      </c>
      <c r="N677" s="187">
        <v>237.97403299999999</v>
      </c>
      <c r="O677" s="186">
        <f t="shared" si="34"/>
        <v>221.87366182335197</v>
      </c>
      <c r="P677" s="186">
        <f t="shared" si="35"/>
        <v>73.058099965818599</v>
      </c>
      <c r="Q677" s="215">
        <f>IF(P677="-",0,P677/(1+'General inputs'!$H$30)^'MP Calculations'!$C$40)</f>
        <v>162.28315422191821</v>
      </c>
    </row>
    <row r="678" spans="3:17">
      <c r="C678" s="159"/>
      <c r="D678" s="165" t="s">
        <v>282</v>
      </c>
      <c r="E678" s="162">
        <v>29952</v>
      </c>
      <c r="F678" s="166" t="str">
        <f t="shared" si="33"/>
        <v>Date check - OK</v>
      </c>
      <c r="G678" s="68"/>
      <c r="H678" s="162" t="s">
        <v>280</v>
      </c>
      <c r="I678" s="173">
        <v>21853.086195380012</v>
      </c>
      <c r="J678" s="168">
        <f>IFERROR(MIN('MP Calculations'!$E$30/I678,1),"-")</f>
        <v>0.32927792945511891</v>
      </c>
      <c r="K678" s="12"/>
      <c r="L678" s="159">
        <v>7.9971199999999998</v>
      </c>
      <c r="M678" s="187" t="s">
        <v>293</v>
      </c>
      <c r="N678" s="187">
        <v>237.97403299999999</v>
      </c>
      <c r="O678" s="186">
        <f t="shared" si="34"/>
        <v>1903.1068987849599</v>
      </c>
      <c r="P678" s="186">
        <f t="shared" si="35"/>
        <v>626.65109916366418</v>
      </c>
      <c r="Q678" s="215">
        <f>IF(P678="-",0,P678/(1+'General inputs'!$H$30)^'MP Calculations'!$C$40)</f>
        <v>1391.9731969007005</v>
      </c>
    </row>
    <row r="679" spans="3:17">
      <c r="C679" s="159"/>
      <c r="D679" s="165" t="s">
        <v>282</v>
      </c>
      <c r="E679" s="162">
        <v>29952</v>
      </c>
      <c r="F679" s="166" t="str">
        <f t="shared" si="33"/>
        <v>Date check - OK</v>
      </c>
      <c r="G679" s="68"/>
      <c r="H679" s="162" t="s">
        <v>280</v>
      </c>
      <c r="I679" s="173">
        <v>21853.086195380012</v>
      </c>
      <c r="J679" s="168">
        <f>IFERROR(MIN('MP Calculations'!$E$30/I679,1),"-")</f>
        <v>0.32927792945511891</v>
      </c>
      <c r="K679" s="12"/>
      <c r="L679" s="159">
        <v>2.2646199999999999</v>
      </c>
      <c r="M679" s="187" t="s">
        <v>293</v>
      </c>
      <c r="N679" s="187">
        <v>237.97403299999999</v>
      </c>
      <c r="O679" s="186">
        <f t="shared" si="34"/>
        <v>538.92075461245997</v>
      </c>
      <c r="P679" s="186">
        <f t="shared" si="35"/>
        <v>177.45471021918104</v>
      </c>
      <c r="Q679" s="215">
        <f>IF(P679="-",0,P679/(1+'General inputs'!$H$30)^'MP Calculations'!$C$40)</f>
        <v>394.17819679650478</v>
      </c>
    </row>
    <row r="680" spans="3:17">
      <c r="C680" s="159"/>
      <c r="D680" s="165" t="s">
        <v>282</v>
      </c>
      <c r="E680" s="162">
        <v>29952</v>
      </c>
      <c r="F680" s="166" t="str">
        <f t="shared" si="33"/>
        <v>Date check - OK</v>
      </c>
      <c r="G680" s="68"/>
      <c r="H680" s="162" t="s">
        <v>280</v>
      </c>
      <c r="I680" s="173">
        <v>21853.086195380012</v>
      </c>
      <c r="J680" s="168">
        <f>IFERROR(MIN('MP Calculations'!$E$30/I680,1),"-")</f>
        <v>0.32927792945511891</v>
      </c>
      <c r="K680" s="12"/>
      <c r="L680" s="159">
        <v>0.49925399999999998</v>
      </c>
      <c r="M680" s="187" t="s">
        <v>293</v>
      </c>
      <c r="N680" s="187">
        <v>237.97403299999999</v>
      </c>
      <c r="O680" s="186">
        <f t="shared" si="34"/>
        <v>118.80948787138199</v>
      </c>
      <c r="P680" s="186">
        <f t="shared" si="35"/>
        <v>39.121342165911727</v>
      </c>
      <c r="Q680" s="215">
        <f>IF(P680="-",0,P680/(1+'General inputs'!$H$30)^'MP Calculations'!$C$40)</f>
        <v>86.899807236287856</v>
      </c>
    </row>
    <row r="681" spans="3:17">
      <c r="C681" s="159"/>
      <c r="D681" s="165" t="s">
        <v>282</v>
      </c>
      <c r="E681" s="162">
        <v>29952</v>
      </c>
      <c r="F681" s="166" t="str">
        <f t="shared" si="33"/>
        <v>Date check - OK</v>
      </c>
      <c r="G681" s="68"/>
      <c r="H681" s="162" t="s">
        <v>280</v>
      </c>
      <c r="I681" s="173">
        <v>21853.086195380012</v>
      </c>
      <c r="J681" s="168">
        <f>IFERROR(MIN('MP Calculations'!$E$30/I681,1),"-")</f>
        <v>0.32927792945511891</v>
      </c>
      <c r="K681" s="12"/>
      <c r="L681" s="159">
        <v>5.4607489999999999</v>
      </c>
      <c r="M681" s="187" t="s">
        <v>293</v>
      </c>
      <c r="N681" s="187">
        <v>237.97403299999999</v>
      </c>
      <c r="O681" s="186">
        <f t="shared" si="34"/>
        <v>1299.516462730717</v>
      </c>
      <c r="P681" s="186">
        <f t="shared" si="35"/>
        <v>427.90209014081069</v>
      </c>
      <c r="Q681" s="215">
        <f>IF(P681="-",0,P681/(1+'General inputs'!$H$30)^'MP Calculations'!$C$40)</f>
        <v>950.49420829027247</v>
      </c>
    </row>
    <row r="682" spans="3:17">
      <c r="C682" s="159"/>
      <c r="D682" s="165" t="s">
        <v>282</v>
      </c>
      <c r="E682" s="162">
        <v>29952</v>
      </c>
      <c r="F682" s="166" t="str">
        <f t="shared" si="33"/>
        <v>Date check - OK</v>
      </c>
      <c r="G682" s="68"/>
      <c r="H682" s="162" t="s">
        <v>280</v>
      </c>
      <c r="I682" s="173">
        <v>21853.086195380012</v>
      </c>
      <c r="J682" s="168">
        <f>IFERROR(MIN('MP Calculations'!$E$30/I682,1),"-")</f>
        <v>0.32927792945511891</v>
      </c>
      <c r="K682" s="12"/>
      <c r="L682" s="159">
        <v>1.7883960000000001</v>
      </c>
      <c r="M682" s="187" t="s">
        <v>293</v>
      </c>
      <c r="N682" s="187">
        <v>237.97403299999999</v>
      </c>
      <c r="O682" s="186">
        <f t="shared" si="34"/>
        <v>425.59180872106799</v>
      </c>
      <c r="P682" s="186">
        <f t="shared" si="35"/>
        <v>140.13798956873228</v>
      </c>
      <c r="Q682" s="215">
        <f>IF(P682="-",0,P682/(1+'General inputs'!$H$30)^'MP Calculations'!$C$40)</f>
        <v>311.28697549173017</v>
      </c>
    </row>
    <row r="683" spans="3:17">
      <c r="C683" s="159"/>
      <c r="D683" s="165" t="s">
        <v>284</v>
      </c>
      <c r="E683" s="162">
        <v>29952</v>
      </c>
      <c r="F683" s="166" t="str">
        <f t="shared" si="33"/>
        <v>Date check - OK</v>
      </c>
      <c r="G683" s="68"/>
      <c r="H683" s="162" t="s">
        <v>280</v>
      </c>
      <c r="I683" s="173">
        <v>21853.086195380012</v>
      </c>
      <c r="J683" s="168">
        <f>IFERROR(MIN('MP Calculations'!$E$30/I683,1),"-")</f>
        <v>0.32927792945511891</v>
      </c>
      <c r="K683" s="12"/>
      <c r="L683" s="159">
        <v>263.93982</v>
      </c>
      <c r="M683" s="187" t="s">
        <v>293</v>
      </c>
      <c r="N683" s="187">
        <v>315.45229399999999</v>
      </c>
      <c r="O683" s="186">
        <f t="shared" si="34"/>
        <v>83260.421696947073</v>
      </c>
      <c r="P683" s="186">
        <f t="shared" si="35"/>
        <v>27415.819261930792</v>
      </c>
      <c r="Q683" s="215">
        <f>IF(P683="-",0,P683/(1+'General inputs'!$H$30)^'MP Calculations'!$C$40)</f>
        <v>60898.457905225361</v>
      </c>
    </row>
    <row r="684" spans="3:17">
      <c r="C684" s="159"/>
      <c r="D684" s="165" t="s">
        <v>282</v>
      </c>
      <c r="E684" s="162">
        <v>29952</v>
      </c>
      <c r="F684" s="166" t="str">
        <f t="shared" si="33"/>
        <v>Date check - OK</v>
      </c>
      <c r="G684" s="68"/>
      <c r="H684" s="162" t="s">
        <v>280</v>
      </c>
      <c r="I684" s="173">
        <v>21853.086195380012</v>
      </c>
      <c r="J684" s="168">
        <f>IFERROR(MIN('MP Calculations'!$E$30/I684,1),"-")</f>
        <v>0.32927792945511891</v>
      </c>
      <c r="K684" s="12"/>
      <c r="L684" s="159">
        <v>0.83047899999999997</v>
      </c>
      <c r="M684" s="187" t="s">
        <v>293</v>
      </c>
      <c r="N684" s="187">
        <v>237.97403299999999</v>
      </c>
      <c r="O684" s="186">
        <f t="shared" si="34"/>
        <v>197.63243695180699</v>
      </c>
      <c r="P684" s="186">
        <f t="shared" si="35"/>
        <v>65.075999632660341</v>
      </c>
      <c r="Q684" s="215">
        <f>IF(P684="-",0,P684/(1+'General inputs'!$H$30)^'MP Calculations'!$C$40)</f>
        <v>144.5526025105159</v>
      </c>
    </row>
    <row r="685" spans="3:17">
      <c r="C685" s="159"/>
      <c r="D685" s="165" t="s">
        <v>282</v>
      </c>
      <c r="E685" s="162">
        <v>29952</v>
      </c>
      <c r="F685" s="166" t="str">
        <f t="shared" si="33"/>
        <v>Date check - OK</v>
      </c>
      <c r="G685" s="68"/>
      <c r="H685" s="162" t="s">
        <v>280</v>
      </c>
      <c r="I685" s="173">
        <v>21853.086195380012</v>
      </c>
      <c r="J685" s="168">
        <f>IFERROR(MIN('MP Calculations'!$E$30/I685,1),"-")</f>
        <v>0.32927792945511891</v>
      </c>
      <c r="K685" s="12"/>
      <c r="L685" s="159">
        <v>1.0207299999999999</v>
      </c>
      <c r="M685" s="187" t="s">
        <v>293</v>
      </c>
      <c r="N685" s="187">
        <v>237.97403299999999</v>
      </c>
      <c r="O685" s="186">
        <f t="shared" si="34"/>
        <v>242.90723470408997</v>
      </c>
      <c r="P685" s="186">
        <f t="shared" si="35"/>
        <v>79.983991293031352</v>
      </c>
      <c r="Q685" s="215">
        <f>IF(P685="-",0,P685/(1+'General inputs'!$H$30)^'MP Calculations'!$C$40)</f>
        <v>177.66756048082959</v>
      </c>
    </row>
    <row r="686" spans="3:17">
      <c r="C686" s="159"/>
      <c r="D686" s="165" t="s">
        <v>283</v>
      </c>
      <c r="E686" s="162">
        <v>29952</v>
      </c>
      <c r="F686" s="166" t="str">
        <f t="shared" si="33"/>
        <v>Date check - OK</v>
      </c>
      <c r="G686" s="68"/>
      <c r="H686" s="162" t="s">
        <v>280</v>
      </c>
      <c r="I686" s="173">
        <v>21853.086195380012</v>
      </c>
      <c r="J686" s="168">
        <f>IFERROR(MIN('MP Calculations'!$E$30/I686,1),"-")</f>
        <v>0.32927792945511891</v>
      </c>
      <c r="K686" s="12"/>
      <c r="L686" s="159">
        <v>29.193595999999999</v>
      </c>
      <c r="M686" s="187" t="s">
        <v>293</v>
      </c>
      <c r="N686" s="187">
        <v>192.78728599999999</v>
      </c>
      <c r="O686" s="186">
        <f t="shared" si="34"/>
        <v>5628.1541414204557</v>
      </c>
      <c r="P686" s="186">
        <f t="shared" si="35"/>
        <v>1853.2269423411801</v>
      </c>
      <c r="Q686" s="215">
        <f>IF(P686="-",0,P686/(1+'General inputs'!$H$30)^'MP Calculations'!$C$40)</f>
        <v>4116.5526318488601</v>
      </c>
    </row>
    <row r="687" spans="3:17">
      <c r="C687" s="159"/>
      <c r="D687" s="165" t="s">
        <v>283</v>
      </c>
      <c r="E687" s="162">
        <v>29952</v>
      </c>
      <c r="F687" s="166" t="str">
        <f t="shared" si="33"/>
        <v>Date check - OK</v>
      </c>
      <c r="G687" s="68"/>
      <c r="H687" s="162" t="s">
        <v>280</v>
      </c>
      <c r="I687" s="173">
        <v>21853.086195380012</v>
      </c>
      <c r="J687" s="168">
        <f>IFERROR(MIN('MP Calculations'!$E$30/I687,1),"-")</f>
        <v>0.32927792945511891</v>
      </c>
      <c r="K687" s="12"/>
      <c r="L687" s="159">
        <v>3.7981050000000001</v>
      </c>
      <c r="M687" s="187" t="s">
        <v>293</v>
      </c>
      <c r="N687" s="187">
        <v>192.78728599999999</v>
      </c>
      <c r="O687" s="186">
        <f t="shared" si="34"/>
        <v>732.22635489303002</v>
      </c>
      <c r="P687" s="186">
        <f t="shared" si="35"/>
        <v>241.105978031646</v>
      </c>
      <c r="Q687" s="215">
        <f>IF(P687="-",0,P687/(1+'General inputs'!$H$30)^'MP Calculations'!$C$40)</f>
        <v>535.56605817893467</v>
      </c>
    </row>
    <row r="688" spans="3:17">
      <c r="C688" s="159"/>
      <c r="D688" s="165" t="s">
        <v>283</v>
      </c>
      <c r="E688" s="162">
        <v>29952</v>
      </c>
      <c r="F688" s="166" t="str">
        <f t="shared" si="33"/>
        <v>Date check - OK</v>
      </c>
      <c r="G688" s="68"/>
      <c r="H688" s="162" t="s">
        <v>280</v>
      </c>
      <c r="I688" s="173">
        <v>21853.086195380012</v>
      </c>
      <c r="J688" s="168">
        <f>IFERROR(MIN('MP Calculations'!$E$30/I688,1),"-")</f>
        <v>0.32927792945511891</v>
      </c>
      <c r="K688" s="12"/>
      <c r="L688" s="159">
        <v>2.698725</v>
      </c>
      <c r="M688" s="187" t="s">
        <v>293</v>
      </c>
      <c r="N688" s="187">
        <v>192.78728599999999</v>
      </c>
      <c r="O688" s="186">
        <f t="shared" si="34"/>
        <v>520.27986841034999</v>
      </c>
      <c r="P688" s="186">
        <f t="shared" si="35"/>
        <v>171.31667780734176</v>
      </c>
      <c r="Q688" s="215">
        <f>IF(P688="-",0,P688/(1+'General inputs'!$H$30)^'MP Calculations'!$C$40)</f>
        <v>380.54385288425294</v>
      </c>
    </row>
    <row r="689" spans="3:17">
      <c r="C689" s="159"/>
      <c r="D689" s="165" t="s">
        <v>283</v>
      </c>
      <c r="E689" s="162">
        <v>29952</v>
      </c>
      <c r="F689" s="166" t="str">
        <f t="shared" si="33"/>
        <v>Date check - OK</v>
      </c>
      <c r="G689" s="68"/>
      <c r="H689" s="162" t="s">
        <v>280</v>
      </c>
      <c r="I689" s="173">
        <v>21853.086195380012</v>
      </c>
      <c r="J689" s="168">
        <f>IFERROR(MIN('MP Calculations'!$E$30/I689,1),"-")</f>
        <v>0.32927792945511891</v>
      </c>
      <c r="K689" s="12"/>
      <c r="L689" s="159">
        <v>12.985505</v>
      </c>
      <c r="M689" s="187" t="s">
        <v>293</v>
      </c>
      <c r="N689" s="187">
        <v>192.78728599999999</v>
      </c>
      <c r="O689" s="186">
        <f t="shared" si="34"/>
        <v>2503.4402662894299</v>
      </c>
      <c r="P689" s="186">
        <f t="shared" si="35"/>
        <v>824.32762739835505</v>
      </c>
      <c r="Q689" s="215">
        <f>IF(P689="-",0,P689/(1+'General inputs'!$H$30)^'MP Calculations'!$C$40)</f>
        <v>1831.0698957276977</v>
      </c>
    </row>
    <row r="690" spans="3:17">
      <c r="C690" s="159"/>
      <c r="D690" s="165" t="s">
        <v>283</v>
      </c>
      <c r="E690" s="162">
        <v>29952</v>
      </c>
      <c r="F690" s="166" t="str">
        <f t="shared" si="33"/>
        <v>Date check - OK</v>
      </c>
      <c r="G690" s="68"/>
      <c r="H690" s="162" t="s">
        <v>280</v>
      </c>
      <c r="I690" s="173">
        <v>21853.086195380012</v>
      </c>
      <c r="J690" s="168">
        <f>IFERROR(MIN('MP Calculations'!$E$30/I690,1),"-")</f>
        <v>0.32927792945511891</v>
      </c>
      <c r="K690" s="12"/>
      <c r="L690" s="159">
        <v>17.304532999999999</v>
      </c>
      <c r="M690" s="187" t="s">
        <v>293</v>
      </c>
      <c r="N690" s="187">
        <v>192.78728599999999</v>
      </c>
      <c r="O690" s="186">
        <f t="shared" si="34"/>
        <v>3336.0939525674376</v>
      </c>
      <c r="P690" s="186">
        <f t="shared" si="35"/>
        <v>1098.5021091691494</v>
      </c>
      <c r="Q690" s="215">
        <f>IF(P690="-",0,P690/(1+'General inputs'!$H$30)^'MP Calculations'!$C$40)</f>
        <v>2440.0906576930583</v>
      </c>
    </row>
    <row r="691" spans="3:17">
      <c r="C691" s="159"/>
      <c r="D691" s="165" t="s">
        <v>284</v>
      </c>
      <c r="E691" s="162">
        <v>29952</v>
      </c>
      <c r="F691" s="166" t="str">
        <f t="shared" si="33"/>
        <v>Date check - OK</v>
      </c>
      <c r="G691" s="68"/>
      <c r="H691" s="162" t="s">
        <v>280</v>
      </c>
      <c r="I691" s="173">
        <v>21853.086195380012</v>
      </c>
      <c r="J691" s="168">
        <f>IFERROR(MIN('MP Calculations'!$E$30/I691,1),"-")</f>
        <v>0.32927792945511891</v>
      </c>
      <c r="K691" s="12"/>
      <c r="L691" s="159">
        <v>33.687094000000002</v>
      </c>
      <c r="M691" s="187" t="s">
        <v>293</v>
      </c>
      <c r="N691" s="187">
        <v>315.45229399999999</v>
      </c>
      <c r="O691" s="186">
        <f t="shared" si="34"/>
        <v>10626.671080493636</v>
      </c>
      <c r="P691" s="186">
        <f t="shared" si="35"/>
        <v>3499.1282503855355</v>
      </c>
      <c r="Q691" s="215">
        <f>IF(P691="-",0,P691/(1+'General inputs'!$H$30)^'MP Calculations'!$C$40)</f>
        <v>7772.5751116613246</v>
      </c>
    </row>
    <row r="692" spans="3:17">
      <c r="C692" s="159"/>
      <c r="D692" s="165" t="s">
        <v>284</v>
      </c>
      <c r="E692" s="162">
        <v>29952</v>
      </c>
      <c r="F692" s="166" t="str">
        <f t="shared" si="33"/>
        <v>Date check - OK</v>
      </c>
      <c r="G692" s="68"/>
      <c r="H692" s="162" t="s">
        <v>280</v>
      </c>
      <c r="I692" s="173">
        <v>21853.086195380012</v>
      </c>
      <c r="J692" s="168">
        <f>IFERROR(MIN('MP Calculations'!$E$30/I692,1),"-")</f>
        <v>0.32927792945511891</v>
      </c>
      <c r="K692" s="12"/>
      <c r="L692" s="159">
        <v>39.006112000000002</v>
      </c>
      <c r="M692" s="187" t="s">
        <v>293</v>
      </c>
      <c r="N692" s="187">
        <v>315.45229399999999</v>
      </c>
      <c r="O692" s="186">
        <f t="shared" si="34"/>
        <v>12304.567510420928</v>
      </c>
      <c r="P692" s="186">
        <f t="shared" si="35"/>
        <v>4051.6225126721301</v>
      </c>
      <c r="Q692" s="215">
        <f>IF(P692="-",0,P692/(1+'General inputs'!$H$30)^'MP Calculations'!$C$40)</f>
        <v>8999.8245421191314</v>
      </c>
    </row>
    <row r="693" spans="3:17">
      <c r="C693" s="159"/>
      <c r="D693" s="165" t="s">
        <v>284</v>
      </c>
      <c r="E693" s="162">
        <v>29952</v>
      </c>
      <c r="F693" s="166" t="str">
        <f t="shared" si="33"/>
        <v>Date check - OK</v>
      </c>
      <c r="G693" s="68"/>
      <c r="H693" s="162" t="s">
        <v>280</v>
      </c>
      <c r="I693" s="173">
        <v>21853.086195380012</v>
      </c>
      <c r="J693" s="168">
        <f>IFERROR(MIN('MP Calculations'!$E$30/I693,1),"-")</f>
        <v>0.32927792945511891</v>
      </c>
      <c r="K693" s="12"/>
      <c r="L693" s="159">
        <v>31.238724999999999</v>
      </c>
      <c r="M693" s="187" t="s">
        <v>293</v>
      </c>
      <c r="N693" s="187">
        <v>315.45229399999999</v>
      </c>
      <c r="O693" s="186">
        <f t="shared" si="34"/>
        <v>9854.3274628851486</v>
      </c>
      <c r="P693" s="186">
        <f t="shared" si="35"/>
        <v>3244.8125431515368</v>
      </c>
      <c r="Q693" s="215">
        <f>IF(P693="-",0,P693/(1+'General inputs'!$H$30)^'MP Calculations'!$C$40)</f>
        <v>7207.6664272386442</v>
      </c>
    </row>
    <row r="694" spans="3:17">
      <c r="C694" s="159"/>
      <c r="D694" s="165" t="s">
        <v>284</v>
      </c>
      <c r="E694" s="162">
        <v>29952</v>
      </c>
      <c r="F694" s="166" t="str">
        <f t="shared" si="33"/>
        <v>Date check - OK</v>
      </c>
      <c r="G694" s="68"/>
      <c r="H694" s="162" t="s">
        <v>280</v>
      </c>
      <c r="I694" s="173">
        <v>21853.086195380012</v>
      </c>
      <c r="J694" s="168">
        <f>IFERROR(MIN('MP Calculations'!$E$30/I694,1),"-")</f>
        <v>0.32927792945511891</v>
      </c>
      <c r="K694" s="12"/>
      <c r="L694" s="159">
        <v>5.5549109999999997</v>
      </c>
      <c r="M694" s="187" t="s">
        <v>293</v>
      </c>
      <c r="N694" s="187">
        <v>315.45229399999999</v>
      </c>
      <c r="O694" s="186">
        <f t="shared" si="34"/>
        <v>1752.3094179158338</v>
      </c>
      <c r="P694" s="186">
        <f t="shared" si="35"/>
        <v>576.9968168960304</v>
      </c>
      <c r="Q694" s="215">
        <f>IF(P694="-",0,P694/(1+'General inputs'!$H$30)^'MP Calculations'!$C$40)</f>
        <v>1281.6766856201284</v>
      </c>
    </row>
    <row r="695" spans="3:17">
      <c r="C695" s="159"/>
      <c r="D695" s="165" t="s">
        <v>284</v>
      </c>
      <c r="E695" s="162">
        <v>29952</v>
      </c>
      <c r="F695" s="166" t="str">
        <f t="shared" si="33"/>
        <v>Date check - OK</v>
      </c>
      <c r="G695" s="68"/>
      <c r="H695" s="162" t="s">
        <v>280</v>
      </c>
      <c r="I695" s="173">
        <v>21853.086195380012</v>
      </c>
      <c r="J695" s="168">
        <f>IFERROR(MIN('MP Calculations'!$E$30/I695,1),"-")</f>
        <v>0.32927792945511891</v>
      </c>
      <c r="K695" s="12"/>
      <c r="L695" s="159">
        <v>79.554124999999999</v>
      </c>
      <c r="M695" s="187" t="s">
        <v>293</v>
      </c>
      <c r="N695" s="187">
        <v>315.45229399999999</v>
      </c>
      <c r="O695" s="186">
        <f t="shared" si="34"/>
        <v>25095.53122841275</v>
      </c>
      <c r="P695" s="186">
        <f t="shared" si="35"/>
        <v>8263.4045614680272</v>
      </c>
      <c r="Q695" s="215">
        <f>IF(P695="-",0,P695/(1+'General inputs'!$H$30)^'MP Calculations'!$C$40)</f>
        <v>18355.4097009672</v>
      </c>
    </row>
    <row r="696" spans="3:17">
      <c r="C696" s="159"/>
      <c r="D696" s="165" t="s">
        <v>284</v>
      </c>
      <c r="E696" s="162">
        <v>29952</v>
      </c>
      <c r="F696" s="166" t="str">
        <f t="shared" si="33"/>
        <v>Date check - OK</v>
      </c>
      <c r="G696" s="68"/>
      <c r="H696" s="162" t="s">
        <v>280</v>
      </c>
      <c r="I696" s="173">
        <v>21853.086195380012</v>
      </c>
      <c r="J696" s="168">
        <f>IFERROR(MIN('MP Calculations'!$E$30/I696,1),"-")</f>
        <v>0.32927792945511891</v>
      </c>
      <c r="K696" s="12"/>
      <c r="L696" s="159">
        <v>17.103354</v>
      </c>
      <c r="M696" s="187" t="s">
        <v>293</v>
      </c>
      <c r="N696" s="187">
        <v>315.45229399999999</v>
      </c>
      <c r="O696" s="186">
        <f t="shared" si="34"/>
        <v>5395.2922543940758</v>
      </c>
      <c r="P696" s="186">
        <f t="shared" si="35"/>
        <v>1776.5506623321219</v>
      </c>
      <c r="Q696" s="215">
        <f>IF(P696="-",0,P696/(1+'General inputs'!$H$30)^'MP Calculations'!$C$40)</f>
        <v>3946.2324540767204</v>
      </c>
    </row>
    <row r="697" spans="3:17">
      <c r="C697" s="159"/>
      <c r="D697" s="165" t="s">
        <v>284</v>
      </c>
      <c r="E697" s="162">
        <v>29952</v>
      </c>
      <c r="F697" s="166" t="str">
        <f t="shared" si="33"/>
        <v>Date check - OK</v>
      </c>
      <c r="G697" s="68"/>
      <c r="H697" s="162" t="s">
        <v>280</v>
      </c>
      <c r="I697" s="173">
        <v>21853.086195380012</v>
      </c>
      <c r="J697" s="168">
        <f>IFERROR(MIN('MP Calculations'!$E$30/I697,1),"-")</f>
        <v>0.32927792945511891</v>
      </c>
      <c r="K697" s="12"/>
      <c r="L697" s="159">
        <v>268.91542199999998</v>
      </c>
      <c r="M697" s="187" t="s">
        <v>293</v>
      </c>
      <c r="N697" s="187">
        <v>315.45229399999999</v>
      </c>
      <c r="O697" s="186">
        <f t="shared" si="34"/>
        <v>84829.986761878055</v>
      </c>
      <c r="P697" s="186">
        <f t="shared" si="35"/>
        <v>27932.642396656353</v>
      </c>
      <c r="Q697" s="215">
        <f>IF(P697="-",0,P697/(1+'General inputs'!$H$30)^'MP Calculations'!$C$40)</f>
        <v>62046.471452215555</v>
      </c>
    </row>
    <row r="698" spans="3:17">
      <c r="C698" s="159"/>
      <c r="D698" s="165" t="s">
        <v>282</v>
      </c>
      <c r="E698" s="162">
        <v>29952</v>
      </c>
      <c r="F698" s="166" t="str">
        <f t="shared" si="33"/>
        <v>Date check - OK</v>
      </c>
      <c r="G698" s="68"/>
      <c r="H698" s="162" t="s">
        <v>280</v>
      </c>
      <c r="I698" s="173">
        <v>21853.086195380012</v>
      </c>
      <c r="J698" s="168">
        <f>IFERROR(MIN('MP Calculations'!$E$30/I698,1),"-")</f>
        <v>0.32927792945511891</v>
      </c>
      <c r="K698" s="12"/>
      <c r="L698" s="159">
        <v>0.42369099999999998</v>
      </c>
      <c r="M698" s="187" t="s">
        <v>293</v>
      </c>
      <c r="N698" s="187">
        <v>237.97403299999999</v>
      </c>
      <c r="O698" s="186">
        <f t="shared" si="34"/>
        <v>100.82745601580299</v>
      </c>
      <c r="P698" s="186">
        <f t="shared" si="35"/>
        <v>33.200255949110684</v>
      </c>
      <c r="Q698" s="215">
        <f>IF(P698="-",0,P698/(1+'General inputs'!$H$30)^'MP Calculations'!$C$40)</f>
        <v>73.747363521874718</v>
      </c>
    </row>
    <row r="699" spans="3:17">
      <c r="C699" s="159"/>
      <c r="D699" s="165" t="s">
        <v>284</v>
      </c>
      <c r="E699" s="162">
        <v>29952</v>
      </c>
      <c r="F699" s="166" t="str">
        <f t="shared" si="33"/>
        <v>Date check - OK</v>
      </c>
      <c r="G699" s="68"/>
      <c r="H699" s="162" t="s">
        <v>280</v>
      </c>
      <c r="I699" s="173">
        <v>21853.086195380012</v>
      </c>
      <c r="J699" s="168">
        <f>IFERROR(MIN('MP Calculations'!$E$30/I699,1),"-")</f>
        <v>0.32927792945511891</v>
      </c>
      <c r="K699" s="12"/>
      <c r="L699" s="159">
        <v>37.362022000000003</v>
      </c>
      <c r="M699" s="187" t="s">
        <v>293</v>
      </c>
      <c r="N699" s="187">
        <v>315.45229399999999</v>
      </c>
      <c r="O699" s="186">
        <f t="shared" si="34"/>
        <v>11785.935548378469</v>
      </c>
      <c r="P699" s="186">
        <f t="shared" si="35"/>
        <v>3880.8484540615436</v>
      </c>
      <c r="Q699" s="215">
        <f>IF(P699="-",0,P699/(1+'General inputs'!$H$30)^'MP Calculations'!$C$40)</f>
        <v>8620.4860032908418</v>
      </c>
    </row>
    <row r="700" spans="3:17">
      <c r="C700" s="159"/>
      <c r="D700" s="165" t="s">
        <v>282</v>
      </c>
      <c r="E700" s="162">
        <v>29952</v>
      </c>
      <c r="F700" s="166" t="str">
        <f t="shared" si="33"/>
        <v>Date check - OK</v>
      </c>
      <c r="G700" s="68"/>
      <c r="H700" s="162" t="s">
        <v>280</v>
      </c>
      <c r="I700" s="173">
        <v>21853.086195380012</v>
      </c>
      <c r="J700" s="168">
        <f>IFERROR(MIN('MP Calculations'!$E$30/I700,1),"-")</f>
        <v>0.32927792945511891</v>
      </c>
      <c r="K700" s="12"/>
      <c r="L700" s="159">
        <v>0.55254499999999995</v>
      </c>
      <c r="M700" s="187" t="s">
        <v>293</v>
      </c>
      <c r="N700" s="187">
        <v>237.97403299999999</v>
      </c>
      <c r="O700" s="186">
        <f t="shared" si="34"/>
        <v>131.49136206398498</v>
      </c>
      <c r="P700" s="186">
        <f t="shared" si="35"/>
        <v>43.297203441662347</v>
      </c>
      <c r="Q700" s="215">
        <f>IF(P700="-",0,P700/(1+'General inputs'!$H$30)^'MP Calculations'!$C$40)</f>
        <v>96.175601976898875</v>
      </c>
    </row>
    <row r="701" spans="3:17">
      <c r="C701" s="159"/>
      <c r="D701" s="165" t="s">
        <v>284</v>
      </c>
      <c r="E701" s="162">
        <v>29952</v>
      </c>
      <c r="F701" s="166" t="str">
        <f t="shared" si="33"/>
        <v>Date check - OK</v>
      </c>
      <c r="G701" s="68"/>
      <c r="H701" s="162" t="s">
        <v>280</v>
      </c>
      <c r="I701" s="173">
        <v>21853.086195380012</v>
      </c>
      <c r="J701" s="168">
        <f>IFERROR(MIN('MP Calculations'!$E$30/I701,1),"-")</f>
        <v>0.32927792945511891</v>
      </c>
      <c r="K701" s="12"/>
      <c r="L701" s="159">
        <v>14.294589</v>
      </c>
      <c r="M701" s="187" t="s">
        <v>293</v>
      </c>
      <c r="N701" s="187">
        <v>315.45229399999999</v>
      </c>
      <c r="O701" s="186">
        <f t="shared" si="34"/>
        <v>4509.2608918371661</v>
      </c>
      <c r="P701" s="186">
        <f t="shared" si="35"/>
        <v>1484.8000898370849</v>
      </c>
      <c r="Q701" s="215">
        <f>IF(P701="-",0,P701/(1+'General inputs'!$H$30)^'MP Calculations'!$C$40)</f>
        <v>3298.1701150246959</v>
      </c>
    </row>
    <row r="702" spans="3:17">
      <c r="C702" s="159"/>
      <c r="D702" s="165" t="s">
        <v>284</v>
      </c>
      <c r="E702" s="162">
        <v>29952</v>
      </c>
      <c r="F702" s="166" t="str">
        <f t="shared" si="33"/>
        <v>Date check - OK</v>
      </c>
      <c r="G702" s="68"/>
      <c r="H702" s="162" t="s">
        <v>280</v>
      </c>
      <c r="I702" s="173">
        <v>21853.086195380012</v>
      </c>
      <c r="J702" s="168">
        <f>IFERROR(MIN('MP Calculations'!$E$30/I702,1),"-")</f>
        <v>0.32927792945511891</v>
      </c>
      <c r="K702" s="12"/>
      <c r="L702" s="159">
        <v>64.974247000000005</v>
      </c>
      <c r="M702" s="187" t="s">
        <v>293</v>
      </c>
      <c r="N702" s="187">
        <v>315.45229399999999</v>
      </c>
      <c r="O702" s="186">
        <f t="shared" si="34"/>
        <v>20496.275267072619</v>
      </c>
      <c r="P702" s="186">
        <f t="shared" si="35"/>
        <v>6748.9710814838363</v>
      </c>
      <c r="Q702" s="215">
        <f>IF(P702="-",0,P702/(1+'General inputs'!$H$30)^'MP Calculations'!$C$40)</f>
        <v>14991.415262210969</v>
      </c>
    </row>
    <row r="703" spans="3:17">
      <c r="C703" s="159"/>
      <c r="D703" s="165" t="s">
        <v>282</v>
      </c>
      <c r="E703" s="162">
        <v>29952</v>
      </c>
      <c r="F703" s="166" t="str">
        <f t="shared" si="33"/>
        <v>Date check - OK</v>
      </c>
      <c r="G703" s="68"/>
      <c r="H703" s="162" t="s">
        <v>280</v>
      </c>
      <c r="I703" s="173">
        <v>21853.086195380012</v>
      </c>
      <c r="J703" s="168">
        <f>IFERROR(MIN('MP Calculations'!$E$30/I703,1),"-")</f>
        <v>0.32927792945511891</v>
      </c>
      <c r="K703" s="12"/>
      <c r="L703" s="159">
        <v>3.0515059999999998</v>
      </c>
      <c r="M703" s="187" t="s">
        <v>293</v>
      </c>
      <c r="N703" s="187">
        <v>237.97403299999999</v>
      </c>
      <c r="O703" s="186">
        <f t="shared" si="34"/>
        <v>726.17918954369793</v>
      </c>
      <c r="P703" s="186">
        <f t="shared" si="35"/>
        <v>239.11477994634518</v>
      </c>
      <c r="Q703" s="215">
        <f>IF(P703="-",0,P703/(1+'General inputs'!$H$30)^'MP Calculations'!$C$40)</f>
        <v>531.14303176414364</v>
      </c>
    </row>
    <row r="704" spans="3:17">
      <c r="C704" s="159"/>
      <c r="D704" s="165" t="s">
        <v>284</v>
      </c>
      <c r="E704" s="162">
        <v>29952</v>
      </c>
      <c r="F704" s="166" t="str">
        <f t="shared" si="33"/>
        <v>Date check - OK</v>
      </c>
      <c r="G704" s="68"/>
      <c r="H704" s="162" t="s">
        <v>280</v>
      </c>
      <c r="I704" s="173">
        <v>21853.086195380012</v>
      </c>
      <c r="J704" s="168">
        <f>IFERROR(MIN('MP Calculations'!$E$30/I704,1),"-")</f>
        <v>0.32927792945511891</v>
      </c>
      <c r="K704" s="12"/>
      <c r="L704" s="159">
        <v>0.69970100000000002</v>
      </c>
      <c r="M704" s="187" t="s">
        <v>293</v>
      </c>
      <c r="N704" s="187">
        <v>315.45229399999999</v>
      </c>
      <c r="O704" s="186">
        <f t="shared" si="34"/>
        <v>220.72228556409399</v>
      </c>
      <c r="P704" s="186">
        <f t="shared" si="35"/>
        <v>72.678977175146358</v>
      </c>
      <c r="Q704" s="215">
        <f>IF(P704="-",0,P704/(1+'General inputs'!$H$30)^'MP Calculations'!$C$40)</f>
        <v>161.4410129352369</v>
      </c>
    </row>
    <row r="705" spans="3:17">
      <c r="C705" s="159"/>
      <c r="D705" s="165" t="s">
        <v>284</v>
      </c>
      <c r="E705" s="162">
        <v>29952</v>
      </c>
      <c r="F705" s="166" t="str">
        <f t="shared" si="33"/>
        <v>Date check - OK</v>
      </c>
      <c r="G705" s="68"/>
      <c r="H705" s="162" t="s">
        <v>280</v>
      </c>
      <c r="I705" s="173">
        <v>21853.086195380012</v>
      </c>
      <c r="J705" s="168">
        <f>IFERROR(MIN('MP Calculations'!$E$30/I705,1),"-")</f>
        <v>0.32927792945511891</v>
      </c>
      <c r="K705" s="12"/>
      <c r="L705" s="159">
        <v>27.560517999999998</v>
      </c>
      <c r="M705" s="187" t="s">
        <v>293</v>
      </c>
      <c r="N705" s="187">
        <v>315.45229399999999</v>
      </c>
      <c r="O705" s="186">
        <f t="shared" si="34"/>
        <v>8694.0286269282915</v>
      </c>
      <c r="P705" s="186">
        <f t="shared" si="35"/>
        <v>2862.7517448984781</v>
      </c>
      <c r="Q705" s="215">
        <f>IF(P705="-",0,P705/(1+'General inputs'!$H$30)^'MP Calculations'!$C$40)</f>
        <v>6358.9989766197677</v>
      </c>
    </row>
    <row r="706" spans="3:17">
      <c r="C706" s="159"/>
      <c r="D706" s="165" t="s">
        <v>284</v>
      </c>
      <c r="E706" s="162">
        <v>29952</v>
      </c>
      <c r="F706" s="166" t="str">
        <f t="shared" si="33"/>
        <v>Date check - OK</v>
      </c>
      <c r="G706" s="68"/>
      <c r="H706" s="162" t="s">
        <v>280</v>
      </c>
      <c r="I706" s="173">
        <v>21853.086195380012</v>
      </c>
      <c r="J706" s="168">
        <f>IFERROR(MIN('MP Calculations'!$E$30/I706,1),"-")</f>
        <v>0.32927792945511891</v>
      </c>
      <c r="K706" s="12"/>
      <c r="L706" s="159">
        <v>99.987167999999997</v>
      </c>
      <c r="M706" s="187" t="s">
        <v>293</v>
      </c>
      <c r="N706" s="187">
        <v>315.45229399999999</v>
      </c>
      <c r="O706" s="186">
        <f t="shared" si="34"/>
        <v>31541.181516163389</v>
      </c>
      <c r="P706" s="186">
        <f t="shared" si="35"/>
        <v>10385.814942210349</v>
      </c>
      <c r="Q706" s="215">
        <f>IF(P706="-",0,P706/(1+'General inputs'!$H$30)^'MP Calculations'!$C$40)</f>
        <v>23069.896545018088</v>
      </c>
    </row>
    <row r="707" spans="3:17">
      <c r="C707" s="159"/>
      <c r="D707" s="165" t="s">
        <v>284</v>
      </c>
      <c r="E707" s="162">
        <v>29952</v>
      </c>
      <c r="F707" s="166" t="str">
        <f t="shared" si="33"/>
        <v>Date check - OK</v>
      </c>
      <c r="G707" s="68"/>
      <c r="H707" s="162" t="s">
        <v>280</v>
      </c>
      <c r="I707" s="173">
        <v>21853.086195380012</v>
      </c>
      <c r="J707" s="168">
        <f>IFERROR(MIN('MP Calculations'!$E$30/I707,1),"-")</f>
        <v>0.32927792945511891</v>
      </c>
      <c r="K707" s="12"/>
      <c r="L707" s="159">
        <v>84.949869000000007</v>
      </c>
      <c r="M707" s="187" t="s">
        <v>293</v>
      </c>
      <c r="N707" s="187">
        <v>315.45229399999999</v>
      </c>
      <c r="O707" s="186">
        <f t="shared" si="34"/>
        <v>26797.631051049488</v>
      </c>
      <c r="P707" s="186">
        <f t="shared" si="35"/>
        <v>8823.8684667917769</v>
      </c>
      <c r="Q707" s="215">
        <f>IF(P707="-",0,P707/(1+'General inputs'!$H$30)^'MP Calculations'!$C$40)</f>
        <v>19600.36201188176</v>
      </c>
    </row>
    <row r="708" spans="3:17">
      <c r="C708" s="159"/>
      <c r="D708" s="165" t="s">
        <v>284</v>
      </c>
      <c r="E708" s="162">
        <v>29952</v>
      </c>
      <c r="F708" s="166" t="str">
        <f t="shared" si="33"/>
        <v>Date check - OK</v>
      </c>
      <c r="G708" s="68"/>
      <c r="H708" s="162" t="s">
        <v>280</v>
      </c>
      <c r="I708" s="173">
        <v>21853.086195380012</v>
      </c>
      <c r="J708" s="168">
        <f>IFERROR(MIN('MP Calculations'!$E$30/I708,1),"-")</f>
        <v>0.32927792945511891</v>
      </c>
      <c r="K708" s="12"/>
      <c r="L708" s="159">
        <v>130.23712</v>
      </c>
      <c r="M708" s="187" t="s">
        <v>293</v>
      </c>
      <c r="N708" s="187">
        <v>315.45229399999999</v>
      </c>
      <c r="O708" s="186">
        <f t="shared" si="34"/>
        <v>41083.598267953283</v>
      </c>
      <c r="P708" s="186">
        <f t="shared" si="35"/>
        <v>13527.922172237566</v>
      </c>
      <c r="Q708" s="215">
        <f>IF(P708="-",0,P708/(1+'General inputs'!$H$30)^'MP Calculations'!$C$40)</f>
        <v>30049.42478940004</v>
      </c>
    </row>
    <row r="709" spans="3:17">
      <c r="C709" s="159"/>
      <c r="D709" s="165" t="s">
        <v>284</v>
      </c>
      <c r="E709" s="162">
        <v>29952</v>
      </c>
      <c r="F709" s="166" t="str">
        <f t="shared" si="33"/>
        <v>Date check - OK</v>
      </c>
      <c r="G709" s="68"/>
      <c r="H709" s="162" t="s">
        <v>280</v>
      </c>
      <c r="I709" s="173">
        <v>21853.086195380012</v>
      </c>
      <c r="J709" s="168">
        <f>IFERROR(MIN('MP Calculations'!$E$30/I709,1),"-")</f>
        <v>0.32927792945511891</v>
      </c>
      <c r="K709" s="12"/>
      <c r="L709" s="159">
        <v>0.80002099999999998</v>
      </c>
      <c r="M709" s="187" t="s">
        <v>293</v>
      </c>
      <c r="N709" s="187">
        <v>315.45229399999999</v>
      </c>
      <c r="O709" s="186">
        <f t="shared" si="34"/>
        <v>252.36845969817398</v>
      </c>
      <c r="P709" s="186">
        <f t="shared" si="35"/>
        <v>83.099363869192345</v>
      </c>
      <c r="Q709" s="215">
        <f>IF(P709="-",0,P709/(1+'General inputs'!$H$30)^'MP Calculations'!$C$40)</f>
        <v>184.58770333251078</v>
      </c>
    </row>
    <row r="710" spans="3:17">
      <c r="C710" s="159"/>
      <c r="D710" s="165" t="s">
        <v>284</v>
      </c>
      <c r="E710" s="162">
        <v>29952</v>
      </c>
      <c r="F710" s="166" t="str">
        <f t="shared" si="33"/>
        <v>Date check - OK</v>
      </c>
      <c r="G710" s="68"/>
      <c r="H710" s="162" t="s">
        <v>280</v>
      </c>
      <c r="I710" s="173">
        <v>21853.086195380012</v>
      </c>
      <c r="J710" s="168">
        <f>IFERROR(MIN('MP Calculations'!$E$30/I710,1),"-")</f>
        <v>0.32927792945511891</v>
      </c>
      <c r="K710" s="12"/>
      <c r="L710" s="159">
        <v>13.27046</v>
      </c>
      <c r="M710" s="187" t="s">
        <v>293</v>
      </c>
      <c r="N710" s="187">
        <v>315.45229399999999</v>
      </c>
      <c r="O710" s="186">
        <f t="shared" si="34"/>
        <v>4186.1970494352399</v>
      </c>
      <c r="P710" s="186">
        <f t="shared" si="35"/>
        <v>1378.4222967291639</v>
      </c>
      <c r="Q710" s="215">
        <f>IF(P710="-",0,P710/(1+'General inputs'!$H$30)^'MP Calculations'!$C$40)</f>
        <v>3061.8742927572544</v>
      </c>
    </row>
    <row r="711" spans="3:17">
      <c r="C711" s="159"/>
      <c r="D711" s="165" t="s">
        <v>284</v>
      </c>
      <c r="E711" s="162">
        <v>29952</v>
      </c>
      <c r="F711" s="166" t="str">
        <f t="shared" si="33"/>
        <v>Date check - OK</v>
      </c>
      <c r="G711" s="68"/>
      <c r="H711" s="162" t="s">
        <v>280</v>
      </c>
      <c r="I711" s="173">
        <v>21853.086195380012</v>
      </c>
      <c r="J711" s="168">
        <f>IFERROR(MIN('MP Calculations'!$E$30/I711,1),"-")</f>
        <v>0.32927792945511891</v>
      </c>
      <c r="K711" s="12"/>
      <c r="L711" s="159">
        <v>5.6709899999999998</v>
      </c>
      <c r="M711" s="187" t="s">
        <v>293</v>
      </c>
      <c r="N711" s="187">
        <v>315.45229399999999</v>
      </c>
      <c r="O711" s="186">
        <f t="shared" si="34"/>
        <v>1788.92680475106</v>
      </c>
      <c r="P711" s="186">
        <f t="shared" si="35"/>
        <v>589.05411421519079</v>
      </c>
      <c r="Q711" s="215">
        <f>IF(P711="-",0,P711/(1+'General inputs'!$H$30)^'MP Calculations'!$C$40)</f>
        <v>1308.4594275920699</v>
      </c>
    </row>
    <row r="712" spans="3:17">
      <c r="C712" s="159"/>
      <c r="D712" s="165" t="s">
        <v>284</v>
      </c>
      <c r="E712" s="162">
        <v>29952</v>
      </c>
      <c r="F712" s="166" t="str">
        <f t="shared" si="33"/>
        <v>Date check - OK</v>
      </c>
      <c r="G712" s="68"/>
      <c r="H712" s="162" t="s">
        <v>280</v>
      </c>
      <c r="I712" s="173">
        <v>21853.086195380012</v>
      </c>
      <c r="J712" s="168">
        <f>IFERROR(MIN('MP Calculations'!$E$30/I712,1),"-")</f>
        <v>0.32927792945511891</v>
      </c>
      <c r="K712" s="12"/>
      <c r="L712" s="159">
        <v>129.407467</v>
      </c>
      <c r="M712" s="187" t="s">
        <v>293</v>
      </c>
      <c r="N712" s="187">
        <v>315.45229399999999</v>
      </c>
      <c r="O712" s="186">
        <f t="shared" si="34"/>
        <v>40821.882325879298</v>
      </c>
      <c r="P712" s="186">
        <f t="shared" si="35"/>
        <v>13441.744888726049</v>
      </c>
      <c r="Q712" s="215">
        <f>IF(P712="-",0,P712/(1+'General inputs'!$H$30)^'MP Calculations'!$C$40)</f>
        <v>29858.000137006005</v>
      </c>
    </row>
    <row r="713" spans="3:17">
      <c r="C713" s="159"/>
      <c r="D713" s="165" t="s">
        <v>284</v>
      </c>
      <c r="E713" s="162">
        <v>29952</v>
      </c>
      <c r="F713" s="166" t="str">
        <f t="shared" si="33"/>
        <v>Date check - OK</v>
      </c>
      <c r="G713" s="68"/>
      <c r="H713" s="162" t="s">
        <v>280</v>
      </c>
      <c r="I713" s="173">
        <v>21853.086195380012</v>
      </c>
      <c r="J713" s="168">
        <f>IFERROR(MIN('MP Calculations'!$E$30/I713,1),"-")</f>
        <v>0.32927792945511891</v>
      </c>
      <c r="K713" s="12"/>
      <c r="L713" s="159">
        <v>49.179684999999999</v>
      </c>
      <c r="M713" s="187" t="s">
        <v>293</v>
      </c>
      <c r="N713" s="187">
        <v>315.45229399999999</v>
      </c>
      <c r="O713" s="186">
        <f t="shared" si="34"/>
        <v>15513.84445144739</v>
      </c>
      <c r="P713" s="186">
        <f t="shared" si="35"/>
        <v>5108.3665788613816</v>
      </c>
      <c r="Q713" s="215">
        <f>IF(P713="-",0,P713/(1+'General inputs'!$H$30)^'MP Calculations'!$C$40)</f>
        <v>11347.158518046816</v>
      </c>
    </row>
    <row r="714" spans="3:17">
      <c r="C714" s="159"/>
      <c r="D714" s="165" t="s">
        <v>284</v>
      </c>
      <c r="E714" s="162">
        <v>29952</v>
      </c>
      <c r="F714" s="166" t="str">
        <f t="shared" si="33"/>
        <v>Date check - OK</v>
      </c>
      <c r="G714" s="68"/>
      <c r="H714" s="162" t="s">
        <v>280</v>
      </c>
      <c r="I714" s="173">
        <v>21853.086195380012</v>
      </c>
      <c r="J714" s="168">
        <f>IFERROR(MIN('MP Calculations'!$E$30/I714,1),"-")</f>
        <v>0.32927792945511891</v>
      </c>
      <c r="K714" s="12"/>
      <c r="L714" s="159">
        <v>43.689174000000001</v>
      </c>
      <c r="M714" s="187" t="s">
        <v>293</v>
      </c>
      <c r="N714" s="187">
        <v>315.45229399999999</v>
      </c>
      <c r="O714" s="186">
        <f t="shared" si="34"/>
        <v>13781.850161265156</v>
      </c>
      <c r="P714" s="186">
        <f t="shared" si="35"/>
        <v>4538.0590851620873</v>
      </c>
      <c r="Q714" s="215">
        <f>IF(P714="-",0,P714/(1+'General inputs'!$H$30)^'MP Calculations'!$C$40)</f>
        <v>10080.340752498303</v>
      </c>
    </row>
    <row r="715" spans="3:17">
      <c r="C715" s="159"/>
      <c r="D715" s="165" t="s">
        <v>284</v>
      </c>
      <c r="E715" s="162">
        <v>29952</v>
      </c>
      <c r="F715" s="166" t="str">
        <f t="shared" si="33"/>
        <v>Date check - OK</v>
      </c>
      <c r="G715" s="68"/>
      <c r="H715" s="162" t="s">
        <v>280</v>
      </c>
      <c r="I715" s="173">
        <v>21853.086195380012</v>
      </c>
      <c r="J715" s="168">
        <f>IFERROR(MIN('MP Calculations'!$E$30/I715,1),"-")</f>
        <v>0.32927792945511891</v>
      </c>
      <c r="K715" s="12"/>
      <c r="L715" s="159">
        <v>101.573038</v>
      </c>
      <c r="M715" s="187" t="s">
        <v>293</v>
      </c>
      <c r="N715" s="187">
        <v>315.45229399999999</v>
      </c>
      <c r="O715" s="186">
        <f t="shared" si="34"/>
        <v>32041.447845649171</v>
      </c>
      <c r="P715" s="186">
        <f t="shared" si="35"/>
        <v>10550.541603359539</v>
      </c>
      <c r="Q715" s="215">
        <f>IF(P715="-",0,P715/(1+'General inputs'!$H$30)^'MP Calculations'!$C$40)</f>
        <v>23435.802066353066</v>
      </c>
    </row>
    <row r="716" spans="3:17">
      <c r="C716" s="159"/>
      <c r="D716" s="165" t="s">
        <v>283</v>
      </c>
      <c r="E716" s="162">
        <v>29952</v>
      </c>
      <c r="F716" s="166" t="str">
        <f t="shared" si="33"/>
        <v>Date check - OK</v>
      </c>
      <c r="G716" s="68"/>
      <c r="H716" s="162" t="s">
        <v>280</v>
      </c>
      <c r="I716" s="173">
        <v>21853.086195380012</v>
      </c>
      <c r="J716" s="168">
        <f>IFERROR(MIN('MP Calculations'!$E$30/I716,1),"-")</f>
        <v>0.32927792945511891</v>
      </c>
      <c r="K716" s="12"/>
      <c r="L716" s="159">
        <v>54.801009000000001</v>
      </c>
      <c r="M716" s="187" t="s">
        <v>293</v>
      </c>
      <c r="N716" s="187">
        <v>192.78728599999999</v>
      </c>
      <c r="O716" s="186">
        <f t="shared" si="34"/>
        <v>10564.937795171574</v>
      </c>
      <c r="P716" s="186">
        <f t="shared" si="35"/>
        <v>3478.800842016225</v>
      </c>
      <c r="Q716" s="215">
        <f>IF(P716="-",0,P716/(1+'General inputs'!$H$30)^'MP Calculations'!$C$40)</f>
        <v>7727.4220629388401</v>
      </c>
    </row>
    <row r="717" spans="3:17">
      <c r="C717" s="159"/>
      <c r="D717" s="165" t="s">
        <v>283</v>
      </c>
      <c r="E717" s="162">
        <v>29952</v>
      </c>
      <c r="F717" s="166" t="str">
        <f t="shared" si="33"/>
        <v>Date check - OK</v>
      </c>
      <c r="G717" s="68"/>
      <c r="H717" s="162" t="s">
        <v>280</v>
      </c>
      <c r="I717" s="173">
        <v>21853.086195380012</v>
      </c>
      <c r="J717" s="168">
        <f>IFERROR(MIN('MP Calculations'!$E$30/I717,1),"-")</f>
        <v>0.32927792945511891</v>
      </c>
      <c r="K717" s="12"/>
      <c r="L717" s="159">
        <v>16.291309999999999</v>
      </c>
      <c r="M717" s="187" t="s">
        <v>293</v>
      </c>
      <c r="N717" s="187">
        <v>192.78728599999999</v>
      </c>
      <c r="O717" s="186">
        <f t="shared" si="34"/>
        <v>3140.7574402846599</v>
      </c>
      <c r="P717" s="186">
        <f t="shared" si="35"/>
        <v>1034.1821068576921</v>
      </c>
      <c r="Q717" s="215">
        <f>IF(P717="-",0,P717/(1+'General inputs'!$H$30)^'MP Calculations'!$C$40)</f>
        <v>2297.2173437203714</v>
      </c>
    </row>
    <row r="718" spans="3:17">
      <c r="C718" s="159"/>
      <c r="D718" s="165" t="s">
        <v>284</v>
      </c>
      <c r="E718" s="162">
        <v>29952</v>
      </c>
      <c r="F718" s="166" t="str">
        <f t="shared" si="33"/>
        <v>Date check - OK</v>
      </c>
      <c r="G718" s="68"/>
      <c r="H718" s="162" t="s">
        <v>280</v>
      </c>
      <c r="I718" s="173">
        <v>21853.086195380012</v>
      </c>
      <c r="J718" s="168">
        <f>IFERROR(MIN('MP Calculations'!$E$30/I718,1),"-")</f>
        <v>0.32927792945511891</v>
      </c>
      <c r="K718" s="12"/>
      <c r="L718" s="159">
        <v>21.769041000000001</v>
      </c>
      <c r="M718" s="187" t="s">
        <v>293</v>
      </c>
      <c r="N718" s="187">
        <v>315.45229399999999</v>
      </c>
      <c r="O718" s="186">
        <f t="shared" si="34"/>
        <v>6867.093921630054</v>
      </c>
      <c r="P718" s="186">
        <f t="shared" si="35"/>
        <v>2261.1824678881767</v>
      </c>
      <c r="Q718" s="215">
        <f>IF(P718="-",0,P718/(1+'General inputs'!$H$30)^'MP Calculations'!$C$40)</f>
        <v>5022.7397555079979</v>
      </c>
    </row>
    <row r="719" spans="3:17">
      <c r="C719" s="159"/>
      <c r="D719" s="165" t="s">
        <v>284</v>
      </c>
      <c r="E719" s="162">
        <v>29952</v>
      </c>
      <c r="F719" s="166" t="str">
        <f t="shared" si="33"/>
        <v>Date check - OK</v>
      </c>
      <c r="G719" s="68"/>
      <c r="H719" s="162" t="s">
        <v>280</v>
      </c>
      <c r="I719" s="173">
        <v>21853.086195380012</v>
      </c>
      <c r="J719" s="168">
        <f>IFERROR(MIN('MP Calculations'!$E$30/I719,1),"-")</f>
        <v>0.32927792945511891</v>
      </c>
      <c r="K719" s="12"/>
      <c r="L719" s="159">
        <v>6.3377340000000002</v>
      </c>
      <c r="M719" s="187" t="s">
        <v>293</v>
      </c>
      <c r="N719" s="187">
        <v>315.45229399999999</v>
      </c>
      <c r="O719" s="186">
        <f t="shared" si="34"/>
        <v>1999.2527290617961</v>
      </c>
      <c r="P719" s="186">
        <f t="shared" si="35"/>
        <v>658.3097990829641</v>
      </c>
      <c r="Q719" s="215">
        <f>IF(P719="-",0,P719/(1+'General inputs'!$H$30)^'MP Calculations'!$C$40)</f>
        <v>1462.2963189620862</v>
      </c>
    </row>
    <row r="720" spans="3:17">
      <c r="C720" s="159"/>
      <c r="D720" s="165" t="s">
        <v>284</v>
      </c>
      <c r="E720" s="162">
        <v>29952</v>
      </c>
      <c r="F720" s="166" t="str">
        <f t="shared" si="33"/>
        <v>Date check - OK</v>
      </c>
      <c r="G720" s="68"/>
      <c r="H720" s="162" t="s">
        <v>280</v>
      </c>
      <c r="I720" s="173">
        <v>21853.086195380012</v>
      </c>
      <c r="J720" s="168">
        <f>IFERROR(MIN('MP Calculations'!$E$30/I720,1),"-")</f>
        <v>0.32927792945511891</v>
      </c>
      <c r="K720" s="12"/>
      <c r="L720" s="159">
        <v>6.7036959999999999</v>
      </c>
      <c r="M720" s="187" t="s">
        <v>293</v>
      </c>
      <c r="N720" s="187">
        <v>315.45229399999999</v>
      </c>
      <c r="O720" s="186">
        <f t="shared" si="34"/>
        <v>2114.6962814786239</v>
      </c>
      <c r="P720" s="186">
        <f t="shared" si="35"/>
        <v>696.32281299172064</v>
      </c>
      <c r="Q720" s="215">
        <f>IF(P720="-",0,P720/(1+'General inputs'!$H$30)^'MP Calculations'!$C$40)</f>
        <v>1546.7342088261926</v>
      </c>
    </row>
    <row r="721" spans="3:17">
      <c r="C721" s="159"/>
      <c r="D721" s="165" t="s">
        <v>283</v>
      </c>
      <c r="E721" s="162">
        <v>29952</v>
      </c>
      <c r="F721" s="166" t="str">
        <f t="shared" si="33"/>
        <v>Date check - OK</v>
      </c>
      <c r="G721" s="68"/>
      <c r="H721" s="162" t="s">
        <v>280</v>
      </c>
      <c r="I721" s="173">
        <v>21853.086195380012</v>
      </c>
      <c r="J721" s="168">
        <f>IFERROR(MIN('MP Calculations'!$E$30/I721,1),"-")</f>
        <v>0.32927792945511891</v>
      </c>
      <c r="K721" s="12"/>
      <c r="L721" s="159">
        <v>2.7013259999999999</v>
      </c>
      <c r="M721" s="187" t="s">
        <v>293</v>
      </c>
      <c r="N721" s="187">
        <v>192.78728599999999</v>
      </c>
      <c r="O721" s="186">
        <f t="shared" si="34"/>
        <v>520.78130814123597</v>
      </c>
      <c r="P721" s="186">
        <f t="shared" si="35"/>
        <v>171.48179084367445</v>
      </c>
      <c r="Q721" s="215">
        <f>IF(P721="-",0,P721/(1+'General inputs'!$H$30)^'MP Calculations'!$C$40)</f>
        <v>380.91061665653501</v>
      </c>
    </row>
    <row r="722" spans="3:17">
      <c r="C722" s="159"/>
      <c r="D722" s="165" t="s">
        <v>283</v>
      </c>
      <c r="E722" s="162">
        <v>29952</v>
      </c>
      <c r="F722" s="166" t="str">
        <f t="shared" si="33"/>
        <v>Date check - OK</v>
      </c>
      <c r="G722" s="68"/>
      <c r="H722" s="162" t="s">
        <v>280</v>
      </c>
      <c r="I722" s="173">
        <v>21853.086195380012</v>
      </c>
      <c r="J722" s="168">
        <f>IFERROR(MIN('MP Calculations'!$E$30/I722,1),"-")</f>
        <v>0.32927792945511891</v>
      </c>
      <c r="K722" s="12"/>
      <c r="L722" s="159">
        <v>0.49776500000000001</v>
      </c>
      <c r="M722" s="187" t="s">
        <v>293</v>
      </c>
      <c r="N722" s="187">
        <v>192.78728599999999</v>
      </c>
      <c r="O722" s="186">
        <f t="shared" si="34"/>
        <v>95.962763415789993</v>
      </c>
      <c r="P722" s="186">
        <f t="shared" si="35"/>
        <v>31.598420042342763</v>
      </c>
      <c r="Q722" s="215">
        <f>IF(P722="-",0,P722/(1+'General inputs'!$H$30)^'MP Calculations'!$C$40)</f>
        <v>70.189223033443625</v>
      </c>
    </row>
    <row r="723" spans="3:17">
      <c r="C723" s="159"/>
      <c r="D723" s="165" t="s">
        <v>283</v>
      </c>
      <c r="E723" s="162">
        <v>29952</v>
      </c>
      <c r="F723" s="166" t="str">
        <f t="shared" si="33"/>
        <v>Date check - OK</v>
      </c>
      <c r="G723" s="68"/>
      <c r="H723" s="162" t="s">
        <v>280</v>
      </c>
      <c r="I723" s="173">
        <v>21853.086195380012</v>
      </c>
      <c r="J723" s="168">
        <f>IFERROR(MIN('MP Calculations'!$E$30/I723,1),"-")</f>
        <v>0.32927792945511891</v>
      </c>
      <c r="K723" s="12"/>
      <c r="L723" s="159">
        <v>13.593265000000001</v>
      </c>
      <c r="M723" s="187" t="s">
        <v>293</v>
      </c>
      <c r="N723" s="187">
        <v>192.78728599999999</v>
      </c>
      <c r="O723" s="186">
        <f t="shared" si="34"/>
        <v>2620.6086672287902</v>
      </c>
      <c r="P723" s="186">
        <f t="shared" si="35"/>
        <v>862.90859585723479</v>
      </c>
      <c r="Q723" s="215">
        <f>IF(P723="-",0,P723/(1+'General inputs'!$H$30)^'MP Calculations'!$C$40)</f>
        <v>1916.7693767896562</v>
      </c>
    </row>
    <row r="724" spans="3:17">
      <c r="C724" s="159"/>
      <c r="D724" s="165" t="s">
        <v>283</v>
      </c>
      <c r="E724" s="162">
        <v>29952</v>
      </c>
      <c r="F724" s="166" t="str">
        <f t="shared" si="33"/>
        <v>Date check - OK</v>
      </c>
      <c r="G724" s="68"/>
      <c r="H724" s="162" t="s">
        <v>280</v>
      </c>
      <c r="I724" s="173">
        <v>21853.086195380012</v>
      </c>
      <c r="J724" s="168">
        <f>IFERROR(MIN('MP Calculations'!$E$30/I724,1),"-")</f>
        <v>0.32927792945511891</v>
      </c>
      <c r="K724" s="12"/>
      <c r="L724" s="159">
        <v>49.821607</v>
      </c>
      <c r="M724" s="187" t="s">
        <v>293</v>
      </c>
      <c r="N724" s="187">
        <v>192.78728599999999</v>
      </c>
      <c r="O724" s="186">
        <f t="shared" si="34"/>
        <v>9604.9723976886016</v>
      </c>
      <c r="P724" s="186">
        <f t="shared" si="35"/>
        <v>3162.7054235844716</v>
      </c>
      <c r="Q724" s="215">
        <f>IF(P724="-",0,P724/(1+'General inputs'!$H$30)^'MP Calculations'!$C$40)</f>
        <v>7025.282785265289</v>
      </c>
    </row>
    <row r="725" spans="3:17">
      <c r="C725" s="159"/>
      <c r="D725" s="165" t="s">
        <v>283</v>
      </c>
      <c r="E725" s="162">
        <v>29952</v>
      </c>
      <c r="F725" s="166" t="str">
        <f t="shared" si="33"/>
        <v>Date check - OK</v>
      </c>
      <c r="G725" s="68"/>
      <c r="H725" s="162" t="s">
        <v>280</v>
      </c>
      <c r="I725" s="173">
        <v>21853.086195380012</v>
      </c>
      <c r="J725" s="168">
        <f>IFERROR(MIN('MP Calculations'!$E$30/I725,1),"-")</f>
        <v>0.32927792945511891</v>
      </c>
      <c r="K725" s="12"/>
      <c r="L725" s="159">
        <v>47.280985000000001</v>
      </c>
      <c r="M725" s="187" t="s">
        <v>293</v>
      </c>
      <c r="N725" s="187">
        <v>192.78728599999999</v>
      </c>
      <c r="O725" s="186">
        <f t="shared" si="34"/>
        <v>9115.1727775567106</v>
      </c>
      <c r="P725" s="186">
        <f t="shared" si="35"/>
        <v>3001.4252188195387</v>
      </c>
      <c r="Q725" s="215">
        <f>IF(P725="-",0,P725/(1+'General inputs'!$H$30)^'MP Calculations'!$C$40)</f>
        <v>6667.0328396048399</v>
      </c>
    </row>
    <row r="726" spans="3:17">
      <c r="C726" s="159"/>
      <c r="D726" s="165" t="s">
        <v>283</v>
      </c>
      <c r="E726" s="162">
        <v>29952</v>
      </c>
      <c r="F726" s="166" t="str">
        <f t="shared" si="33"/>
        <v>Date check - OK</v>
      </c>
      <c r="G726" s="68"/>
      <c r="H726" s="162" t="s">
        <v>280</v>
      </c>
      <c r="I726" s="173">
        <v>21853.086195380012</v>
      </c>
      <c r="J726" s="168">
        <f>IFERROR(MIN('MP Calculations'!$E$30/I726,1),"-")</f>
        <v>0.32927792945511891</v>
      </c>
      <c r="K726" s="12"/>
      <c r="L726" s="159">
        <v>18.353217000000001</v>
      </c>
      <c r="M726" s="187" t="s">
        <v>293</v>
      </c>
      <c r="N726" s="187">
        <v>192.78728599999999</v>
      </c>
      <c r="O726" s="186">
        <f t="shared" si="34"/>
        <v>3538.2668947990619</v>
      </c>
      <c r="P726" s="186">
        <f t="shared" si="35"/>
        <v>1165.0731969790281</v>
      </c>
      <c r="Q726" s="215">
        <f>IF(P726="-",0,P726/(1+'General inputs'!$H$30)^'MP Calculations'!$C$40)</f>
        <v>2587.9642831339875</v>
      </c>
    </row>
    <row r="727" spans="3:17">
      <c r="C727" s="159"/>
      <c r="D727" s="165" t="s">
        <v>283</v>
      </c>
      <c r="E727" s="162">
        <v>29952</v>
      </c>
      <c r="F727" s="166" t="str">
        <f t="shared" ref="F727:F790" si="36">IF(E727="","-",IF(OR(E727&lt;$E$15,E727&gt;$E$16),"ERROR - date outside of range","Date check - OK"))</f>
        <v>Date check - OK</v>
      </c>
      <c r="G727" s="68"/>
      <c r="H727" s="162" t="s">
        <v>280</v>
      </c>
      <c r="I727" s="173">
        <v>21853.086195380012</v>
      </c>
      <c r="J727" s="168">
        <f>IFERROR(MIN('MP Calculations'!$E$30/I727,1),"-")</f>
        <v>0.32927792945511891</v>
      </c>
      <c r="K727" s="12"/>
      <c r="L727" s="159">
        <v>17.056723999999999</v>
      </c>
      <c r="M727" s="187" t="s">
        <v>293</v>
      </c>
      <c r="N727" s="187">
        <v>192.78728599999999</v>
      </c>
      <c r="O727" s="186">
        <f t="shared" ref="O727:O790" si="37">IF(N727="","-",L727*N727)</f>
        <v>3288.3195280110635</v>
      </c>
      <c r="P727" s="186">
        <f t="shared" ref="P727:P790" si="38">IF(O727="-","-",IF(OR(E727&lt;$E$15,E727&gt;$E$16),0,O727*J727))</f>
        <v>1082.7710455703168</v>
      </c>
      <c r="Q727" s="215">
        <f>IF(P727="-",0,P727/(1+'General inputs'!$H$30)^'MP Calculations'!$C$40)</f>
        <v>2405.1474190750464</v>
      </c>
    </row>
    <row r="728" spans="3:17">
      <c r="C728" s="159"/>
      <c r="D728" s="165" t="s">
        <v>282</v>
      </c>
      <c r="E728" s="162">
        <v>29952</v>
      </c>
      <c r="F728" s="166" t="str">
        <f t="shared" si="36"/>
        <v>Date check - OK</v>
      </c>
      <c r="G728" s="68"/>
      <c r="H728" s="162" t="s">
        <v>280</v>
      </c>
      <c r="I728" s="173">
        <v>21853.086195380012</v>
      </c>
      <c r="J728" s="168">
        <f>IFERROR(MIN('MP Calculations'!$E$30/I728,1),"-")</f>
        <v>0.32927792945511891</v>
      </c>
      <c r="K728" s="12"/>
      <c r="L728" s="159">
        <v>0.63115900000000003</v>
      </c>
      <c r="M728" s="187" t="s">
        <v>293</v>
      </c>
      <c r="N728" s="187">
        <v>237.97403299999999</v>
      </c>
      <c r="O728" s="186">
        <f t="shared" si="37"/>
        <v>150.19945269424701</v>
      </c>
      <c r="P728" s="186">
        <f t="shared" si="38"/>
        <v>49.457364788453738</v>
      </c>
      <c r="Q728" s="215">
        <f>IF(P728="-",0,P728/(1+'General inputs'!$H$30)^'MP Calculations'!$C$40)</f>
        <v>109.85910064906483</v>
      </c>
    </row>
    <row r="729" spans="3:17">
      <c r="C729" s="159"/>
      <c r="D729" s="165" t="s">
        <v>283</v>
      </c>
      <c r="E729" s="162">
        <v>29992</v>
      </c>
      <c r="F729" s="166" t="str">
        <f t="shared" si="36"/>
        <v>Date check - OK</v>
      </c>
      <c r="G729" s="68"/>
      <c r="H729" s="162" t="s">
        <v>280</v>
      </c>
      <c r="I729" s="173">
        <v>21853.086195380012</v>
      </c>
      <c r="J729" s="168">
        <f>IFERROR(MIN('MP Calculations'!$E$30/I729,1),"-")</f>
        <v>0.32927792945511891</v>
      </c>
      <c r="K729" s="12"/>
      <c r="L729" s="159">
        <v>1.2006140000000001</v>
      </c>
      <c r="M729" s="187" t="s">
        <v>293</v>
      </c>
      <c r="N729" s="187">
        <v>192.78728599999999</v>
      </c>
      <c r="O729" s="186">
        <f t="shared" si="37"/>
        <v>231.46311459360402</v>
      </c>
      <c r="P729" s="186">
        <f t="shared" si="38"/>
        <v>76.215695118614846</v>
      </c>
      <c r="Q729" s="215">
        <f>IF(P729="-",0,P729/(1+'General inputs'!$H$30)^'MP Calculations'!$C$40)</f>
        <v>169.29708561886613</v>
      </c>
    </row>
    <row r="730" spans="3:17">
      <c r="C730" s="159"/>
      <c r="D730" s="165" t="s">
        <v>283</v>
      </c>
      <c r="E730" s="162">
        <v>30317</v>
      </c>
      <c r="F730" s="166" t="str">
        <f t="shared" si="36"/>
        <v>Date check - OK</v>
      </c>
      <c r="G730" s="68"/>
      <c r="H730" s="162" t="s">
        <v>280</v>
      </c>
      <c r="I730" s="173">
        <v>21853.086195380012</v>
      </c>
      <c r="J730" s="168">
        <f>IFERROR(MIN('MP Calculations'!$E$30/I730,1),"-")</f>
        <v>0.32927792945511891</v>
      </c>
      <c r="K730" s="12"/>
      <c r="L730" s="159">
        <v>19.499082000000001</v>
      </c>
      <c r="M730" s="187" t="s">
        <v>293</v>
      </c>
      <c r="N730" s="187">
        <v>192.78728599999999</v>
      </c>
      <c r="O730" s="186">
        <f t="shared" si="37"/>
        <v>3759.175098271452</v>
      </c>
      <c r="P730" s="186">
        <f t="shared" si="38"/>
        <v>1237.8133928180669</v>
      </c>
      <c r="Q730" s="215">
        <f>IF(P730="-",0,P730/(1+'General inputs'!$H$30)^'MP Calculations'!$C$40)</f>
        <v>2749.5412804142638</v>
      </c>
    </row>
    <row r="731" spans="3:17">
      <c r="C731" s="159"/>
      <c r="D731" s="165" t="s">
        <v>283</v>
      </c>
      <c r="E731" s="162">
        <v>30317</v>
      </c>
      <c r="F731" s="166" t="str">
        <f t="shared" si="36"/>
        <v>Date check - OK</v>
      </c>
      <c r="G731" s="68"/>
      <c r="H731" s="162" t="s">
        <v>280</v>
      </c>
      <c r="I731" s="173">
        <v>21853.086195380012</v>
      </c>
      <c r="J731" s="168">
        <f>IFERROR(MIN('MP Calculations'!$E$30/I731,1),"-")</f>
        <v>0.32927792945511891</v>
      </c>
      <c r="K731" s="12"/>
      <c r="L731" s="159">
        <v>34.959555000000002</v>
      </c>
      <c r="M731" s="187" t="s">
        <v>293</v>
      </c>
      <c r="N731" s="187">
        <v>192.78728599999999</v>
      </c>
      <c r="O731" s="186">
        <f t="shared" si="37"/>
        <v>6739.7577282177299</v>
      </c>
      <c r="P731" s="186">
        <f t="shared" si="38"/>
        <v>2219.25346977667</v>
      </c>
      <c r="Q731" s="215">
        <f>IF(P731="-",0,P731/(1+'General inputs'!$H$30)^'MP Calculations'!$C$40)</f>
        <v>4929.6033329883367</v>
      </c>
    </row>
    <row r="732" spans="3:17">
      <c r="C732" s="159"/>
      <c r="D732" s="165" t="s">
        <v>283</v>
      </c>
      <c r="E732" s="162">
        <v>30317</v>
      </c>
      <c r="F732" s="166" t="str">
        <f t="shared" si="36"/>
        <v>Date check - OK</v>
      </c>
      <c r="G732" s="68"/>
      <c r="H732" s="162" t="s">
        <v>280</v>
      </c>
      <c r="I732" s="173">
        <v>21853.086195380012</v>
      </c>
      <c r="J732" s="168">
        <f>IFERROR(MIN('MP Calculations'!$E$30/I732,1),"-")</f>
        <v>0.32927792945511891</v>
      </c>
      <c r="K732" s="12"/>
      <c r="L732" s="159">
        <v>33.1877</v>
      </c>
      <c r="M732" s="187" t="s">
        <v>293</v>
      </c>
      <c r="N732" s="187">
        <v>192.78728599999999</v>
      </c>
      <c r="O732" s="186">
        <f t="shared" si="37"/>
        <v>6398.1666115821999</v>
      </c>
      <c r="P732" s="186">
        <f t="shared" si="38"/>
        <v>2106.775054170661</v>
      </c>
      <c r="Q732" s="215">
        <f>IF(P732="-",0,P732/(1+'General inputs'!$H$30)^'MP Calculations'!$C$40)</f>
        <v>4679.7562650387581</v>
      </c>
    </row>
    <row r="733" spans="3:17">
      <c r="C733" s="159"/>
      <c r="D733" s="165" t="s">
        <v>283</v>
      </c>
      <c r="E733" s="162">
        <v>30317</v>
      </c>
      <c r="F733" s="166" t="str">
        <f t="shared" si="36"/>
        <v>Date check - OK</v>
      </c>
      <c r="G733" s="68"/>
      <c r="H733" s="162" t="s">
        <v>280</v>
      </c>
      <c r="I733" s="173">
        <v>21853.086195380012</v>
      </c>
      <c r="J733" s="168">
        <f>IFERROR(MIN('MP Calculations'!$E$30/I733,1),"-")</f>
        <v>0.32927792945511891</v>
      </c>
      <c r="K733" s="12"/>
      <c r="L733" s="159">
        <v>3.2095530000000001</v>
      </c>
      <c r="M733" s="187" t="s">
        <v>293</v>
      </c>
      <c r="N733" s="187">
        <v>192.78728599999999</v>
      </c>
      <c r="O733" s="186">
        <f t="shared" si="37"/>
        <v>618.76101214315804</v>
      </c>
      <c r="P733" s="186">
        <f t="shared" si="38"/>
        <v>203.74434490605276</v>
      </c>
      <c r="Q733" s="215">
        <f>IF(P733="-",0,P733/(1+'General inputs'!$H$30)^'MP Calculations'!$C$40)</f>
        <v>452.57507328690872</v>
      </c>
    </row>
    <row r="734" spans="3:17">
      <c r="C734" s="159"/>
      <c r="D734" s="165" t="s">
        <v>283</v>
      </c>
      <c r="E734" s="162">
        <v>30317</v>
      </c>
      <c r="F734" s="166" t="str">
        <f t="shared" si="36"/>
        <v>Date check - OK</v>
      </c>
      <c r="G734" s="68"/>
      <c r="H734" s="162" t="s">
        <v>280</v>
      </c>
      <c r="I734" s="173">
        <v>21853.086195380012</v>
      </c>
      <c r="J734" s="168">
        <f>IFERROR(MIN('MP Calculations'!$E$30/I734,1),"-")</f>
        <v>0.32927792945511891</v>
      </c>
      <c r="K734" s="12"/>
      <c r="L734" s="159">
        <v>28.087569999999999</v>
      </c>
      <c r="M734" s="187" t="s">
        <v>293</v>
      </c>
      <c r="N734" s="187">
        <v>192.78728599999999</v>
      </c>
      <c r="O734" s="186">
        <f t="shared" si="37"/>
        <v>5414.9263906350197</v>
      </c>
      <c r="P734" s="186">
        <f t="shared" si="38"/>
        <v>1783.0157500601797</v>
      </c>
      <c r="Q734" s="215">
        <f>IF(P734="-",0,P734/(1+'General inputs'!$H$30)^'MP Calculations'!$C$40)</f>
        <v>3960.5932823671014</v>
      </c>
    </row>
    <row r="735" spans="3:17">
      <c r="C735" s="159"/>
      <c r="D735" s="165" t="s">
        <v>283</v>
      </c>
      <c r="E735" s="162">
        <v>30317</v>
      </c>
      <c r="F735" s="166" t="str">
        <f t="shared" si="36"/>
        <v>Date check - OK</v>
      </c>
      <c r="G735" s="68"/>
      <c r="H735" s="162" t="s">
        <v>280</v>
      </c>
      <c r="I735" s="173">
        <v>21853.086195380012</v>
      </c>
      <c r="J735" s="168">
        <f>IFERROR(MIN('MP Calculations'!$E$30/I735,1),"-")</f>
        <v>0.32927792945511891</v>
      </c>
      <c r="K735" s="12"/>
      <c r="L735" s="159">
        <v>0.50010600000000005</v>
      </c>
      <c r="M735" s="187" t="s">
        <v>293</v>
      </c>
      <c r="N735" s="187">
        <v>192.78728599999999</v>
      </c>
      <c r="O735" s="186">
        <f t="shared" si="37"/>
        <v>96.414078452316005</v>
      </c>
      <c r="P735" s="186">
        <f t="shared" si="38"/>
        <v>31.747028123102009</v>
      </c>
      <c r="Q735" s="215">
        <f>IF(P735="-",0,P735/(1+'General inputs'!$H$30)^'MP Calculations'!$C$40)</f>
        <v>70.519324529373023</v>
      </c>
    </row>
    <row r="736" spans="3:17">
      <c r="C736" s="159"/>
      <c r="D736" s="165" t="s">
        <v>283</v>
      </c>
      <c r="E736" s="162">
        <v>30317</v>
      </c>
      <c r="F736" s="166" t="str">
        <f t="shared" si="36"/>
        <v>Date check - OK</v>
      </c>
      <c r="G736" s="68"/>
      <c r="H736" s="162" t="s">
        <v>280</v>
      </c>
      <c r="I736" s="173">
        <v>21853.086195380012</v>
      </c>
      <c r="J736" s="168">
        <f>IFERROR(MIN('MP Calculations'!$E$30/I736,1),"-")</f>
        <v>0.32927792945511891</v>
      </c>
      <c r="K736" s="12"/>
      <c r="L736" s="159">
        <v>13.594200000000001</v>
      </c>
      <c r="M736" s="187" t="s">
        <v>293</v>
      </c>
      <c r="N736" s="187">
        <v>192.78728599999999</v>
      </c>
      <c r="O736" s="186">
        <f t="shared" si="37"/>
        <v>2620.7889233412002</v>
      </c>
      <c r="P736" s="186">
        <f t="shared" si="38"/>
        <v>862.96795021670073</v>
      </c>
      <c r="Q736" s="215">
        <f>IF(P736="-",0,P736/(1+'General inputs'!$H$30)^'MP Calculations'!$C$40)</f>
        <v>1916.9012199757706</v>
      </c>
    </row>
    <row r="737" spans="3:17">
      <c r="C737" s="159"/>
      <c r="D737" s="165" t="s">
        <v>283</v>
      </c>
      <c r="E737" s="162">
        <v>30317</v>
      </c>
      <c r="F737" s="166" t="str">
        <f t="shared" si="36"/>
        <v>Date check - OK</v>
      </c>
      <c r="G737" s="68"/>
      <c r="H737" s="162" t="s">
        <v>280</v>
      </c>
      <c r="I737" s="173">
        <v>21853.086195380012</v>
      </c>
      <c r="J737" s="168">
        <f>IFERROR(MIN('MP Calculations'!$E$30/I737,1),"-")</f>
        <v>0.32927792945511891</v>
      </c>
      <c r="K737" s="12"/>
      <c r="L737" s="159">
        <v>21.391311999999999</v>
      </c>
      <c r="M737" s="187" t="s">
        <v>293</v>
      </c>
      <c r="N737" s="187">
        <v>192.78728599999999</v>
      </c>
      <c r="O737" s="186">
        <f t="shared" si="37"/>
        <v>4123.9729844592321</v>
      </c>
      <c r="P737" s="186">
        <f t="shared" si="38"/>
        <v>1357.9332854515833</v>
      </c>
      <c r="Q737" s="215">
        <f>IF(P737="-",0,P737/(1+'General inputs'!$H$30)^'MP Calculations'!$C$40)</f>
        <v>3016.3622772713616</v>
      </c>
    </row>
    <row r="738" spans="3:17">
      <c r="C738" s="159"/>
      <c r="D738" s="165" t="s">
        <v>283</v>
      </c>
      <c r="E738" s="162">
        <v>30317</v>
      </c>
      <c r="F738" s="166" t="str">
        <f t="shared" si="36"/>
        <v>Date check - OK</v>
      </c>
      <c r="G738" s="68"/>
      <c r="H738" s="162" t="s">
        <v>280</v>
      </c>
      <c r="I738" s="173">
        <v>21853.086195380012</v>
      </c>
      <c r="J738" s="168">
        <f>IFERROR(MIN('MP Calculations'!$E$30/I738,1),"-")</f>
        <v>0.32927792945511891</v>
      </c>
      <c r="K738" s="12"/>
      <c r="L738" s="159">
        <v>7.4969409999999996</v>
      </c>
      <c r="M738" s="187" t="s">
        <v>293</v>
      </c>
      <c r="N738" s="187">
        <v>192.78728599999999</v>
      </c>
      <c r="O738" s="186">
        <f t="shared" si="37"/>
        <v>1445.314908692126</v>
      </c>
      <c r="P738" s="186">
        <f t="shared" si="38"/>
        <v>475.91030054475749</v>
      </c>
      <c r="Q738" s="215">
        <f>IF(P738="-",0,P738/(1+'General inputs'!$H$30)^'MP Calculations'!$C$40)</f>
        <v>1057.1343182376581</v>
      </c>
    </row>
    <row r="739" spans="3:17">
      <c r="C739" s="159"/>
      <c r="D739" s="165" t="s">
        <v>283</v>
      </c>
      <c r="E739" s="162">
        <v>30317</v>
      </c>
      <c r="F739" s="166" t="str">
        <f t="shared" si="36"/>
        <v>Date check - OK</v>
      </c>
      <c r="G739" s="68"/>
      <c r="H739" s="162" t="s">
        <v>280</v>
      </c>
      <c r="I739" s="173">
        <v>21853.086195380012</v>
      </c>
      <c r="J739" s="168">
        <f>IFERROR(MIN('MP Calculations'!$E$30/I739,1),"-")</f>
        <v>0.32927792945511891</v>
      </c>
      <c r="K739" s="12"/>
      <c r="L739" s="159">
        <v>6.074808</v>
      </c>
      <c r="M739" s="187" t="s">
        <v>293</v>
      </c>
      <c r="N739" s="187">
        <v>192.78728599999999</v>
      </c>
      <c r="O739" s="186">
        <f t="shared" si="37"/>
        <v>1171.1457472910879</v>
      </c>
      <c r="P739" s="186">
        <f t="shared" si="38"/>
        <v>385.63244675817737</v>
      </c>
      <c r="Q739" s="215">
        <f>IF(P739="-",0,P739/(1+'General inputs'!$H$30)^'MP Calculations'!$C$40)</f>
        <v>856.60111417505777</v>
      </c>
    </row>
    <row r="740" spans="3:17">
      <c r="C740" s="159"/>
      <c r="D740" s="165" t="s">
        <v>292</v>
      </c>
      <c r="E740" s="162">
        <v>30317</v>
      </c>
      <c r="F740" s="166" t="str">
        <f t="shared" si="36"/>
        <v>Date check - OK</v>
      </c>
      <c r="G740" s="68"/>
      <c r="H740" s="162" t="s">
        <v>280</v>
      </c>
      <c r="I740" s="173">
        <v>21853.086195380012</v>
      </c>
      <c r="J740" s="168">
        <f>IFERROR(MIN('MP Calculations'!$E$30/I740,1),"-")</f>
        <v>0.32927792945511891</v>
      </c>
      <c r="K740" s="12"/>
      <c r="L740" s="159">
        <v>35.556151</v>
      </c>
      <c r="M740" s="187" t="s">
        <v>293</v>
      </c>
      <c r="N740" s="187">
        <v>297.51652200000001</v>
      </c>
      <c r="O740" s="186">
        <f t="shared" si="37"/>
        <v>10578.542381226822</v>
      </c>
      <c r="P740" s="186">
        <f t="shared" si="38"/>
        <v>3483.2805319435911</v>
      </c>
      <c r="Q740" s="215">
        <f>IF(P740="-",0,P740/(1+'General inputs'!$H$30)^'MP Calculations'!$C$40)</f>
        <v>7737.3727489228622</v>
      </c>
    </row>
    <row r="741" spans="3:17">
      <c r="C741" s="159"/>
      <c r="D741" s="165" t="s">
        <v>282</v>
      </c>
      <c r="E741" s="162">
        <v>30317</v>
      </c>
      <c r="F741" s="166" t="str">
        <f t="shared" si="36"/>
        <v>Date check - OK</v>
      </c>
      <c r="G741" s="68"/>
      <c r="H741" s="162" t="s">
        <v>280</v>
      </c>
      <c r="I741" s="173">
        <v>21853.086195380012</v>
      </c>
      <c r="J741" s="168">
        <f>IFERROR(MIN('MP Calculations'!$E$30/I741,1),"-")</f>
        <v>0.32927792945511891</v>
      </c>
      <c r="K741" s="12"/>
      <c r="L741" s="159">
        <v>2.3496519999999999</v>
      </c>
      <c r="M741" s="187" t="s">
        <v>293</v>
      </c>
      <c r="N741" s="187">
        <v>237.97403299999999</v>
      </c>
      <c r="O741" s="186">
        <f t="shared" si="37"/>
        <v>559.15616258651596</v>
      </c>
      <c r="P741" s="186">
        <f t="shared" si="38"/>
        <v>184.1177834585578</v>
      </c>
      <c r="Q741" s="215">
        <f>IF(P741="-",0,P741/(1+'General inputs'!$H$30)^'MP Calculations'!$C$40)</f>
        <v>408.97880812644109</v>
      </c>
    </row>
    <row r="742" spans="3:17">
      <c r="C742" s="159"/>
      <c r="D742" s="165" t="s">
        <v>283</v>
      </c>
      <c r="E742" s="162">
        <v>30317</v>
      </c>
      <c r="F742" s="166" t="str">
        <f t="shared" si="36"/>
        <v>Date check - OK</v>
      </c>
      <c r="G742" s="68"/>
      <c r="H742" s="162" t="s">
        <v>280</v>
      </c>
      <c r="I742" s="173">
        <v>21853.086195380012</v>
      </c>
      <c r="J742" s="168">
        <f>IFERROR(MIN('MP Calculations'!$E$30/I742,1),"-")</f>
        <v>0.32927792945511891</v>
      </c>
      <c r="K742" s="12"/>
      <c r="L742" s="159">
        <v>0.60103300000000004</v>
      </c>
      <c r="M742" s="187" t="s">
        <v>293</v>
      </c>
      <c r="N742" s="187">
        <v>192.78728599999999</v>
      </c>
      <c r="O742" s="186">
        <f t="shared" si="37"/>
        <v>115.871520866438</v>
      </c>
      <c r="P742" s="186">
        <f t="shared" si="38"/>
        <v>38.153934473716312</v>
      </c>
      <c r="Q742" s="215">
        <f>IF(P742="-",0,P742/(1+'General inputs'!$H$30)^'MP Calculations'!$C$40)</f>
        <v>84.750915165710182</v>
      </c>
    </row>
    <row r="743" spans="3:17">
      <c r="C743" s="159"/>
      <c r="D743" s="165" t="s">
        <v>282</v>
      </c>
      <c r="E743" s="162">
        <v>30317</v>
      </c>
      <c r="F743" s="166" t="str">
        <f t="shared" si="36"/>
        <v>Date check - OK</v>
      </c>
      <c r="G743" s="68"/>
      <c r="H743" s="162" t="s">
        <v>280</v>
      </c>
      <c r="I743" s="173">
        <v>21853.086195380012</v>
      </c>
      <c r="J743" s="168">
        <f>IFERROR(MIN('MP Calculations'!$E$30/I743,1),"-")</f>
        <v>0.32927792945511891</v>
      </c>
      <c r="K743" s="12"/>
      <c r="L743" s="159">
        <v>0.79985600000000001</v>
      </c>
      <c r="M743" s="187" t="s">
        <v>293</v>
      </c>
      <c r="N743" s="187">
        <v>237.97403299999999</v>
      </c>
      <c r="O743" s="186">
        <f t="shared" si="37"/>
        <v>190.34495813924801</v>
      </c>
      <c r="P743" s="186">
        <f t="shared" si="38"/>
        <v>62.676393698312864</v>
      </c>
      <c r="Q743" s="215">
        <f>IF(P743="-",0,P743/(1+'General inputs'!$H$30)^'MP Calculations'!$C$40)</f>
        <v>139.22238423084895</v>
      </c>
    </row>
    <row r="744" spans="3:17">
      <c r="C744" s="159"/>
      <c r="D744" s="165" t="s">
        <v>282</v>
      </c>
      <c r="E744" s="162">
        <v>30317</v>
      </c>
      <c r="F744" s="166" t="str">
        <f t="shared" si="36"/>
        <v>Date check - OK</v>
      </c>
      <c r="G744" s="68"/>
      <c r="H744" s="162" t="s">
        <v>280</v>
      </c>
      <c r="I744" s="173">
        <v>21853.086195380012</v>
      </c>
      <c r="J744" s="168">
        <f>IFERROR(MIN('MP Calculations'!$E$30/I744,1),"-")</f>
        <v>0.32927792945511891</v>
      </c>
      <c r="K744" s="12"/>
      <c r="L744" s="159">
        <v>9.51614</v>
      </c>
      <c r="M744" s="187" t="s">
        <v>293</v>
      </c>
      <c r="N744" s="187">
        <v>237.97403299999999</v>
      </c>
      <c r="O744" s="186">
        <f t="shared" si="37"/>
        <v>2264.59421439262</v>
      </c>
      <c r="P744" s="186">
        <f t="shared" si="38"/>
        <v>745.68089397124356</v>
      </c>
      <c r="Q744" s="215">
        <f>IF(P744="-",0,P744/(1+'General inputs'!$H$30)^'MP Calculations'!$C$40)</f>
        <v>1656.3727714420481</v>
      </c>
    </row>
    <row r="745" spans="3:17">
      <c r="C745" s="159"/>
      <c r="D745" s="165" t="s">
        <v>283</v>
      </c>
      <c r="E745" s="162">
        <v>30317</v>
      </c>
      <c r="F745" s="166" t="str">
        <f t="shared" si="36"/>
        <v>Date check - OK</v>
      </c>
      <c r="G745" s="68"/>
      <c r="H745" s="162" t="s">
        <v>280</v>
      </c>
      <c r="I745" s="173">
        <v>21853.086195380012</v>
      </c>
      <c r="J745" s="168">
        <f>IFERROR(MIN('MP Calculations'!$E$30/I745,1),"-")</f>
        <v>0.32927792945511891</v>
      </c>
      <c r="K745" s="12"/>
      <c r="L745" s="159">
        <v>0.99885199999999996</v>
      </c>
      <c r="M745" s="187" t="s">
        <v>293</v>
      </c>
      <c r="N745" s="187">
        <v>192.78728599999999</v>
      </c>
      <c r="O745" s="186">
        <f t="shared" si="37"/>
        <v>192.56596619567199</v>
      </c>
      <c r="P745" s="186">
        <f t="shared" si="38"/>
        <v>63.407722632435295</v>
      </c>
      <c r="Q745" s="215">
        <f>IF(P745="-",0,P745/(1+'General inputs'!$H$30)^'MP Calculations'!$C$40)</f>
        <v>140.84687715167044</v>
      </c>
    </row>
    <row r="746" spans="3:17">
      <c r="C746" s="159"/>
      <c r="D746" s="165" t="s">
        <v>292</v>
      </c>
      <c r="E746" s="162">
        <v>30317</v>
      </c>
      <c r="F746" s="166" t="str">
        <f t="shared" si="36"/>
        <v>Date check - OK</v>
      </c>
      <c r="G746" s="68"/>
      <c r="H746" s="162" t="s">
        <v>280</v>
      </c>
      <c r="I746" s="173">
        <v>21853.086195380012</v>
      </c>
      <c r="J746" s="168">
        <f>IFERROR(MIN('MP Calculations'!$E$30/I746,1),"-")</f>
        <v>0.32927792945511891</v>
      </c>
      <c r="K746" s="12"/>
      <c r="L746" s="159">
        <v>54.512262</v>
      </c>
      <c r="M746" s="187" t="s">
        <v>293</v>
      </c>
      <c r="N746" s="187">
        <v>297.51652200000001</v>
      </c>
      <c r="O746" s="186">
        <f t="shared" si="37"/>
        <v>16218.298596592764</v>
      </c>
      <c r="P746" s="186">
        <f t="shared" si="38"/>
        <v>5340.3277811709258</v>
      </c>
      <c r="Q746" s="215">
        <f>IF(P746="-",0,P746/(1+'General inputs'!$H$30)^'MP Calculations'!$C$40)</f>
        <v>11862.41138645584</v>
      </c>
    </row>
    <row r="747" spans="3:17">
      <c r="C747" s="159"/>
      <c r="D747" s="165" t="s">
        <v>292</v>
      </c>
      <c r="E747" s="162">
        <v>30317</v>
      </c>
      <c r="F747" s="166" t="str">
        <f t="shared" si="36"/>
        <v>Date check - OK</v>
      </c>
      <c r="G747" s="68"/>
      <c r="H747" s="162" t="s">
        <v>280</v>
      </c>
      <c r="I747" s="173">
        <v>21853.086195380012</v>
      </c>
      <c r="J747" s="168">
        <f>IFERROR(MIN('MP Calculations'!$E$30/I747,1),"-")</f>
        <v>0.32927792945511891</v>
      </c>
      <c r="K747" s="12"/>
      <c r="L747" s="159">
        <v>0.98782800000000004</v>
      </c>
      <c r="M747" s="187" t="s">
        <v>293</v>
      </c>
      <c r="N747" s="187">
        <v>297.51652200000001</v>
      </c>
      <c r="O747" s="186">
        <f t="shared" si="37"/>
        <v>293.89515089421604</v>
      </c>
      <c r="P747" s="186">
        <f t="shared" si="38"/>
        <v>96.773186763347198</v>
      </c>
      <c r="Q747" s="215">
        <f>IF(P747="-",0,P747/(1+'General inputs'!$H$30)^'MP Calculations'!$C$40)</f>
        <v>214.96121579141044</v>
      </c>
    </row>
    <row r="748" spans="3:17">
      <c r="C748" s="159"/>
      <c r="D748" s="165" t="s">
        <v>282</v>
      </c>
      <c r="E748" s="162">
        <v>30317</v>
      </c>
      <c r="F748" s="166" t="str">
        <f t="shared" si="36"/>
        <v>Date check - OK</v>
      </c>
      <c r="G748" s="68"/>
      <c r="H748" s="162" t="s">
        <v>280</v>
      </c>
      <c r="I748" s="173">
        <v>21853.086195380012</v>
      </c>
      <c r="J748" s="168">
        <f>IFERROR(MIN('MP Calculations'!$E$30/I748,1),"-")</f>
        <v>0.32927792945511891</v>
      </c>
      <c r="K748" s="12"/>
      <c r="L748" s="159">
        <v>1.0006980000000001</v>
      </c>
      <c r="M748" s="187" t="s">
        <v>293</v>
      </c>
      <c r="N748" s="187">
        <v>237.97403299999999</v>
      </c>
      <c r="O748" s="186">
        <f t="shared" si="37"/>
        <v>238.14013887503401</v>
      </c>
      <c r="P748" s="186">
        <f t="shared" si="38"/>
        <v>78.414291848925672</v>
      </c>
      <c r="Q748" s="215">
        <f>IF(P748="-",0,P748/(1+'General inputs'!$H$30)^'MP Calculations'!$C$40)</f>
        <v>174.18080436358807</v>
      </c>
    </row>
    <row r="749" spans="3:17">
      <c r="C749" s="159"/>
      <c r="D749" s="165" t="s">
        <v>292</v>
      </c>
      <c r="E749" s="162">
        <v>30317</v>
      </c>
      <c r="F749" s="166" t="str">
        <f t="shared" si="36"/>
        <v>Date check - OK</v>
      </c>
      <c r="G749" s="68"/>
      <c r="H749" s="162" t="s">
        <v>280</v>
      </c>
      <c r="I749" s="173">
        <v>21853.086195380012</v>
      </c>
      <c r="J749" s="168">
        <f>IFERROR(MIN('MP Calculations'!$E$30/I749,1),"-")</f>
        <v>0.32927792945511891</v>
      </c>
      <c r="K749" s="12"/>
      <c r="L749" s="159">
        <v>33.723551999999998</v>
      </c>
      <c r="M749" s="187" t="s">
        <v>293</v>
      </c>
      <c r="N749" s="187">
        <v>297.51652200000001</v>
      </c>
      <c r="O749" s="186">
        <f t="shared" si="37"/>
        <v>10033.313900526144</v>
      </c>
      <c r="P749" s="186">
        <f t="shared" si="38"/>
        <v>3303.7488267385115</v>
      </c>
      <c r="Q749" s="215">
        <f>IF(P749="-",0,P749/(1+'General inputs'!$H$30)^'MP Calculations'!$C$40)</f>
        <v>7338.5809459995562</v>
      </c>
    </row>
    <row r="750" spans="3:17">
      <c r="C750" s="159"/>
      <c r="D750" s="165" t="s">
        <v>283</v>
      </c>
      <c r="E750" s="162">
        <v>30317</v>
      </c>
      <c r="F750" s="166" t="str">
        <f t="shared" si="36"/>
        <v>Date check - OK</v>
      </c>
      <c r="G750" s="68"/>
      <c r="H750" s="162" t="s">
        <v>280</v>
      </c>
      <c r="I750" s="173">
        <v>21853.086195380012</v>
      </c>
      <c r="J750" s="168">
        <f>IFERROR(MIN('MP Calculations'!$E$30/I750,1),"-")</f>
        <v>0.32927792945511891</v>
      </c>
      <c r="K750" s="12"/>
      <c r="L750" s="159">
        <v>4.5929960000000003</v>
      </c>
      <c r="M750" s="187" t="s">
        <v>293</v>
      </c>
      <c r="N750" s="187">
        <v>192.78728599999999</v>
      </c>
      <c r="O750" s="186">
        <f t="shared" si="37"/>
        <v>885.47123344885608</v>
      </c>
      <c r="P750" s="186">
        <f t="shared" si="38"/>
        <v>291.56613434210954</v>
      </c>
      <c r="Q750" s="215">
        <f>IF(P750="-",0,P750/(1+'General inputs'!$H$30)^'MP Calculations'!$C$40)</f>
        <v>647.65264861071887</v>
      </c>
    </row>
    <row r="751" spans="3:17">
      <c r="C751" s="159"/>
      <c r="D751" s="165" t="s">
        <v>292</v>
      </c>
      <c r="E751" s="162">
        <v>30317</v>
      </c>
      <c r="F751" s="166" t="str">
        <f t="shared" si="36"/>
        <v>Date check - OK</v>
      </c>
      <c r="G751" s="68"/>
      <c r="H751" s="162" t="s">
        <v>280</v>
      </c>
      <c r="I751" s="173">
        <v>21853.086195380012</v>
      </c>
      <c r="J751" s="168">
        <f>IFERROR(MIN('MP Calculations'!$E$30/I751,1),"-")</f>
        <v>0.32927792945511891</v>
      </c>
      <c r="K751" s="12"/>
      <c r="L751" s="159">
        <v>3.8748900000000002</v>
      </c>
      <c r="M751" s="187" t="s">
        <v>293</v>
      </c>
      <c r="N751" s="187">
        <v>297.51652200000001</v>
      </c>
      <c r="O751" s="186">
        <f t="shared" si="37"/>
        <v>1152.8437959325802</v>
      </c>
      <c r="P751" s="186">
        <f t="shared" si="38"/>
        <v>379.60601810985963</v>
      </c>
      <c r="Q751" s="215">
        <f>IF(P751="-",0,P751/(1+'General inputs'!$H$30)^'MP Calculations'!$C$40)</f>
        <v>843.2146744756966</v>
      </c>
    </row>
    <row r="752" spans="3:17">
      <c r="C752" s="159"/>
      <c r="D752" s="165" t="s">
        <v>282</v>
      </c>
      <c r="E752" s="162">
        <v>30317</v>
      </c>
      <c r="F752" s="166" t="str">
        <f t="shared" si="36"/>
        <v>Date check - OK</v>
      </c>
      <c r="G752" s="68"/>
      <c r="H752" s="162" t="s">
        <v>280</v>
      </c>
      <c r="I752" s="173">
        <v>21853.086195380012</v>
      </c>
      <c r="J752" s="168">
        <f>IFERROR(MIN('MP Calculations'!$E$30/I752,1),"-")</f>
        <v>0.32927792945511891</v>
      </c>
      <c r="K752" s="12"/>
      <c r="L752" s="159">
        <v>0.60051699999999997</v>
      </c>
      <c r="M752" s="187" t="s">
        <v>293</v>
      </c>
      <c r="N752" s="187">
        <v>237.97403299999999</v>
      </c>
      <c r="O752" s="186">
        <f t="shared" si="37"/>
        <v>142.90745237506098</v>
      </c>
      <c r="P752" s="186">
        <f t="shared" si="38"/>
        <v>47.056270021766096</v>
      </c>
      <c r="Q752" s="215">
        <f>IF(P752="-",0,P752/(1+'General inputs'!$H$30)^'MP Calculations'!$C$40)</f>
        <v>104.52557524248954</v>
      </c>
    </row>
    <row r="753" spans="3:17">
      <c r="C753" s="159"/>
      <c r="D753" s="165" t="s">
        <v>283</v>
      </c>
      <c r="E753" s="162">
        <v>30317</v>
      </c>
      <c r="F753" s="166" t="str">
        <f t="shared" si="36"/>
        <v>Date check - OK</v>
      </c>
      <c r="G753" s="68"/>
      <c r="H753" s="162" t="s">
        <v>280</v>
      </c>
      <c r="I753" s="173">
        <v>21853.086195380012</v>
      </c>
      <c r="J753" s="168">
        <f>IFERROR(MIN('MP Calculations'!$E$30/I753,1),"-")</f>
        <v>0.32927792945511891</v>
      </c>
      <c r="K753" s="12"/>
      <c r="L753" s="159">
        <v>3.1335899999999999</v>
      </c>
      <c r="M753" s="187" t="s">
        <v>293</v>
      </c>
      <c r="N753" s="187">
        <v>192.78728599999999</v>
      </c>
      <c r="O753" s="186">
        <f t="shared" si="37"/>
        <v>604.11631153674</v>
      </c>
      <c r="P753" s="186">
        <f t="shared" si="38"/>
        <v>198.9221682128813</v>
      </c>
      <c r="Q753" s="215">
        <f>IF(P753="-",0,P753/(1+'General inputs'!$H$30)^'MP Calculations'!$C$40)</f>
        <v>441.86362521545033</v>
      </c>
    </row>
    <row r="754" spans="3:17">
      <c r="C754" s="159"/>
      <c r="D754" s="165" t="s">
        <v>283</v>
      </c>
      <c r="E754" s="162">
        <v>30317</v>
      </c>
      <c r="F754" s="166" t="str">
        <f t="shared" si="36"/>
        <v>Date check - OK</v>
      </c>
      <c r="G754" s="68"/>
      <c r="H754" s="162" t="s">
        <v>280</v>
      </c>
      <c r="I754" s="173">
        <v>21853.086195380012</v>
      </c>
      <c r="J754" s="168">
        <f>IFERROR(MIN('MP Calculations'!$E$30/I754,1),"-")</f>
        <v>0.32927792945511891</v>
      </c>
      <c r="K754" s="12"/>
      <c r="L754" s="159">
        <v>1.1992940000000001</v>
      </c>
      <c r="M754" s="187" t="s">
        <v>293</v>
      </c>
      <c r="N754" s="187">
        <v>192.78728599999999</v>
      </c>
      <c r="O754" s="186">
        <f t="shared" si="37"/>
        <v>231.208635376084</v>
      </c>
      <c r="P754" s="186">
        <f t="shared" si="38"/>
        <v>76.131900728780494</v>
      </c>
      <c r="Q754" s="215">
        <f>IF(P754="-",0,P754/(1+'General inputs'!$H$30)^'MP Calculations'!$C$40)</f>
        <v>169.11095406199863</v>
      </c>
    </row>
    <row r="755" spans="3:17">
      <c r="C755" s="159"/>
      <c r="D755" s="165" t="s">
        <v>282</v>
      </c>
      <c r="E755" s="162">
        <v>30317</v>
      </c>
      <c r="F755" s="166" t="str">
        <f t="shared" si="36"/>
        <v>Date check - OK</v>
      </c>
      <c r="G755" s="68"/>
      <c r="H755" s="162" t="s">
        <v>280</v>
      </c>
      <c r="I755" s="173">
        <v>21853.086195380012</v>
      </c>
      <c r="J755" s="168">
        <f>IFERROR(MIN('MP Calculations'!$E$30/I755,1),"-")</f>
        <v>0.32927792945511891</v>
      </c>
      <c r="K755" s="12"/>
      <c r="L755" s="159">
        <v>0.69961399999999996</v>
      </c>
      <c r="M755" s="187" t="s">
        <v>293</v>
      </c>
      <c r="N755" s="187">
        <v>237.97403299999999</v>
      </c>
      <c r="O755" s="186">
        <f t="shared" si="37"/>
        <v>166.48996512326198</v>
      </c>
      <c r="P755" s="186">
        <f t="shared" si="38"/>
        <v>54.82147099084267</v>
      </c>
      <c r="Q755" s="215">
        <f>IF(P755="-",0,P755/(1+'General inputs'!$H$30)^'MP Calculations'!$C$40)</f>
        <v>121.77433078114204</v>
      </c>
    </row>
    <row r="756" spans="3:17">
      <c r="C756" s="159"/>
      <c r="D756" s="165" t="s">
        <v>282</v>
      </c>
      <c r="E756" s="162">
        <v>30317</v>
      </c>
      <c r="F756" s="166" t="str">
        <f t="shared" si="36"/>
        <v>Date check - OK</v>
      </c>
      <c r="G756" s="68"/>
      <c r="H756" s="162" t="s">
        <v>280</v>
      </c>
      <c r="I756" s="173">
        <v>21853.086195380012</v>
      </c>
      <c r="J756" s="168">
        <f>IFERROR(MIN('MP Calculations'!$E$30/I756,1),"-")</f>
        <v>0.32927792945511891</v>
      </c>
      <c r="K756" s="12"/>
      <c r="L756" s="159">
        <v>1.496631</v>
      </c>
      <c r="M756" s="187" t="s">
        <v>293</v>
      </c>
      <c r="N756" s="187">
        <v>237.97403299999999</v>
      </c>
      <c r="O756" s="186">
        <f t="shared" si="37"/>
        <v>356.15931498282299</v>
      </c>
      <c r="P756" s="186">
        <f t="shared" si="38"/>
        <v>117.27540179369747</v>
      </c>
      <c r="Q756" s="215">
        <f>IF(P756="-",0,P756/(1+'General inputs'!$H$30)^'MP Calculations'!$C$40)</f>
        <v>260.50256062816271</v>
      </c>
    </row>
    <row r="757" spans="3:17">
      <c r="C757" s="159"/>
      <c r="D757" s="165" t="s">
        <v>283</v>
      </c>
      <c r="E757" s="162">
        <v>30317</v>
      </c>
      <c r="F757" s="166" t="str">
        <f t="shared" si="36"/>
        <v>Date check - OK</v>
      </c>
      <c r="G757" s="68"/>
      <c r="H757" s="162" t="s">
        <v>280</v>
      </c>
      <c r="I757" s="173">
        <v>21853.086195380012</v>
      </c>
      <c r="J757" s="168">
        <f>IFERROR(MIN('MP Calculations'!$E$30/I757,1),"-")</f>
        <v>0.32927792945511891</v>
      </c>
      <c r="K757" s="12"/>
      <c r="L757" s="159">
        <v>1.0980209999999999</v>
      </c>
      <c r="M757" s="187" t="s">
        <v>293</v>
      </c>
      <c r="N757" s="187">
        <v>192.78728599999999</v>
      </c>
      <c r="O757" s="186">
        <f t="shared" si="37"/>
        <v>211.68448856100596</v>
      </c>
      <c r="P757" s="186">
        <f t="shared" si="38"/>
        <v>69.703030091133854</v>
      </c>
      <c r="Q757" s="215">
        <f>IF(P757="-",0,P757/(1+'General inputs'!$H$30)^'MP Calculations'!$C$40)</f>
        <v>154.83057439636136</v>
      </c>
    </row>
    <row r="758" spans="3:17">
      <c r="C758" s="159"/>
      <c r="D758" s="165" t="s">
        <v>282</v>
      </c>
      <c r="E758" s="162">
        <v>30317</v>
      </c>
      <c r="F758" s="166" t="str">
        <f t="shared" si="36"/>
        <v>Date check - OK</v>
      </c>
      <c r="G758" s="68"/>
      <c r="H758" s="162" t="s">
        <v>280</v>
      </c>
      <c r="I758" s="173">
        <v>21853.086195380012</v>
      </c>
      <c r="J758" s="168">
        <f>IFERROR(MIN('MP Calculations'!$E$30/I758,1),"-")</f>
        <v>0.32927792945511891</v>
      </c>
      <c r="K758" s="12"/>
      <c r="L758" s="159">
        <v>0.50046800000000002</v>
      </c>
      <c r="M758" s="187" t="s">
        <v>293</v>
      </c>
      <c r="N758" s="187">
        <v>237.97403299999999</v>
      </c>
      <c r="O758" s="186">
        <f t="shared" si="37"/>
        <v>119.098388347444</v>
      </c>
      <c r="P758" s="186">
        <f t="shared" si="38"/>
        <v>39.216470716488018</v>
      </c>
      <c r="Q758" s="215">
        <f>IF(P758="-",0,P758/(1+'General inputs'!$H$30)^'MP Calculations'!$C$40)</f>
        <v>87.111115239798792</v>
      </c>
    </row>
    <row r="759" spans="3:17">
      <c r="C759" s="159"/>
      <c r="D759" s="165" t="s">
        <v>283</v>
      </c>
      <c r="E759" s="162">
        <v>30317</v>
      </c>
      <c r="F759" s="166" t="str">
        <f t="shared" si="36"/>
        <v>Date check - OK</v>
      </c>
      <c r="G759" s="68"/>
      <c r="H759" s="162" t="s">
        <v>280</v>
      </c>
      <c r="I759" s="173">
        <v>21853.086195380012</v>
      </c>
      <c r="J759" s="168">
        <f>IFERROR(MIN('MP Calculations'!$E$30/I759,1),"-")</f>
        <v>0.32927792945511891</v>
      </c>
      <c r="K759" s="12"/>
      <c r="L759" s="159">
        <v>0.89944999999999997</v>
      </c>
      <c r="M759" s="187" t="s">
        <v>293</v>
      </c>
      <c r="N759" s="187">
        <v>192.78728599999999</v>
      </c>
      <c r="O759" s="186">
        <f t="shared" si="37"/>
        <v>173.4025243927</v>
      </c>
      <c r="P759" s="186">
        <f t="shared" si="38"/>
        <v>57.09762419431901</v>
      </c>
      <c r="Q759" s="215">
        <f>IF(P759="-",0,P759/(1+'General inputs'!$H$30)^'MP Calculations'!$C$40)</f>
        <v>126.83032486701732</v>
      </c>
    </row>
    <row r="760" spans="3:17">
      <c r="C760" s="159"/>
      <c r="D760" s="165" t="s">
        <v>283</v>
      </c>
      <c r="E760" s="162">
        <v>30317</v>
      </c>
      <c r="F760" s="166" t="str">
        <f t="shared" si="36"/>
        <v>Date check - OK</v>
      </c>
      <c r="G760" s="68"/>
      <c r="H760" s="162" t="s">
        <v>280</v>
      </c>
      <c r="I760" s="173">
        <v>21853.086195380012</v>
      </c>
      <c r="J760" s="168">
        <f>IFERROR(MIN('MP Calculations'!$E$30/I760,1),"-")</f>
        <v>0.32927792945511891</v>
      </c>
      <c r="K760" s="12"/>
      <c r="L760" s="159">
        <v>22.690069999999999</v>
      </c>
      <c r="M760" s="187" t="s">
        <v>293</v>
      </c>
      <c r="N760" s="187">
        <v>192.78728599999999</v>
      </c>
      <c r="O760" s="186">
        <f t="shared" si="37"/>
        <v>4374.35701445002</v>
      </c>
      <c r="P760" s="186">
        <f t="shared" si="38"/>
        <v>1440.3792204155782</v>
      </c>
      <c r="Q760" s="215">
        <f>IF(P760="-",0,P760/(1+'General inputs'!$H$30)^'MP Calculations'!$C$40)</f>
        <v>3199.4985261608354</v>
      </c>
    </row>
    <row r="761" spans="3:17">
      <c r="C761" s="159"/>
      <c r="D761" s="165" t="s">
        <v>283</v>
      </c>
      <c r="E761" s="162">
        <v>30317</v>
      </c>
      <c r="F761" s="166" t="str">
        <f t="shared" si="36"/>
        <v>Date check - OK</v>
      </c>
      <c r="G761" s="68"/>
      <c r="H761" s="162" t="s">
        <v>280</v>
      </c>
      <c r="I761" s="173">
        <v>21853.086195380012</v>
      </c>
      <c r="J761" s="168">
        <f>IFERROR(MIN('MP Calculations'!$E$30/I761,1),"-")</f>
        <v>0.32927792945511891</v>
      </c>
      <c r="K761" s="12"/>
      <c r="L761" s="159">
        <v>77.188897999999995</v>
      </c>
      <c r="M761" s="187" t="s">
        <v>293</v>
      </c>
      <c r="N761" s="187">
        <v>192.78728599999999</v>
      </c>
      <c r="O761" s="186">
        <f t="shared" si="37"/>
        <v>14881.038154750826</v>
      </c>
      <c r="P761" s="186">
        <f t="shared" si="38"/>
        <v>4899.9974317389751</v>
      </c>
      <c r="Q761" s="215">
        <f>IF(P761="-",0,P761/(1+'General inputs'!$H$30)^'MP Calculations'!$C$40)</f>
        <v>10884.310422443785</v>
      </c>
    </row>
    <row r="762" spans="3:17">
      <c r="C762" s="159"/>
      <c r="D762" s="165" t="s">
        <v>282</v>
      </c>
      <c r="E762" s="162">
        <v>30488</v>
      </c>
      <c r="F762" s="166" t="str">
        <f t="shared" si="36"/>
        <v>Date check - OK</v>
      </c>
      <c r="G762" s="68"/>
      <c r="H762" s="162" t="s">
        <v>280</v>
      </c>
      <c r="I762" s="173">
        <v>21853.086195380012</v>
      </c>
      <c r="J762" s="168">
        <f>IFERROR(MIN('MP Calculations'!$E$30/I762,1),"-")</f>
        <v>0.32927792945511891</v>
      </c>
      <c r="K762" s="12"/>
      <c r="L762" s="159">
        <v>21.293372999999999</v>
      </c>
      <c r="M762" s="187" t="s">
        <v>293</v>
      </c>
      <c r="N762" s="187">
        <v>237.97403299999999</v>
      </c>
      <c r="O762" s="186">
        <f t="shared" si="37"/>
        <v>5067.2698489833083</v>
      </c>
      <c r="P762" s="186">
        <f t="shared" si="38"/>
        <v>1668.5401238635768</v>
      </c>
      <c r="Q762" s="215">
        <f>IF(P762="-",0,P762/(1+'General inputs'!$H$30)^'MP Calculations'!$C$40)</f>
        <v>3706.3098324908287</v>
      </c>
    </row>
    <row r="763" spans="3:17">
      <c r="C763" s="159"/>
      <c r="D763" s="165" t="s">
        <v>282</v>
      </c>
      <c r="E763" s="162">
        <v>30488</v>
      </c>
      <c r="F763" s="166" t="str">
        <f t="shared" si="36"/>
        <v>Date check - OK</v>
      </c>
      <c r="G763" s="68"/>
      <c r="H763" s="162" t="s">
        <v>280</v>
      </c>
      <c r="I763" s="173">
        <v>21853.086195380012</v>
      </c>
      <c r="J763" s="168">
        <f>IFERROR(MIN('MP Calculations'!$E$30/I763,1),"-")</f>
        <v>0.32927792945511891</v>
      </c>
      <c r="K763" s="12"/>
      <c r="L763" s="159">
        <v>20.890094000000001</v>
      </c>
      <c r="M763" s="187" t="s">
        <v>293</v>
      </c>
      <c r="N763" s="187">
        <v>237.97403299999999</v>
      </c>
      <c r="O763" s="186">
        <f t="shared" si="37"/>
        <v>4971.2999189291022</v>
      </c>
      <c r="P763" s="186">
        <f t="shared" si="38"/>
        <v>1636.9393440053752</v>
      </c>
      <c r="Q763" s="215">
        <f>IF(P763="-",0,P763/(1+'General inputs'!$H$30)^'MP Calculations'!$C$40)</f>
        <v>3636.1153676243625</v>
      </c>
    </row>
    <row r="764" spans="3:17">
      <c r="C764" s="159"/>
      <c r="D764" s="165" t="s">
        <v>282</v>
      </c>
      <c r="E764" s="162">
        <v>30488</v>
      </c>
      <c r="F764" s="166" t="str">
        <f t="shared" si="36"/>
        <v>Date check - OK</v>
      </c>
      <c r="G764" s="68"/>
      <c r="H764" s="162" t="s">
        <v>280</v>
      </c>
      <c r="I764" s="173">
        <v>21853.086195380012</v>
      </c>
      <c r="J764" s="168">
        <f>IFERROR(MIN('MP Calculations'!$E$30/I764,1),"-")</f>
        <v>0.32927792945511891</v>
      </c>
      <c r="K764" s="12"/>
      <c r="L764" s="159">
        <v>10.495459</v>
      </c>
      <c r="M764" s="187" t="s">
        <v>293</v>
      </c>
      <c r="N764" s="187">
        <v>237.97403299999999</v>
      </c>
      <c r="O764" s="186">
        <f t="shared" si="37"/>
        <v>2497.646706416147</v>
      </c>
      <c r="P764" s="186">
        <f t="shared" si="38"/>
        <v>822.4199359991062</v>
      </c>
      <c r="Q764" s="215">
        <f>IF(P764="-",0,P764/(1+'General inputs'!$H$30)^'MP Calculations'!$C$40)</f>
        <v>1826.8323617965257</v>
      </c>
    </row>
    <row r="765" spans="3:17">
      <c r="C765" s="159"/>
      <c r="D765" s="165" t="s">
        <v>282</v>
      </c>
      <c r="E765" s="162">
        <v>30488</v>
      </c>
      <c r="F765" s="166" t="str">
        <f t="shared" si="36"/>
        <v>Date check - OK</v>
      </c>
      <c r="G765" s="68"/>
      <c r="H765" s="162" t="s">
        <v>280</v>
      </c>
      <c r="I765" s="173">
        <v>21853.086195380012</v>
      </c>
      <c r="J765" s="168">
        <f>IFERROR(MIN('MP Calculations'!$E$30/I765,1),"-")</f>
        <v>0.32927792945511891</v>
      </c>
      <c r="K765" s="12"/>
      <c r="L765" s="159">
        <v>2.0013100000000001</v>
      </c>
      <c r="M765" s="187" t="s">
        <v>293</v>
      </c>
      <c r="N765" s="187">
        <v>237.97403299999999</v>
      </c>
      <c r="O765" s="186">
        <f t="shared" si="37"/>
        <v>476.25981198323001</v>
      </c>
      <c r="P765" s="186">
        <f t="shared" si="38"/>
        <v>156.82184477252221</v>
      </c>
      <c r="Q765" s="215">
        <f>IF(P765="-",0,P765/(1+'General inputs'!$H$30)^'MP Calculations'!$C$40)</f>
        <v>348.34663962643316</v>
      </c>
    </row>
    <row r="766" spans="3:17">
      <c r="C766" s="159"/>
      <c r="D766" s="165" t="s">
        <v>282</v>
      </c>
      <c r="E766" s="162">
        <v>30488</v>
      </c>
      <c r="F766" s="166" t="str">
        <f t="shared" si="36"/>
        <v>Date check - OK</v>
      </c>
      <c r="G766" s="68"/>
      <c r="H766" s="162" t="s">
        <v>280</v>
      </c>
      <c r="I766" s="173">
        <v>21853.086195380012</v>
      </c>
      <c r="J766" s="168">
        <f>IFERROR(MIN('MP Calculations'!$E$30/I766,1),"-")</f>
        <v>0.32927792945511891</v>
      </c>
      <c r="K766" s="12"/>
      <c r="L766" s="159">
        <v>0.59732200000000002</v>
      </c>
      <c r="M766" s="187" t="s">
        <v>293</v>
      </c>
      <c r="N766" s="187">
        <v>237.97403299999999</v>
      </c>
      <c r="O766" s="186">
        <f t="shared" si="37"/>
        <v>142.147125339626</v>
      </c>
      <c r="P766" s="186">
        <f t="shared" si="38"/>
        <v>46.805911109829317</v>
      </c>
      <c r="Q766" s="215">
        <f>IF(P766="-",0,P766/(1+'General inputs'!$H$30)^'MP Calculations'!$C$40)</f>
        <v>103.96945574395787</v>
      </c>
    </row>
    <row r="767" spans="3:17">
      <c r="C767" s="159"/>
      <c r="D767" s="165" t="s">
        <v>283</v>
      </c>
      <c r="E767" s="162">
        <v>30488</v>
      </c>
      <c r="F767" s="166" t="str">
        <f t="shared" si="36"/>
        <v>Date check - OK</v>
      </c>
      <c r="G767" s="68"/>
      <c r="H767" s="162" t="s">
        <v>280</v>
      </c>
      <c r="I767" s="173">
        <v>21853.086195380012</v>
      </c>
      <c r="J767" s="168">
        <f>IFERROR(MIN('MP Calculations'!$E$30/I767,1),"-")</f>
        <v>0.32927792945511891</v>
      </c>
      <c r="K767" s="12"/>
      <c r="L767" s="159">
        <v>10.810384000000001</v>
      </c>
      <c r="M767" s="187" t="s">
        <v>293</v>
      </c>
      <c r="N767" s="187">
        <v>192.78728599999999</v>
      </c>
      <c r="O767" s="186">
        <f t="shared" si="37"/>
        <v>2084.1045919778239</v>
      </c>
      <c r="P767" s="186">
        <f t="shared" si="38"/>
        <v>686.24964481436325</v>
      </c>
      <c r="Q767" s="215">
        <f>IF(P767="-",0,P767/(1+'General inputs'!$H$30)^'MP Calculations'!$C$40)</f>
        <v>1524.3587911025693</v>
      </c>
    </row>
    <row r="768" spans="3:17">
      <c r="C768" s="159"/>
      <c r="D768" s="165" t="s">
        <v>283</v>
      </c>
      <c r="E768" s="162">
        <v>30682</v>
      </c>
      <c r="F768" s="166" t="str">
        <f t="shared" si="36"/>
        <v>Date check - OK</v>
      </c>
      <c r="G768" s="68"/>
      <c r="H768" s="162" t="s">
        <v>280</v>
      </c>
      <c r="I768" s="173">
        <v>21853.086195380012</v>
      </c>
      <c r="J768" s="168">
        <f>IFERROR(MIN('MP Calculations'!$E$30/I768,1),"-")</f>
        <v>0.32927792945511891</v>
      </c>
      <c r="K768" s="12"/>
      <c r="L768" s="159">
        <v>0.59868699999999997</v>
      </c>
      <c r="M768" s="187" t="s">
        <v>293</v>
      </c>
      <c r="N768" s="187">
        <v>192.78728599999999</v>
      </c>
      <c r="O768" s="186">
        <f t="shared" si="37"/>
        <v>115.419241893482</v>
      </c>
      <c r="P768" s="186">
        <f t="shared" si="38"/>
        <v>38.005008989965269</v>
      </c>
      <c r="Q768" s="215">
        <f>IF(P768="-",0,P768/(1+'General inputs'!$H$30)^'MP Calculations'!$C$40)</f>
        <v>84.420108626004776</v>
      </c>
    </row>
    <row r="769" spans="3:17">
      <c r="C769" s="159"/>
      <c r="D769" s="165" t="s">
        <v>283</v>
      </c>
      <c r="E769" s="162">
        <v>30682</v>
      </c>
      <c r="F769" s="166" t="str">
        <f t="shared" si="36"/>
        <v>Date check - OK</v>
      </c>
      <c r="G769" s="68"/>
      <c r="H769" s="162" t="s">
        <v>280</v>
      </c>
      <c r="I769" s="173">
        <v>21853.086195380012</v>
      </c>
      <c r="J769" s="168">
        <f>IFERROR(MIN('MP Calculations'!$E$30/I769,1),"-")</f>
        <v>0.32927792945511891</v>
      </c>
      <c r="K769" s="12"/>
      <c r="L769" s="159">
        <v>17.718966999999999</v>
      </c>
      <c r="M769" s="187" t="s">
        <v>293</v>
      </c>
      <c r="N769" s="187">
        <v>192.78728599999999</v>
      </c>
      <c r="O769" s="186">
        <f t="shared" si="37"/>
        <v>3415.9915586535617</v>
      </c>
      <c r="P769" s="186">
        <f t="shared" si="38"/>
        <v>1124.8106274696092</v>
      </c>
      <c r="Q769" s="215">
        <f>IF(P769="-",0,P769/(1+'General inputs'!$H$30)^'MP Calculations'!$C$40)</f>
        <v>2498.5294801467112</v>
      </c>
    </row>
    <row r="770" spans="3:17">
      <c r="C770" s="159"/>
      <c r="D770" s="165" t="s">
        <v>283</v>
      </c>
      <c r="E770" s="162">
        <v>30682</v>
      </c>
      <c r="F770" s="166" t="str">
        <f t="shared" si="36"/>
        <v>Date check - OK</v>
      </c>
      <c r="G770" s="68"/>
      <c r="H770" s="162" t="s">
        <v>280</v>
      </c>
      <c r="I770" s="173">
        <v>21853.086195380012</v>
      </c>
      <c r="J770" s="168">
        <f>IFERROR(MIN('MP Calculations'!$E$30/I770,1),"-")</f>
        <v>0.32927792945511891</v>
      </c>
      <c r="K770" s="12"/>
      <c r="L770" s="159">
        <v>52.322040000000001</v>
      </c>
      <c r="M770" s="187" t="s">
        <v>293</v>
      </c>
      <c r="N770" s="187">
        <v>192.78728599999999</v>
      </c>
      <c r="O770" s="186">
        <f t="shared" si="37"/>
        <v>10087.024089583439</v>
      </c>
      <c r="P770" s="186">
        <f t="shared" si="38"/>
        <v>3321.4344065819409</v>
      </c>
      <c r="Q770" s="215">
        <f>IF(P770="-",0,P770/(1+'General inputs'!$H$30)^'MP Calculations'!$C$40)</f>
        <v>7377.8657300628993</v>
      </c>
    </row>
    <row r="771" spans="3:17">
      <c r="C771" s="159"/>
      <c r="D771" s="165" t="s">
        <v>283</v>
      </c>
      <c r="E771" s="162">
        <v>30682</v>
      </c>
      <c r="F771" s="166" t="str">
        <f t="shared" si="36"/>
        <v>Date check - OK</v>
      </c>
      <c r="G771" s="68"/>
      <c r="H771" s="162" t="s">
        <v>280</v>
      </c>
      <c r="I771" s="173">
        <v>21853.086195380012</v>
      </c>
      <c r="J771" s="168">
        <f>IFERROR(MIN('MP Calculations'!$E$30/I771,1),"-")</f>
        <v>0.32927792945511891</v>
      </c>
      <c r="K771" s="12"/>
      <c r="L771" s="159">
        <v>5.0719519999999996</v>
      </c>
      <c r="M771" s="187" t="s">
        <v>293</v>
      </c>
      <c r="N771" s="187">
        <v>192.78728599999999</v>
      </c>
      <c r="O771" s="186">
        <f t="shared" si="37"/>
        <v>977.80786080227188</v>
      </c>
      <c r="P771" s="186">
        <f t="shared" si="38"/>
        <v>321.97054780991124</v>
      </c>
      <c r="Q771" s="215">
        <f>IF(P771="-",0,P771/(1+'General inputs'!$H$30)^'MP Calculations'!$C$40)</f>
        <v>715.189637967556</v>
      </c>
    </row>
    <row r="772" spans="3:17">
      <c r="C772" s="159"/>
      <c r="D772" s="165" t="s">
        <v>292</v>
      </c>
      <c r="E772" s="162">
        <v>30980</v>
      </c>
      <c r="F772" s="166" t="str">
        <f t="shared" si="36"/>
        <v>Date check - OK</v>
      </c>
      <c r="G772" s="68"/>
      <c r="H772" s="162" t="s">
        <v>280</v>
      </c>
      <c r="I772" s="173">
        <v>21853.086195380012</v>
      </c>
      <c r="J772" s="168">
        <f>IFERROR(MIN('MP Calculations'!$E$30/I772,1),"-")</f>
        <v>0.32927792945511891</v>
      </c>
      <c r="K772" s="12"/>
      <c r="L772" s="159">
        <v>19.231273000000002</v>
      </c>
      <c r="M772" s="187" t="s">
        <v>293</v>
      </c>
      <c r="N772" s="187">
        <v>297.51652200000001</v>
      </c>
      <c r="O772" s="186">
        <f t="shared" si="37"/>
        <v>5721.6214565925065</v>
      </c>
      <c r="P772" s="186">
        <f t="shared" si="38"/>
        <v>1884.0036663527621</v>
      </c>
      <c r="Q772" s="215">
        <f>IF(P772="-",0,P772/(1+'General inputs'!$H$30)^'MP Calculations'!$C$40)</f>
        <v>4184.9166305232538</v>
      </c>
    </row>
    <row r="773" spans="3:17">
      <c r="C773" s="159"/>
      <c r="D773" s="165" t="s">
        <v>292</v>
      </c>
      <c r="E773" s="162">
        <v>31048</v>
      </c>
      <c r="F773" s="166" t="str">
        <f t="shared" si="36"/>
        <v>Date check - OK</v>
      </c>
      <c r="G773" s="68"/>
      <c r="H773" s="162" t="s">
        <v>280</v>
      </c>
      <c r="I773" s="173">
        <v>21853.086195380012</v>
      </c>
      <c r="J773" s="168">
        <f>IFERROR(MIN('MP Calculations'!$E$30/I773,1),"-")</f>
        <v>0.32927792945511891</v>
      </c>
      <c r="K773" s="12"/>
      <c r="L773" s="159">
        <v>0.70025800000000005</v>
      </c>
      <c r="M773" s="187" t="s">
        <v>293</v>
      </c>
      <c r="N773" s="187">
        <v>297.51652200000001</v>
      </c>
      <c r="O773" s="186">
        <f t="shared" si="37"/>
        <v>208.33832466267603</v>
      </c>
      <c r="P773" s="186">
        <f t="shared" si="38"/>
        <v>68.601212171074295</v>
      </c>
      <c r="Q773" s="215">
        <f>IF(P773="-",0,P773/(1+'General inputs'!$H$30)^'MP Calculations'!$C$40)</f>
        <v>152.38311836439286</v>
      </c>
    </row>
    <row r="774" spans="3:17">
      <c r="C774" s="159"/>
      <c r="D774" s="165" t="s">
        <v>289</v>
      </c>
      <c r="E774" s="162">
        <v>31048</v>
      </c>
      <c r="F774" s="166" t="str">
        <f t="shared" si="36"/>
        <v>Date check - OK</v>
      </c>
      <c r="G774" s="68"/>
      <c r="H774" s="162" t="s">
        <v>280</v>
      </c>
      <c r="I774" s="173">
        <v>21853.086195380012</v>
      </c>
      <c r="J774" s="168">
        <f>IFERROR(MIN('MP Calculations'!$E$30/I774,1),"-")</f>
        <v>0.32927792945511891</v>
      </c>
      <c r="K774" s="12"/>
      <c r="L774" s="159">
        <v>0.414441</v>
      </c>
      <c r="M774" s="187" t="s">
        <v>293</v>
      </c>
      <c r="N774" s="187">
        <v>421.28581700000001</v>
      </c>
      <c r="O774" s="186">
        <f t="shared" si="37"/>
        <v>174.59811528329701</v>
      </c>
      <c r="P774" s="186">
        <f t="shared" si="38"/>
        <v>57.491305887250192</v>
      </c>
      <c r="Q774" s="215">
        <f>IF(P774="-",0,P774/(1+'General inputs'!$H$30)^'MP Calculations'!$C$40)</f>
        <v>127.7048056832196</v>
      </c>
    </row>
    <row r="775" spans="3:17">
      <c r="C775" s="159"/>
      <c r="D775" s="165" t="s">
        <v>289</v>
      </c>
      <c r="E775" s="162">
        <v>31321</v>
      </c>
      <c r="F775" s="166" t="str">
        <f t="shared" si="36"/>
        <v>Date check - OK</v>
      </c>
      <c r="G775" s="68"/>
      <c r="H775" s="162" t="s">
        <v>280</v>
      </c>
      <c r="I775" s="173">
        <v>21853.086195380012</v>
      </c>
      <c r="J775" s="168">
        <f>IFERROR(MIN('MP Calculations'!$E$30/I775,1),"-")</f>
        <v>0.32927792945511891</v>
      </c>
      <c r="K775" s="12"/>
      <c r="L775" s="159">
        <v>10.534549999999999</v>
      </c>
      <c r="M775" s="187" t="s">
        <v>293</v>
      </c>
      <c r="N775" s="187">
        <v>421.28581700000001</v>
      </c>
      <c r="O775" s="186">
        <f t="shared" si="37"/>
        <v>4438.0565034773499</v>
      </c>
      <c r="P775" s="186">
        <f t="shared" si="38"/>
        <v>1461.3540562698465</v>
      </c>
      <c r="Q775" s="215">
        <f>IF(P775="-",0,P775/(1+'General inputs'!$H$30)^'MP Calculations'!$C$40)</f>
        <v>3246.0896984375604</v>
      </c>
    </row>
    <row r="776" spans="3:17">
      <c r="C776" s="159"/>
      <c r="D776" s="165" t="s">
        <v>289</v>
      </c>
      <c r="E776" s="162">
        <v>31321</v>
      </c>
      <c r="F776" s="166" t="str">
        <f t="shared" si="36"/>
        <v>Date check - OK</v>
      </c>
      <c r="G776" s="68"/>
      <c r="H776" s="162" t="s">
        <v>280</v>
      </c>
      <c r="I776" s="173">
        <v>21853.086195380012</v>
      </c>
      <c r="J776" s="168">
        <f>IFERROR(MIN('MP Calculations'!$E$30/I776,1),"-")</f>
        <v>0.32927792945511891</v>
      </c>
      <c r="K776" s="12"/>
      <c r="L776" s="159">
        <v>18.785129999999999</v>
      </c>
      <c r="M776" s="187" t="s">
        <v>293</v>
      </c>
      <c r="N776" s="187">
        <v>421.28581700000001</v>
      </c>
      <c r="O776" s="186">
        <f t="shared" si="37"/>
        <v>7913.9088395012095</v>
      </c>
      <c r="P776" s="186">
        <f t="shared" si="38"/>
        <v>2605.8755165675211</v>
      </c>
      <c r="Q776" s="215">
        <f>IF(P776="-",0,P776/(1+'General inputs'!$H$30)^'MP Calculations'!$C$40)</f>
        <v>5788.4026348358848</v>
      </c>
    </row>
    <row r="777" spans="3:17">
      <c r="C777" s="159"/>
      <c r="D777" s="165" t="s">
        <v>289</v>
      </c>
      <c r="E777" s="162">
        <v>31321</v>
      </c>
      <c r="F777" s="166" t="str">
        <f t="shared" si="36"/>
        <v>Date check - OK</v>
      </c>
      <c r="G777" s="68"/>
      <c r="H777" s="162" t="s">
        <v>280</v>
      </c>
      <c r="I777" s="173">
        <v>21853.086195380012</v>
      </c>
      <c r="J777" s="168">
        <f>IFERROR(MIN('MP Calculations'!$E$30/I777,1),"-")</f>
        <v>0.32927792945511891</v>
      </c>
      <c r="K777" s="12"/>
      <c r="L777" s="159">
        <v>83.073054999999997</v>
      </c>
      <c r="M777" s="187" t="s">
        <v>293</v>
      </c>
      <c r="N777" s="187">
        <v>421.28581700000001</v>
      </c>
      <c r="O777" s="186">
        <f t="shared" si="37"/>
        <v>34997.499846360937</v>
      </c>
      <c r="P777" s="186">
        <f t="shared" si="38"/>
        <v>11523.904285515571</v>
      </c>
      <c r="Q777" s="215">
        <f>IF(P777="-",0,P777/(1+'General inputs'!$H$30)^'MP Calculations'!$C$40)</f>
        <v>25597.921890658537</v>
      </c>
    </row>
    <row r="778" spans="3:17">
      <c r="C778" s="159"/>
      <c r="D778" s="165" t="s">
        <v>289</v>
      </c>
      <c r="E778" s="162">
        <v>31321</v>
      </c>
      <c r="F778" s="166" t="str">
        <f t="shared" si="36"/>
        <v>Date check - OK</v>
      </c>
      <c r="G778" s="68"/>
      <c r="H778" s="162" t="s">
        <v>280</v>
      </c>
      <c r="I778" s="173">
        <v>21853.086195380012</v>
      </c>
      <c r="J778" s="168">
        <f>IFERROR(MIN('MP Calculations'!$E$30/I778,1),"-")</f>
        <v>0.32927792945511891</v>
      </c>
      <c r="K778" s="12"/>
      <c r="L778" s="159">
        <v>42.739060000000002</v>
      </c>
      <c r="M778" s="187" t="s">
        <v>293</v>
      </c>
      <c r="N778" s="187">
        <v>421.28581700000001</v>
      </c>
      <c r="O778" s="186">
        <f t="shared" si="37"/>
        <v>18005.359809912021</v>
      </c>
      <c r="P778" s="186">
        <f t="shared" si="38"/>
        <v>5928.7675973022433</v>
      </c>
      <c r="Q778" s="215">
        <f>IF(P778="-",0,P778/(1+'General inputs'!$H$30)^'MP Calculations'!$C$40)</f>
        <v>13169.50628046806</v>
      </c>
    </row>
    <row r="779" spans="3:17">
      <c r="C779" s="159"/>
      <c r="D779" s="165" t="s">
        <v>283</v>
      </c>
      <c r="E779" s="162">
        <v>31413</v>
      </c>
      <c r="F779" s="166" t="str">
        <f t="shared" si="36"/>
        <v>Date check - OK</v>
      </c>
      <c r="G779" s="68"/>
      <c r="H779" s="162" t="s">
        <v>280</v>
      </c>
      <c r="I779" s="173">
        <v>21853.086195380012</v>
      </c>
      <c r="J779" s="168">
        <f>IFERROR(MIN('MP Calculations'!$E$30/I779,1),"-")</f>
        <v>0.32927792945511891</v>
      </c>
      <c r="K779" s="12"/>
      <c r="L779" s="159">
        <v>13.165692999999999</v>
      </c>
      <c r="M779" s="187" t="s">
        <v>293</v>
      </c>
      <c r="N779" s="187">
        <v>192.78728599999999</v>
      </c>
      <c r="O779" s="186">
        <f t="shared" si="37"/>
        <v>2538.1782217791979</v>
      </c>
      <c r="P779" s="186">
        <f t="shared" si="38"/>
        <v>835.76606945552987</v>
      </c>
      <c r="Q779" s="215">
        <f>IF(P779="-",0,P779/(1+'General inputs'!$H$30)^'MP Calculations'!$C$40)</f>
        <v>1856.4779813101516</v>
      </c>
    </row>
    <row r="780" spans="3:17">
      <c r="C780" s="159"/>
      <c r="D780" s="165" t="s">
        <v>292</v>
      </c>
      <c r="E780" s="162">
        <v>31413</v>
      </c>
      <c r="F780" s="166" t="str">
        <f t="shared" si="36"/>
        <v>Date check - OK</v>
      </c>
      <c r="G780" s="68"/>
      <c r="H780" s="162" t="s">
        <v>280</v>
      </c>
      <c r="I780" s="173">
        <v>21853.086195380012</v>
      </c>
      <c r="J780" s="168">
        <f>IFERROR(MIN('MP Calculations'!$E$30/I780,1),"-")</f>
        <v>0.32927792945511891</v>
      </c>
      <c r="K780" s="12"/>
      <c r="L780" s="159">
        <v>28.053996000000001</v>
      </c>
      <c r="M780" s="187" t="s">
        <v>293</v>
      </c>
      <c r="N780" s="187">
        <v>297.51652200000001</v>
      </c>
      <c r="O780" s="186">
        <f t="shared" si="37"/>
        <v>8346.5273181219127</v>
      </c>
      <c r="P780" s="186">
        <f t="shared" si="38"/>
        <v>2748.3272334517701</v>
      </c>
      <c r="Q780" s="215">
        <f>IF(P780="-",0,P780/(1+'General inputs'!$H$30)^'MP Calculations'!$C$40)</f>
        <v>6104.8290673754591</v>
      </c>
    </row>
    <row r="781" spans="3:17">
      <c r="C781" s="159"/>
      <c r="D781" s="165" t="s">
        <v>292</v>
      </c>
      <c r="E781" s="162">
        <v>31413</v>
      </c>
      <c r="F781" s="166" t="str">
        <f t="shared" si="36"/>
        <v>Date check - OK</v>
      </c>
      <c r="G781" s="68"/>
      <c r="H781" s="162" t="s">
        <v>280</v>
      </c>
      <c r="I781" s="173">
        <v>21853.086195380012</v>
      </c>
      <c r="J781" s="168">
        <f>IFERROR(MIN('MP Calculations'!$E$30/I781,1),"-")</f>
        <v>0.32927792945511891</v>
      </c>
      <c r="K781" s="12"/>
      <c r="L781" s="159">
        <v>36.947642999999999</v>
      </c>
      <c r="M781" s="187" t="s">
        <v>293</v>
      </c>
      <c r="N781" s="187">
        <v>297.51652200000001</v>
      </c>
      <c r="O781" s="186">
        <f t="shared" si="37"/>
        <v>10992.534241457646</v>
      </c>
      <c r="P781" s="186">
        <f t="shared" si="38"/>
        <v>3619.5989144916698</v>
      </c>
      <c r="Q781" s="215">
        <f>IF(P781="-",0,P781/(1+'General inputs'!$H$30)^'MP Calculations'!$C$40)</f>
        <v>8040.1752733340154</v>
      </c>
    </row>
    <row r="782" spans="3:17">
      <c r="C782" s="159"/>
      <c r="D782" s="165" t="s">
        <v>292</v>
      </c>
      <c r="E782" s="162">
        <v>31413</v>
      </c>
      <c r="F782" s="166" t="str">
        <f t="shared" si="36"/>
        <v>Date check - OK</v>
      </c>
      <c r="G782" s="68"/>
      <c r="H782" s="162" t="s">
        <v>280</v>
      </c>
      <c r="I782" s="173">
        <v>21853.086195380012</v>
      </c>
      <c r="J782" s="168">
        <f>IFERROR(MIN('MP Calculations'!$E$30/I782,1),"-")</f>
        <v>0.32927792945511891</v>
      </c>
      <c r="K782" s="12"/>
      <c r="L782" s="159">
        <v>3.4982899999999999</v>
      </c>
      <c r="M782" s="187" t="s">
        <v>293</v>
      </c>
      <c r="N782" s="187">
        <v>297.51652200000001</v>
      </c>
      <c r="O782" s="186">
        <f t="shared" si="37"/>
        <v>1040.7990737473799</v>
      </c>
      <c r="P782" s="186">
        <f t="shared" si="38"/>
        <v>342.71216398234287</v>
      </c>
      <c r="Q782" s="215">
        <f>IF(P782="-",0,P782/(1+'General inputs'!$H$30)^'MP Calculations'!$C$40)</f>
        <v>761.26276192913451</v>
      </c>
    </row>
    <row r="783" spans="3:17">
      <c r="C783" s="159"/>
      <c r="D783" s="165" t="s">
        <v>292</v>
      </c>
      <c r="E783" s="162">
        <v>31413</v>
      </c>
      <c r="F783" s="166" t="str">
        <f t="shared" si="36"/>
        <v>Date check - OK</v>
      </c>
      <c r="G783" s="68"/>
      <c r="H783" s="162" t="s">
        <v>280</v>
      </c>
      <c r="I783" s="173">
        <v>21853.086195380012</v>
      </c>
      <c r="J783" s="168">
        <f>IFERROR(MIN('MP Calculations'!$E$30/I783,1),"-")</f>
        <v>0.32927792945511891</v>
      </c>
      <c r="K783" s="12"/>
      <c r="L783" s="159">
        <v>5.8496499999999996</v>
      </c>
      <c r="M783" s="187" t="s">
        <v>293</v>
      </c>
      <c r="N783" s="187">
        <v>297.51652200000001</v>
      </c>
      <c r="O783" s="186">
        <f t="shared" si="37"/>
        <v>1740.3675229173</v>
      </c>
      <c r="P783" s="186">
        <f t="shared" si="38"/>
        <v>573.06461443714272</v>
      </c>
      <c r="Q783" s="215">
        <f>IF(P783="-",0,P783/(1+'General inputs'!$H$30)^'MP Calculations'!$C$40)</f>
        <v>1272.9421275305253</v>
      </c>
    </row>
    <row r="784" spans="3:17">
      <c r="C784" s="159"/>
      <c r="D784" s="165" t="s">
        <v>282</v>
      </c>
      <c r="E784" s="162">
        <v>31413</v>
      </c>
      <c r="F784" s="166" t="str">
        <f t="shared" si="36"/>
        <v>Date check - OK</v>
      </c>
      <c r="G784" s="68"/>
      <c r="H784" s="162" t="s">
        <v>280</v>
      </c>
      <c r="I784" s="173">
        <v>21853.086195380012</v>
      </c>
      <c r="J784" s="168">
        <f>IFERROR(MIN('MP Calculations'!$E$30/I784,1),"-")</f>
        <v>0.32927792945511891</v>
      </c>
      <c r="K784" s="12"/>
      <c r="L784" s="159">
        <v>2.6506500000000002</v>
      </c>
      <c r="M784" s="187" t="s">
        <v>293</v>
      </c>
      <c r="N784" s="187">
        <v>237.97403299999999</v>
      </c>
      <c r="O784" s="186">
        <f t="shared" si="37"/>
        <v>630.78587057145</v>
      </c>
      <c r="P784" s="186">
        <f t="shared" si="38"/>
        <v>207.70386539131169</v>
      </c>
      <c r="Q784" s="215">
        <f>IF(P784="-",0,P784/(1+'General inputs'!$H$30)^'MP Calculations'!$C$40)</f>
        <v>461.37031260814422</v>
      </c>
    </row>
    <row r="785" spans="3:17">
      <c r="C785" s="159"/>
      <c r="D785" s="165" t="s">
        <v>292</v>
      </c>
      <c r="E785" s="162">
        <v>31413</v>
      </c>
      <c r="F785" s="166" t="str">
        <f t="shared" si="36"/>
        <v>Date check - OK</v>
      </c>
      <c r="G785" s="68"/>
      <c r="H785" s="162" t="s">
        <v>280</v>
      </c>
      <c r="I785" s="173">
        <v>21853.086195380012</v>
      </c>
      <c r="J785" s="168">
        <f>IFERROR(MIN('MP Calculations'!$E$30/I785,1),"-")</f>
        <v>0.32927792945511891</v>
      </c>
      <c r="K785" s="12"/>
      <c r="L785" s="159">
        <v>73.506637999999995</v>
      </c>
      <c r="M785" s="187" t="s">
        <v>293</v>
      </c>
      <c r="N785" s="187">
        <v>297.51652200000001</v>
      </c>
      <c r="O785" s="186">
        <f t="shared" si="37"/>
        <v>21869.439281673036</v>
      </c>
      <c r="P785" s="186">
        <f t="shared" si="38"/>
        <v>7201.1236850137402</v>
      </c>
      <c r="Q785" s="215">
        <f>IF(P785="-",0,P785/(1+'General inputs'!$H$30)^'MP Calculations'!$C$40)</f>
        <v>15995.776869271866</v>
      </c>
    </row>
    <row r="786" spans="3:17">
      <c r="C786" s="159"/>
      <c r="D786" s="165" t="s">
        <v>292</v>
      </c>
      <c r="E786" s="162">
        <v>31413</v>
      </c>
      <c r="F786" s="166" t="str">
        <f t="shared" si="36"/>
        <v>Date check - OK</v>
      </c>
      <c r="G786" s="68"/>
      <c r="H786" s="162" t="s">
        <v>280</v>
      </c>
      <c r="I786" s="173">
        <v>21853.086195380012</v>
      </c>
      <c r="J786" s="168">
        <f>IFERROR(MIN('MP Calculations'!$E$30/I786,1),"-")</f>
        <v>0.32927792945511891</v>
      </c>
      <c r="K786" s="12"/>
      <c r="L786" s="159">
        <v>5.0404229999999997</v>
      </c>
      <c r="M786" s="187" t="s">
        <v>293</v>
      </c>
      <c r="N786" s="187">
        <v>297.51652200000001</v>
      </c>
      <c r="O786" s="186">
        <f t="shared" si="37"/>
        <v>1499.6091203688059</v>
      </c>
      <c r="P786" s="186">
        <f t="shared" si="38"/>
        <v>493.78818614705256</v>
      </c>
      <c r="Q786" s="215">
        <f>IF(P786="-",0,P786/(1+'General inputs'!$H$30)^'MP Calculations'!$C$40)</f>
        <v>1096.8462689688772</v>
      </c>
    </row>
    <row r="787" spans="3:17">
      <c r="C787" s="159"/>
      <c r="D787" s="165" t="s">
        <v>292</v>
      </c>
      <c r="E787" s="162">
        <v>31413</v>
      </c>
      <c r="F787" s="166" t="str">
        <f t="shared" si="36"/>
        <v>Date check - OK</v>
      </c>
      <c r="G787" s="68"/>
      <c r="H787" s="162" t="s">
        <v>280</v>
      </c>
      <c r="I787" s="173">
        <v>21853.086195380012</v>
      </c>
      <c r="J787" s="168">
        <f>IFERROR(MIN('MP Calculations'!$E$30/I787,1),"-")</f>
        <v>0.32927792945511891</v>
      </c>
      <c r="K787" s="12"/>
      <c r="L787" s="159">
        <v>0.54917800000000006</v>
      </c>
      <c r="M787" s="187" t="s">
        <v>293</v>
      </c>
      <c r="N787" s="187">
        <v>297.51652200000001</v>
      </c>
      <c r="O787" s="186">
        <f t="shared" si="37"/>
        <v>163.38952851891602</v>
      </c>
      <c r="P787" s="186">
        <f t="shared" si="38"/>
        <v>53.80056564535677</v>
      </c>
      <c r="Q787" s="215">
        <f>IF(P787="-",0,P787/(1+'General inputs'!$H$30)^'MP Calculations'!$C$40)</f>
        <v>119.50660496148642</v>
      </c>
    </row>
    <row r="788" spans="3:17">
      <c r="C788" s="159"/>
      <c r="D788" s="165" t="s">
        <v>292</v>
      </c>
      <c r="E788" s="162">
        <v>31413</v>
      </c>
      <c r="F788" s="166" t="str">
        <f t="shared" si="36"/>
        <v>Date check - OK</v>
      </c>
      <c r="G788" s="68"/>
      <c r="H788" s="162" t="s">
        <v>280</v>
      </c>
      <c r="I788" s="173">
        <v>21853.086195380012</v>
      </c>
      <c r="J788" s="168">
        <f>IFERROR(MIN('MP Calculations'!$E$30/I788,1),"-")</f>
        <v>0.32927792945511891</v>
      </c>
      <c r="K788" s="12"/>
      <c r="L788" s="159">
        <v>30.676796</v>
      </c>
      <c r="M788" s="187" t="s">
        <v>293</v>
      </c>
      <c r="N788" s="187">
        <v>297.51652200000001</v>
      </c>
      <c r="O788" s="186">
        <f t="shared" si="37"/>
        <v>9126.853652023512</v>
      </c>
      <c r="P788" s="186">
        <f t="shared" si="38"/>
        <v>3005.2714729781924</v>
      </c>
      <c r="Q788" s="215">
        <f>IF(P788="-",0,P788/(1+'General inputs'!$H$30)^'MP Calculations'!$C$40)</f>
        <v>6675.5764816800856</v>
      </c>
    </row>
    <row r="789" spans="3:17">
      <c r="C789" s="159"/>
      <c r="D789" s="165" t="s">
        <v>292</v>
      </c>
      <c r="E789" s="162">
        <v>31413</v>
      </c>
      <c r="F789" s="166" t="str">
        <f t="shared" si="36"/>
        <v>Date check - OK</v>
      </c>
      <c r="G789" s="68"/>
      <c r="H789" s="162" t="s">
        <v>280</v>
      </c>
      <c r="I789" s="173">
        <v>21853.086195380012</v>
      </c>
      <c r="J789" s="168">
        <f>IFERROR(MIN('MP Calculations'!$E$30/I789,1),"-")</f>
        <v>0.32927792945511891</v>
      </c>
      <c r="K789" s="12"/>
      <c r="L789" s="159">
        <v>55.464368</v>
      </c>
      <c r="M789" s="187" t="s">
        <v>293</v>
      </c>
      <c r="N789" s="187">
        <v>297.51652200000001</v>
      </c>
      <c r="O789" s="186">
        <f t="shared" si="37"/>
        <v>16501.565862288098</v>
      </c>
      <c r="P789" s="186">
        <f t="shared" si="38"/>
        <v>5433.6014399014985</v>
      </c>
      <c r="Q789" s="215">
        <f>IF(P789="-",0,P789/(1+'General inputs'!$H$30)^'MP Calculations'!$C$40)</f>
        <v>12069.599139103364</v>
      </c>
    </row>
    <row r="790" spans="3:17">
      <c r="C790" s="159"/>
      <c r="D790" s="165" t="s">
        <v>292</v>
      </c>
      <c r="E790" s="162">
        <v>31413</v>
      </c>
      <c r="F790" s="166" t="str">
        <f t="shared" si="36"/>
        <v>Date check - OK</v>
      </c>
      <c r="G790" s="68"/>
      <c r="H790" s="162" t="s">
        <v>280</v>
      </c>
      <c r="I790" s="173">
        <v>21853.086195380012</v>
      </c>
      <c r="J790" s="168">
        <f>IFERROR(MIN('MP Calculations'!$E$30/I790,1),"-")</f>
        <v>0.32927792945511891</v>
      </c>
      <c r="K790" s="12"/>
      <c r="L790" s="159">
        <v>1.299982</v>
      </c>
      <c r="M790" s="187" t="s">
        <v>293</v>
      </c>
      <c r="N790" s="187">
        <v>297.51652200000001</v>
      </c>
      <c r="O790" s="186">
        <f t="shared" si="37"/>
        <v>386.766123302604</v>
      </c>
      <c r="P790" s="186">
        <f t="shared" si="38"/>
        <v>127.35354826446466</v>
      </c>
      <c r="Q790" s="215">
        <f>IF(P790="-",0,P790/(1+'General inputs'!$H$30)^'MP Calculations'!$C$40)</f>
        <v>282.88903658020354</v>
      </c>
    </row>
    <row r="791" spans="3:17">
      <c r="C791" s="159"/>
      <c r="D791" s="165" t="s">
        <v>292</v>
      </c>
      <c r="E791" s="162">
        <v>31413</v>
      </c>
      <c r="F791" s="166" t="str">
        <f t="shared" ref="F791:F854" si="39">IF(E791="","-",IF(OR(E791&lt;$E$15,E791&gt;$E$16),"ERROR - date outside of range","Date check - OK"))</f>
        <v>Date check - OK</v>
      </c>
      <c r="G791" s="68"/>
      <c r="H791" s="162" t="s">
        <v>280</v>
      </c>
      <c r="I791" s="173">
        <v>21853.086195380012</v>
      </c>
      <c r="J791" s="168">
        <f>IFERROR(MIN('MP Calculations'!$E$30/I791,1),"-")</f>
        <v>0.32927792945511891</v>
      </c>
      <c r="K791" s="12"/>
      <c r="L791" s="159">
        <v>17.279986000000001</v>
      </c>
      <c r="M791" s="187" t="s">
        <v>293</v>
      </c>
      <c r="N791" s="187">
        <v>297.51652200000001</v>
      </c>
      <c r="O791" s="186">
        <f t="shared" ref="O791:O854" si="40">IF(N791="","-",L791*N791)</f>
        <v>5141.0813349286927</v>
      </c>
      <c r="P791" s="186">
        <f t="shared" ref="P791:P854" si="41">IF(O791="-","-",IF(OR(E791&lt;$E$15,E791&gt;$E$16),0,O791*J791))</f>
        <v>1692.8446171256787</v>
      </c>
      <c r="Q791" s="215">
        <f>IF(P791="-",0,P791/(1+'General inputs'!$H$30)^'MP Calculations'!$C$40)</f>
        <v>3760.2971361598898</v>
      </c>
    </row>
    <row r="792" spans="3:17">
      <c r="C792" s="159"/>
      <c r="D792" s="165" t="s">
        <v>282</v>
      </c>
      <c r="E792" s="162">
        <v>31413</v>
      </c>
      <c r="F792" s="166" t="str">
        <f t="shared" si="39"/>
        <v>Date check - OK</v>
      </c>
      <c r="G792" s="68"/>
      <c r="H792" s="162" t="s">
        <v>280</v>
      </c>
      <c r="I792" s="173">
        <v>21853.086195380012</v>
      </c>
      <c r="J792" s="168">
        <f>IFERROR(MIN('MP Calculations'!$E$30/I792,1),"-")</f>
        <v>0.32927792945511891</v>
      </c>
      <c r="K792" s="12"/>
      <c r="L792" s="159">
        <v>0.65042999999999995</v>
      </c>
      <c r="M792" s="187" t="s">
        <v>293</v>
      </c>
      <c r="N792" s="187">
        <v>237.97403299999999</v>
      </c>
      <c r="O792" s="186">
        <f t="shared" si="40"/>
        <v>154.78545028418998</v>
      </c>
      <c r="P792" s="186">
        <f t="shared" si="41"/>
        <v>50.96743257935632</v>
      </c>
      <c r="Q792" s="215">
        <f>IF(P792="-",0,P792/(1+'General inputs'!$H$30)^'MP Calculations'!$C$40)</f>
        <v>113.21339763066234</v>
      </c>
    </row>
    <row r="793" spans="3:17">
      <c r="C793" s="159"/>
      <c r="D793" s="165" t="s">
        <v>292</v>
      </c>
      <c r="E793" s="162">
        <v>31413</v>
      </c>
      <c r="F793" s="166" t="str">
        <f t="shared" si="39"/>
        <v>Date check - OK</v>
      </c>
      <c r="G793" s="68"/>
      <c r="H793" s="162" t="s">
        <v>280</v>
      </c>
      <c r="I793" s="173">
        <v>21853.086195380012</v>
      </c>
      <c r="J793" s="168">
        <f>IFERROR(MIN('MP Calculations'!$E$30/I793,1),"-")</f>
        <v>0.32927792945511891</v>
      </c>
      <c r="K793" s="12"/>
      <c r="L793" s="159">
        <v>5.640371</v>
      </c>
      <c r="M793" s="187" t="s">
        <v>293</v>
      </c>
      <c r="N793" s="187">
        <v>297.51652200000001</v>
      </c>
      <c r="O793" s="186">
        <f t="shared" si="40"/>
        <v>1678.1035627096621</v>
      </c>
      <c r="P793" s="186">
        <f t="shared" si="41"/>
        <v>552.56246654029587</v>
      </c>
      <c r="Q793" s="215">
        <f>IF(P793="-",0,P793/(1+'General inputs'!$H$30)^'MP Calculations'!$C$40)</f>
        <v>1227.4009318166861</v>
      </c>
    </row>
    <row r="794" spans="3:17">
      <c r="C794" s="159"/>
      <c r="D794" s="165" t="s">
        <v>292</v>
      </c>
      <c r="E794" s="162">
        <v>31413</v>
      </c>
      <c r="F794" s="166" t="str">
        <f t="shared" si="39"/>
        <v>Date check - OK</v>
      </c>
      <c r="G794" s="68"/>
      <c r="H794" s="162" t="s">
        <v>280</v>
      </c>
      <c r="I794" s="173">
        <v>21853.086195380012</v>
      </c>
      <c r="J794" s="168">
        <f>IFERROR(MIN('MP Calculations'!$E$30/I794,1),"-")</f>
        <v>0.32927792945511891</v>
      </c>
      <c r="K794" s="12"/>
      <c r="L794" s="159">
        <v>4.988505</v>
      </c>
      <c r="M794" s="187" t="s">
        <v>293</v>
      </c>
      <c r="N794" s="187">
        <v>297.51652200000001</v>
      </c>
      <c r="O794" s="186">
        <f t="shared" si="40"/>
        <v>1484.1626575796101</v>
      </c>
      <c r="P794" s="186">
        <f t="shared" si="41"/>
        <v>488.70200686242066</v>
      </c>
      <c r="Q794" s="215">
        <f>IF(P794="-",0,P794/(1+'General inputs'!$H$30)^'MP Calculations'!$C$40)</f>
        <v>1085.5483948435658</v>
      </c>
    </row>
    <row r="795" spans="3:17">
      <c r="C795" s="159"/>
      <c r="D795" s="165" t="s">
        <v>292</v>
      </c>
      <c r="E795" s="162">
        <v>31413</v>
      </c>
      <c r="F795" s="166" t="str">
        <f t="shared" si="39"/>
        <v>Date check - OK</v>
      </c>
      <c r="G795" s="68"/>
      <c r="H795" s="162" t="s">
        <v>280</v>
      </c>
      <c r="I795" s="173">
        <v>21853.086195380012</v>
      </c>
      <c r="J795" s="168">
        <f>IFERROR(MIN('MP Calculations'!$E$30/I795,1),"-")</f>
        <v>0.32927792945511891</v>
      </c>
      <c r="K795" s="12"/>
      <c r="L795" s="159">
        <v>8.1881050000000002</v>
      </c>
      <c r="M795" s="187" t="s">
        <v>293</v>
      </c>
      <c r="N795" s="187">
        <v>297.51652200000001</v>
      </c>
      <c r="O795" s="186">
        <f t="shared" si="40"/>
        <v>2436.09652137081</v>
      </c>
      <c r="P795" s="186">
        <f t="shared" si="41"/>
        <v>802.15281850979818</v>
      </c>
      <c r="Q795" s="215">
        <f>IF(P795="-",0,P795/(1+'General inputs'!$H$30)^'MP Calculations'!$C$40)</f>
        <v>1781.8132365429271</v>
      </c>
    </row>
    <row r="796" spans="3:17">
      <c r="C796" s="159"/>
      <c r="D796" s="165" t="s">
        <v>292</v>
      </c>
      <c r="E796" s="162">
        <v>31413</v>
      </c>
      <c r="F796" s="166" t="str">
        <f t="shared" si="39"/>
        <v>Date check - OK</v>
      </c>
      <c r="G796" s="68"/>
      <c r="H796" s="162" t="s">
        <v>280</v>
      </c>
      <c r="I796" s="173">
        <v>21853.086195380012</v>
      </c>
      <c r="J796" s="168">
        <f>IFERROR(MIN('MP Calculations'!$E$30/I796,1),"-")</f>
        <v>0.32927792945511891</v>
      </c>
      <c r="K796" s="12"/>
      <c r="L796" s="159">
        <v>83.147368</v>
      </c>
      <c r="M796" s="187" t="s">
        <v>293</v>
      </c>
      <c r="N796" s="187">
        <v>297.51652200000001</v>
      </c>
      <c r="O796" s="186">
        <f t="shared" si="40"/>
        <v>24737.715740814096</v>
      </c>
      <c r="P796" s="186">
        <f t="shared" si="41"/>
        <v>8145.5838185845687</v>
      </c>
      <c r="Q796" s="215">
        <f>IF(P796="-",0,P796/(1+'General inputs'!$H$30)^'MP Calculations'!$C$40)</f>
        <v>18093.695780172067</v>
      </c>
    </row>
    <row r="797" spans="3:17">
      <c r="C797" s="159"/>
      <c r="D797" s="165" t="s">
        <v>292</v>
      </c>
      <c r="E797" s="162">
        <v>31413</v>
      </c>
      <c r="F797" s="166" t="str">
        <f t="shared" si="39"/>
        <v>Date check - OK</v>
      </c>
      <c r="G797" s="68"/>
      <c r="H797" s="162" t="s">
        <v>280</v>
      </c>
      <c r="I797" s="173">
        <v>21853.086195380012</v>
      </c>
      <c r="J797" s="168">
        <f>IFERROR(MIN('MP Calculations'!$E$30/I797,1),"-")</f>
        <v>0.32927792945511891</v>
      </c>
      <c r="K797" s="12"/>
      <c r="L797" s="159">
        <v>1.9292469999999999</v>
      </c>
      <c r="M797" s="187" t="s">
        <v>293</v>
      </c>
      <c r="N797" s="187">
        <v>297.51652200000001</v>
      </c>
      <c r="O797" s="186">
        <f t="shared" si="40"/>
        <v>573.982857518934</v>
      </c>
      <c r="P797" s="186">
        <f t="shared" si="41"/>
        <v>188.99988686656712</v>
      </c>
      <c r="Q797" s="215">
        <f>IF(P797="-",0,P797/(1+'General inputs'!$H$30)^'MP Calculations'!$C$40)</f>
        <v>419.82337075070876</v>
      </c>
    </row>
    <row r="798" spans="3:17">
      <c r="C798" s="159"/>
      <c r="D798" s="165" t="s">
        <v>292</v>
      </c>
      <c r="E798" s="162">
        <v>31413</v>
      </c>
      <c r="F798" s="166" t="str">
        <f t="shared" si="39"/>
        <v>Date check - OK</v>
      </c>
      <c r="G798" s="68"/>
      <c r="H798" s="162" t="s">
        <v>280</v>
      </c>
      <c r="I798" s="173">
        <v>21853.086195380012</v>
      </c>
      <c r="J798" s="168">
        <f>IFERROR(MIN('MP Calculations'!$E$30/I798,1),"-")</f>
        <v>0.32927792945511891</v>
      </c>
      <c r="K798" s="12"/>
      <c r="L798" s="159">
        <v>7.716545</v>
      </c>
      <c r="M798" s="187" t="s">
        <v>293</v>
      </c>
      <c r="N798" s="187">
        <v>297.51652200000001</v>
      </c>
      <c r="O798" s="186">
        <f t="shared" si="40"/>
        <v>2295.7996302564902</v>
      </c>
      <c r="P798" s="186">
        <f t="shared" si="41"/>
        <v>755.95614869468466</v>
      </c>
      <c r="Q798" s="215">
        <f>IF(P798="-",0,P798/(1+'General inputs'!$H$30)^'MP Calculations'!$C$40)</f>
        <v>1679.1970817886606</v>
      </c>
    </row>
    <row r="799" spans="3:17">
      <c r="C799" s="159"/>
      <c r="D799" s="165" t="s">
        <v>292</v>
      </c>
      <c r="E799" s="162">
        <v>31413</v>
      </c>
      <c r="F799" s="166" t="str">
        <f t="shared" si="39"/>
        <v>Date check - OK</v>
      </c>
      <c r="G799" s="68"/>
      <c r="H799" s="162" t="s">
        <v>280</v>
      </c>
      <c r="I799" s="173">
        <v>21853.086195380012</v>
      </c>
      <c r="J799" s="168">
        <f>IFERROR(MIN('MP Calculations'!$E$30/I799,1),"-")</f>
        <v>0.32927792945511891</v>
      </c>
      <c r="K799" s="12"/>
      <c r="L799" s="159">
        <v>3.4078560000000002</v>
      </c>
      <c r="M799" s="187" t="s">
        <v>293</v>
      </c>
      <c r="N799" s="187">
        <v>297.51652200000001</v>
      </c>
      <c r="O799" s="186">
        <f t="shared" si="40"/>
        <v>1013.8934645968321</v>
      </c>
      <c r="P799" s="186">
        <f t="shared" si="41"/>
        <v>333.8527407105218</v>
      </c>
      <c r="Q799" s="215">
        <f>IF(P799="-",0,P799/(1+'General inputs'!$H$30)^'MP Calculations'!$C$40)</f>
        <v>741.58342241974594</v>
      </c>
    </row>
    <row r="800" spans="3:17">
      <c r="C800" s="159"/>
      <c r="D800" s="165" t="s">
        <v>292</v>
      </c>
      <c r="E800" s="162">
        <v>31413</v>
      </c>
      <c r="F800" s="166" t="str">
        <f t="shared" si="39"/>
        <v>Date check - OK</v>
      </c>
      <c r="G800" s="68"/>
      <c r="H800" s="162" t="s">
        <v>280</v>
      </c>
      <c r="I800" s="173">
        <v>21853.086195380012</v>
      </c>
      <c r="J800" s="168">
        <f>IFERROR(MIN('MP Calculations'!$E$30/I800,1),"-")</f>
        <v>0.32927792945511891</v>
      </c>
      <c r="K800" s="12"/>
      <c r="L800" s="159">
        <v>23.34197</v>
      </c>
      <c r="M800" s="187" t="s">
        <v>293</v>
      </c>
      <c r="N800" s="187">
        <v>297.51652200000001</v>
      </c>
      <c r="O800" s="186">
        <f t="shared" si="40"/>
        <v>6944.62173102834</v>
      </c>
      <c r="P800" s="186">
        <f t="shared" si="41"/>
        <v>2286.7106644420355</v>
      </c>
      <c r="Q800" s="215">
        <f>IF(P800="-",0,P800/(1+'General inputs'!$H$30)^'MP Calculations'!$C$40)</f>
        <v>5079.4452578451192</v>
      </c>
    </row>
    <row r="801" spans="3:17">
      <c r="C801" s="159"/>
      <c r="D801" s="165" t="s">
        <v>292</v>
      </c>
      <c r="E801" s="162">
        <v>31413</v>
      </c>
      <c r="F801" s="166" t="str">
        <f t="shared" si="39"/>
        <v>Date check - OK</v>
      </c>
      <c r="G801" s="68"/>
      <c r="H801" s="162" t="s">
        <v>280</v>
      </c>
      <c r="I801" s="173">
        <v>21853.086195380012</v>
      </c>
      <c r="J801" s="168">
        <f>IFERROR(MIN('MP Calculations'!$E$30/I801,1),"-")</f>
        <v>0.32927792945511891</v>
      </c>
      <c r="K801" s="12"/>
      <c r="L801" s="159">
        <v>2.087097</v>
      </c>
      <c r="M801" s="187" t="s">
        <v>293</v>
      </c>
      <c r="N801" s="187">
        <v>297.51652200000001</v>
      </c>
      <c r="O801" s="186">
        <f t="shared" si="40"/>
        <v>620.94584051663401</v>
      </c>
      <c r="P801" s="186">
        <f t="shared" si="41"/>
        <v>204.46376066908573</v>
      </c>
      <c r="Q801" s="215">
        <f>IF(P801="-",0,P801/(1+'General inputs'!$H$30)^'MP Calculations'!$C$40)</f>
        <v>454.17310361176771</v>
      </c>
    </row>
    <row r="802" spans="3:17">
      <c r="C802" s="159"/>
      <c r="D802" s="165" t="s">
        <v>292</v>
      </c>
      <c r="E802" s="162">
        <v>31413</v>
      </c>
      <c r="F802" s="166" t="str">
        <f t="shared" si="39"/>
        <v>Date check - OK</v>
      </c>
      <c r="G802" s="68"/>
      <c r="H802" s="162" t="s">
        <v>280</v>
      </c>
      <c r="I802" s="173">
        <v>21853.086195380012</v>
      </c>
      <c r="J802" s="168">
        <f>IFERROR(MIN('MP Calculations'!$E$30/I802,1),"-")</f>
        <v>0.32927792945511891</v>
      </c>
      <c r="K802" s="12"/>
      <c r="L802" s="159">
        <v>2.8839039999999998</v>
      </c>
      <c r="M802" s="187" t="s">
        <v>293</v>
      </c>
      <c r="N802" s="187">
        <v>297.51652200000001</v>
      </c>
      <c r="O802" s="186">
        <f t="shared" si="40"/>
        <v>858.00908786188802</v>
      </c>
      <c r="P802" s="186">
        <f t="shared" si="41"/>
        <v>282.5234559048377</v>
      </c>
      <c r="Q802" s="215">
        <f>IF(P802="-",0,P802/(1+'General inputs'!$H$30)^'MP Calculations'!$C$40)</f>
        <v>627.56624641710061</v>
      </c>
    </row>
    <row r="803" spans="3:17">
      <c r="C803" s="159"/>
      <c r="D803" s="165" t="s">
        <v>292</v>
      </c>
      <c r="E803" s="162">
        <v>31413</v>
      </c>
      <c r="F803" s="166" t="str">
        <f t="shared" si="39"/>
        <v>Date check - OK</v>
      </c>
      <c r="G803" s="68"/>
      <c r="H803" s="162" t="s">
        <v>280</v>
      </c>
      <c r="I803" s="173">
        <v>21853.086195380012</v>
      </c>
      <c r="J803" s="168">
        <f>IFERROR(MIN('MP Calculations'!$E$30/I803,1),"-")</f>
        <v>0.32927792945511891</v>
      </c>
      <c r="K803" s="12"/>
      <c r="L803" s="159">
        <v>1.0207679999999999</v>
      </c>
      <c r="M803" s="187" t="s">
        <v>293</v>
      </c>
      <c r="N803" s="187">
        <v>297.51652200000001</v>
      </c>
      <c r="O803" s="186">
        <f t="shared" si="40"/>
        <v>303.69534512889595</v>
      </c>
      <c r="P803" s="186">
        <f t="shared" si="41"/>
        <v>100.0001744292006</v>
      </c>
      <c r="Q803" s="215">
        <f>IF(P803="-",0,P803/(1+'General inputs'!$H$30)^'MP Calculations'!$C$40)</f>
        <v>222.12928801468109</v>
      </c>
    </row>
    <row r="804" spans="3:17">
      <c r="C804" s="159"/>
      <c r="D804" s="165" t="s">
        <v>292</v>
      </c>
      <c r="E804" s="162">
        <v>31413</v>
      </c>
      <c r="F804" s="166" t="str">
        <f t="shared" si="39"/>
        <v>Date check - OK</v>
      </c>
      <c r="G804" s="68"/>
      <c r="H804" s="162" t="s">
        <v>280</v>
      </c>
      <c r="I804" s="173">
        <v>21853.086195380012</v>
      </c>
      <c r="J804" s="168">
        <f>IFERROR(MIN('MP Calculations'!$E$30/I804,1),"-")</f>
        <v>0.32927792945511891</v>
      </c>
      <c r="K804" s="12"/>
      <c r="L804" s="159">
        <v>8.5865950000000009</v>
      </c>
      <c r="M804" s="187" t="s">
        <v>293</v>
      </c>
      <c r="N804" s="187">
        <v>297.51652200000001</v>
      </c>
      <c r="O804" s="186">
        <f t="shared" si="40"/>
        <v>2554.6538802225905</v>
      </c>
      <c r="P804" s="186">
        <f t="shared" si="41"/>
        <v>841.19114015417995</v>
      </c>
      <c r="Q804" s="215">
        <f>IF(P804="-",0,P804/(1+'General inputs'!$H$30)^'MP Calculations'!$C$40)</f>
        <v>1868.5286312075036</v>
      </c>
    </row>
    <row r="805" spans="3:17">
      <c r="C805" s="159"/>
      <c r="D805" s="165" t="s">
        <v>283</v>
      </c>
      <c r="E805" s="162">
        <v>31413</v>
      </c>
      <c r="F805" s="166" t="str">
        <f t="shared" si="39"/>
        <v>Date check - OK</v>
      </c>
      <c r="G805" s="68"/>
      <c r="H805" s="162" t="s">
        <v>280</v>
      </c>
      <c r="I805" s="173">
        <v>21853.086195380012</v>
      </c>
      <c r="J805" s="168">
        <f>IFERROR(MIN('MP Calculations'!$E$30/I805,1),"-")</f>
        <v>0.32927792945511891</v>
      </c>
      <c r="K805" s="12"/>
      <c r="L805" s="159">
        <v>2.8895759999999999</v>
      </c>
      <c r="M805" s="187" t="s">
        <v>293</v>
      </c>
      <c r="N805" s="187">
        <v>192.78728599999999</v>
      </c>
      <c r="O805" s="186">
        <f t="shared" si="40"/>
        <v>557.07351473073595</v>
      </c>
      <c r="P805" s="186">
        <f t="shared" si="41"/>
        <v>183.43201348482242</v>
      </c>
      <c r="Q805" s="215">
        <f>IF(P805="-",0,P805/(1+'General inputs'!$H$30)^'MP Calculations'!$C$40)</f>
        <v>407.45551482343257</v>
      </c>
    </row>
    <row r="806" spans="3:17">
      <c r="C806" s="159"/>
      <c r="D806" s="165" t="s">
        <v>283</v>
      </c>
      <c r="E806" s="162">
        <v>31778</v>
      </c>
      <c r="F806" s="166" t="str">
        <f t="shared" si="39"/>
        <v>Date check - OK</v>
      </c>
      <c r="G806" s="68"/>
      <c r="H806" s="162" t="s">
        <v>280</v>
      </c>
      <c r="I806" s="173">
        <v>21853.086195380012</v>
      </c>
      <c r="J806" s="168">
        <f>IFERROR(MIN('MP Calculations'!$E$30/I806,1),"-")</f>
        <v>0.32927792945511891</v>
      </c>
      <c r="K806" s="12"/>
      <c r="L806" s="159">
        <v>0.90043799999999996</v>
      </c>
      <c r="M806" s="187" t="s">
        <v>293</v>
      </c>
      <c r="N806" s="187">
        <v>192.78728599999999</v>
      </c>
      <c r="O806" s="186">
        <f t="shared" si="40"/>
        <v>173.59299823126798</v>
      </c>
      <c r="P806" s="186">
        <f t="shared" si="41"/>
        <v>57.160343025498044</v>
      </c>
      <c r="Q806" s="215">
        <f>IF(P806="-",0,P806/(1+'General inputs'!$H$30)^'MP Calculations'!$C$40)</f>
        <v>126.96964151715753</v>
      </c>
    </row>
    <row r="807" spans="3:17">
      <c r="C807" s="159"/>
      <c r="D807" s="165" t="s">
        <v>283</v>
      </c>
      <c r="E807" s="162">
        <v>31778</v>
      </c>
      <c r="F807" s="166" t="str">
        <f t="shared" si="39"/>
        <v>Date check - OK</v>
      </c>
      <c r="G807" s="68"/>
      <c r="H807" s="162" t="s">
        <v>280</v>
      </c>
      <c r="I807" s="173">
        <v>21853.086195380012</v>
      </c>
      <c r="J807" s="168">
        <f>IFERROR(MIN('MP Calculations'!$E$30/I807,1),"-")</f>
        <v>0.32927792945511891</v>
      </c>
      <c r="K807" s="12"/>
      <c r="L807" s="159">
        <v>39.682563000000002</v>
      </c>
      <c r="M807" s="187" t="s">
        <v>293</v>
      </c>
      <c r="N807" s="187">
        <v>192.78728599999999</v>
      </c>
      <c r="O807" s="186">
        <f t="shared" si="40"/>
        <v>7650.293622294018</v>
      </c>
      <c r="P807" s="186">
        <f t="shared" si="41"/>
        <v>2519.0728436726758</v>
      </c>
      <c r="Q807" s="215">
        <f>IF(P807="-",0,P807/(1+'General inputs'!$H$30)^'MP Calculations'!$C$40)</f>
        <v>5595.5888118804623</v>
      </c>
    </row>
    <row r="808" spans="3:17">
      <c r="C808" s="159"/>
      <c r="D808" s="165" t="s">
        <v>283</v>
      </c>
      <c r="E808" s="162">
        <v>31778</v>
      </c>
      <c r="F808" s="166" t="str">
        <f t="shared" si="39"/>
        <v>Date check - OK</v>
      </c>
      <c r="G808" s="68"/>
      <c r="H808" s="162" t="s">
        <v>280</v>
      </c>
      <c r="I808" s="173">
        <v>21853.086195380012</v>
      </c>
      <c r="J808" s="168">
        <f>IFERROR(MIN('MP Calculations'!$E$30/I808,1),"-")</f>
        <v>0.32927792945511891</v>
      </c>
      <c r="K808" s="12"/>
      <c r="L808" s="159">
        <v>14.79514</v>
      </c>
      <c r="M808" s="187" t="s">
        <v>293</v>
      </c>
      <c r="N808" s="187">
        <v>192.78728599999999</v>
      </c>
      <c r="O808" s="186">
        <f t="shared" si="40"/>
        <v>2852.3148865900398</v>
      </c>
      <c r="P808" s="186">
        <f t="shared" si="41"/>
        <v>939.20434001038063</v>
      </c>
      <c r="Q808" s="215">
        <f>IF(P808="-",0,P808/(1+'General inputs'!$H$30)^'MP Calculations'!$C$40)</f>
        <v>2086.2442744488326</v>
      </c>
    </row>
    <row r="809" spans="3:17">
      <c r="C809" s="159"/>
      <c r="D809" s="165" t="s">
        <v>283</v>
      </c>
      <c r="E809" s="162">
        <v>31778</v>
      </c>
      <c r="F809" s="166" t="str">
        <f t="shared" si="39"/>
        <v>Date check - OK</v>
      </c>
      <c r="G809" s="68"/>
      <c r="H809" s="162" t="s">
        <v>280</v>
      </c>
      <c r="I809" s="173">
        <v>21853.086195380012</v>
      </c>
      <c r="J809" s="168">
        <f>IFERROR(MIN('MP Calculations'!$E$30/I809,1),"-")</f>
        <v>0.32927792945511891</v>
      </c>
      <c r="K809" s="12"/>
      <c r="L809" s="159">
        <v>0.60000100000000001</v>
      </c>
      <c r="M809" s="187" t="s">
        <v>293</v>
      </c>
      <c r="N809" s="187">
        <v>192.78728599999999</v>
      </c>
      <c r="O809" s="186">
        <f t="shared" si="40"/>
        <v>115.672564387286</v>
      </c>
      <c r="P809" s="186">
        <f t="shared" si="41"/>
        <v>38.088422496209461</v>
      </c>
      <c r="Q809" s="215">
        <f>IF(P809="-",0,P809/(1+'General inputs'!$H$30)^'MP Calculations'!$C$40)</f>
        <v>84.605394130341054</v>
      </c>
    </row>
    <row r="810" spans="3:17">
      <c r="C810" s="159"/>
      <c r="D810" s="165" t="s">
        <v>283</v>
      </c>
      <c r="E810" s="162">
        <v>31778</v>
      </c>
      <c r="F810" s="166" t="str">
        <f t="shared" si="39"/>
        <v>Date check - OK</v>
      </c>
      <c r="G810" s="68"/>
      <c r="H810" s="162" t="s">
        <v>280</v>
      </c>
      <c r="I810" s="173">
        <v>21853.086195380012</v>
      </c>
      <c r="J810" s="168">
        <f>IFERROR(MIN('MP Calculations'!$E$30/I810,1),"-")</f>
        <v>0.32927792945511891</v>
      </c>
      <c r="K810" s="12"/>
      <c r="L810" s="159">
        <v>11.932074999999999</v>
      </c>
      <c r="M810" s="187" t="s">
        <v>293</v>
      </c>
      <c r="N810" s="187">
        <v>192.78728599999999</v>
      </c>
      <c r="O810" s="186">
        <f t="shared" si="40"/>
        <v>2300.3523555984498</v>
      </c>
      <c r="P810" s="186">
        <f t="shared" si="41"/>
        <v>757.45526066866296</v>
      </c>
      <c r="Q810" s="215">
        <f>IF(P810="-",0,P810/(1+'General inputs'!$H$30)^'MP Calculations'!$C$40)</f>
        <v>1682.5270427345772</v>
      </c>
    </row>
    <row r="811" spans="3:17">
      <c r="C811" s="159"/>
      <c r="D811" s="165" t="s">
        <v>283</v>
      </c>
      <c r="E811" s="162">
        <v>31778</v>
      </c>
      <c r="F811" s="166" t="str">
        <f t="shared" si="39"/>
        <v>Date check - OK</v>
      </c>
      <c r="G811" s="68"/>
      <c r="H811" s="162" t="s">
        <v>280</v>
      </c>
      <c r="I811" s="173">
        <v>21853.086195380012</v>
      </c>
      <c r="J811" s="168">
        <f>IFERROR(MIN('MP Calculations'!$E$30/I811,1),"-")</f>
        <v>0.32927792945511891</v>
      </c>
      <c r="K811" s="12"/>
      <c r="L811" s="159">
        <v>19.721395999999999</v>
      </c>
      <c r="M811" s="187" t="s">
        <v>293</v>
      </c>
      <c r="N811" s="187">
        <v>192.78728599999999</v>
      </c>
      <c r="O811" s="186">
        <f t="shared" si="40"/>
        <v>3802.0344109712555</v>
      </c>
      <c r="P811" s="186">
        <f t="shared" si="41"/>
        <v>1251.9260185617277</v>
      </c>
      <c r="Q811" s="215">
        <f>IF(P811="-",0,P811/(1+'General inputs'!$H$30)^'MP Calculations'!$C$40)</f>
        <v>2780.889500818384</v>
      </c>
    </row>
    <row r="812" spans="3:17">
      <c r="C812" s="159"/>
      <c r="D812" s="165" t="s">
        <v>283</v>
      </c>
      <c r="E812" s="162">
        <v>31778</v>
      </c>
      <c r="F812" s="166" t="str">
        <f t="shared" si="39"/>
        <v>Date check - OK</v>
      </c>
      <c r="G812" s="68"/>
      <c r="H812" s="162" t="s">
        <v>280</v>
      </c>
      <c r="I812" s="173">
        <v>21853.086195380012</v>
      </c>
      <c r="J812" s="168">
        <f>IFERROR(MIN('MP Calculations'!$E$30/I812,1),"-")</f>
        <v>0.32927792945511891</v>
      </c>
      <c r="K812" s="12"/>
      <c r="L812" s="159">
        <v>16.493929000000001</v>
      </c>
      <c r="M812" s="187" t="s">
        <v>293</v>
      </c>
      <c r="N812" s="187">
        <v>192.78728599999999</v>
      </c>
      <c r="O812" s="186">
        <f t="shared" si="40"/>
        <v>3179.8198073866943</v>
      </c>
      <c r="P812" s="186">
        <f t="shared" si="41"/>
        <v>1047.0444822166658</v>
      </c>
      <c r="Q812" s="215">
        <f>IF(P812="-",0,P812/(1+'General inputs'!$H$30)^'MP Calculations'!$C$40)</f>
        <v>2325.7883966907757</v>
      </c>
    </row>
    <row r="813" spans="3:17">
      <c r="C813" s="159"/>
      <c r="D813" s="165" t="s">
        <v>283</v>
      </c>
      <c r="E813" s="162">
        <v>31778</v>
      </c>
      <c r="F813" s="166" t="str">
        <f t="shared" si="39"/>
        <v>Date check - OK</v>
      </c>
      <c r="G813" s="68"/>
      <c r="H813" s="162" t="s">
        <v>280</v>
      </c>
      <c r="I813" s="173">
        <v>21853.086195380012</v>
      </c>
      <c r="J813" s="168">
        <f>IFERROR(MIN('MP Calculations'!$E$30/I813,1),"-")</f>
        <v>0.32927792945511891</v>
      </c>
      <c r="K813" s="12"/>
      <c r="L813" s="159">
        <v>2.098849</v>
      </c>
      <c r="M813" s="187" t="s">
        <v>293</v>
      </c>
      <c r="N813" s="187">
        <v>192.78728599999999</v>
      </c>
      <c r="O813" s="186">
        <f t="shared" si="40"/>
        <v>404.631402433814</v>
      </c>
      <c r="P813" s="186">
        <f t="shared" si="41"/>
        <v>133.23619038592724</v>
      </c>
      <c r="Q813" s="215">
        <f>IF(P813="-",0,P813/(1+'General inputs'!$H$30)^'MP Calculations'!$C$40)</f>
        <v>295.95608484831223</v>
      </c>
    </row>
    <row r="814" spans="3:17">
      <c r="C814" s="159"/>
      <c r="D814" s="165" t="s">
        <v>282</v>
      </c>
      <c r="E814" s="162">
        <v>31778</v>
      </c>
      <c r="F814" s="166" t="str">
        <f t="shared" si="39"/>
        <v>Date check - OK</v>
      </c>
      <c r="G814" s="68"/>
      <c r="H814" s="162" t="s">
        <v>280</v>
      </c>
      <c r="I814" s="173">
        <v>21853.086195380012</v>
      </c>
      <c r="J814" s="168">
        <f>IFERROR(MIN('MP Calculations'!$E$30/I814,1),"-")</f>
        <v>0.32927792945511891</v>
      </c>
      <c r="K814" s="12"/>
      <c r="L814" s="159">
        <v>0.50607999999999997</v>
      </c>
      <c r="M814" s="187" t="s">
        <v>293</v>
      </c>
      <c r="N814" s="187">
        <v>237.97403299999999</v>
      </c>
      <c r="O814" s="186">
        <f t="shared" si="40"/>
        <v>120.43389862063999</v>
      </c>
      <c r="P814" s="186">
        <f t="shared" si="41"/>
        <v>39.656224774012038</v>
      </c>
      <c r="Q814" s="215">
        <f>IF(P814="-",0,P814/(1+'General inputs'!$H$30)^'MP Calculations'!$C$40)</f>
        <v>88.08793609293177</v>
      </c>
    </row>
    <row r="815" spans="3:17">
      <c r="C815" s="159"/>
      <c r="D815" s="165" t="s">
        <v>282</v>
      </c>
      <c r="E815" s="162">
        <v>31778</v>
      </c>
      <c r="F815" s="166" t="str">
        <f t="shared" si="39"/>
        <v>Date check - OK</v>
      </c>
      <c r="G815" s="68"/>
      <c r="H815" s="162" t="s">
        <v>280</v>
      </c>
      <c r="I815" s="173">
        <v>21853.086195380012</v>
      </c>
      <c r="J815" s="168">
        <f>IFERROR(MIN('MP Calculations'!$E$30/I815,1),"-")</f>
        <v>0.32927792945511891</v>
      </c>
      <c r="K815" s="12"/>
      <c r="L815" s="159">
        <v>0.45508900000000002</v>
      </c>
      <c r="M815" s="187" t="s">
        <v>293</v>
      </c>
      <c r="N815" s="187">
        <v>237.97403299999999</v>
      </c>
      <c r="O815" s="186">
        <f t="shared" si="40"/>
        <v>108.299364703937</v>
      </c>
      <c r="P815" s="186">
        <f t="shared" si="41"/>
        <v>35.66059057101716</v>
      </c>
      <c r="Q815" s="215">
        <f>IF(P815="-",0,P815/(1+'General inputs'!$H$30)^'MP Calculations'!$C$40)</f>
        <v>79.21247776753917</v>
      </c>
    </row>
    <row r="816" spans="3:17">
      <c r="C816" s="159"/>
      <c r="D816" s="165" t="s">
        <v>282</v>
      </c>
      <c r="E816" s="162">
        <v>31778</v>
      </c>
      <c r="F816" s="166" t="str">
        <f t="shared" si="39"/>
        <v>Date check - OK</v>
      </c>
      <c r="G816" s="68"/>
      <c r="H816" s="162" t="s">
        <v>280</v>
      </c>
      <c r="I816" s="173">
        <v>21853.086195380012</v>
      </c>
      <c r="J816" s="168">
        <f>IFERROR(MIN('MP Calculations'!$E$30/I816,1),"-")</f>
        <v>0.32927792945511891</v>
      </c>
      <c r="K816" s="12"/>
      <c r="L816" s="159">
        <v>2.2930760000000001</v>
      </c>
      <c r="M816" s="187" t="s">
        <v>293</v>
      </c>
      <c r="N816" s="187">
        <v>237.97403299999999</v>
      </c>
      <c r="O816" s="186">
        <f t="shared" si="40"/>
        <v>545.69254369550799</v>
      </c>
      <c r="P816" s="186">
        <f t="shared" si="41"/>
        <v>179.68451090715388</v>
      </c>
      <c r="Q816" s="215">
        <f>IF(P816="-",0,P816/(1+'General inputs'!$H$30)^'MP Calculations'!$C$40)</f>
        <v>399.13122854931163</v>
      </c>
    </row>
    <row r="817" spans="3:17">
      <c r="C817" s="159"/>
      <c r="D817" s="165" t="s">
        <v>283</v>
      </c>
      <c r="E817" s="162">
        <v>31778</v>
      </c>
      <c r="F817" s="166" t="str">
        <f t="shared" si="39"/>
        <v>Date check - OK</v>
      </c>
      <c r="G817" s="68"/>
      <c r="H817" s="162" t="s">
        <v>280</v>
      </c>
      <c r="I817" s="173">
        <v>21853.086195380012</v>
      </c>
      <c r="J817" s="168">
        <f>IFERROR(MIN('MP Calculations'!$E$30/I817,1),"-")</f>
        <v>0.32927792945511891</v>
      </c>
      <c r="K817" s="12"/>
      <c r="L817" s="159">
        <v>43.495793999999997</v>
      </c>
      <c r="M817" s="187" t="s">
        <v>293</v>
      </c>
      <c r="N817" s="187">
        <v>192.78728599999999</v>
      </c>
      <c r="O817" s="186">
        <f t="shared" si="40"/>
        <v>8385.4360776750837</v>
      </c>
      <c r="P817" s="186">
        <f t="shared" si="41"/>
        <v>2761.1390292351052</v>
      </c>
      <c r="Q817" s="215">
        <f>IF(P817="-",0,P817/(1+'General inputs'!$H$30)^'MP Calculations'!$C$40)</f>
        <v>6133.2877684905916</v>
      </c>
    </row>
    <row r="818" spans="3:17">
      <c r="C818" s="159"/>
      <c r="D818" s="165" t="s">
        <v>283</v>
      </c>
      <c r="E818" s="162">
        <v>31778</v>
      </c>
      <c r="F818" s="166" t="str">
        <f t="shared" si="39"/>
        <v>Date check - OK</v>
      </c>
      <c r="G818" s="68"/>
      <c r="H818" s="162" t="s">
        <v>280</v>
      </c>
      <c r="I818" s="173">
        <v>21853.086195380012</v>
      </c>
      <c r="J818" s="168">
        <f>IFERROR(MIN('MP Calculations'!$E$30/I818,1),"-")</f>
        <v>0.32927792945511891</v>
      </c>
      <c r="K818" s="12"/>
      <c r="L818" s="159">
        <v>1.430712</v>
      </c>
      <c r="M818" s="187" t="s">
        <v>293</v>
      </c>
      <c r="N818" s="187">
        <v>192.78728599999999</v>
      </c>
      <c r="O818" s="186">
        <f t="shared" si="40"/>
        <v>275.82308352763198</v>
      </c>
      <c r="P818" s="186">
        <f t="shared" si="41"/>
        <v>90.822453839904981</v>
      </c>
      <c r="Q818" s="215">
        <f>IF(P818="-",0,P818/(1+'General inputs'!$H$30)^'MP Calculations'!$C$40)</f>
        <v>201.7429181734839</v>
      </c>
    </row>
    <row r="819" spans="3:17">
      <c r="C819" s="159"/>
      <c r="D819" s="165" t="s">
        <v>282</v>
      </c>
      <c r="E819" s="162">
        <v>31778</v>
      </c>
      <c r="F819" s="166" t="str">
        <f t="shared" si="39"/>
        <v>Date check - OK</v>
      </c>
      <c r="G819" s="68"/>
      <c r="H819" s="162" t="s">
        <v>280</v>
      </c>
      <c r="I819" s="173">
        <v>21853.086195380012</v>
      </c>
      <c r="J819" s="168">
        <f>IFERROR(MIN('MP Calculations'!$E$30/I819,1),"-")</f>
        <v>0.32927792945511891</v>
      </c>
      <c r="K819" s="12"/>
      <c r="L819" s="159">
        <v>0.56717300000000004</v>
      </c>
      <c r="M819" s="187" t="s">
        <v>293</v>
      </c>
      <c r="N819" s="187">
        <v>237.97403299999999</v>
      </c>
      <c r="O819" s="186">
        <f t="shared" si="40"/>
        <v>134.972446218709</v>
      </c>
      <c r="P819" s="186">
        <f t="shared" si="41"/>
        <v>44.443447624388895</v>
      </c>
      <c r="Q819" s="215">
        <f>IF(P819="-",0,P819/(1+'General inputs'!$H$30)^'MP Calculations'!$C$40)</f>
        <v>98.721741577688107</v>
      </c>
    </row>
    <row r="820" spans="3:17">
      <c r="C820" s="159"/>
      <c r="D820" s="165" t="s">
        <v>283</v>
      </c>
      <c r="E820" s="162">
        <v>31778</v>
      </c>
      <c r="F820" s="166" t="str">
        <f t="shared" si="39"/>
        <v>Date check - OK</v>
      </c>
      <c r="G820" s="68"/>
      <c r="H820" s="162" t="s">
        <v>280</v>
      </c>
      <c r="I820" s="173">
        <v>21853.086195380012</v>
      </c>
      <c r="J820" s="168">
        <f>IFERROR(MIN('MP Calculations'!$E$30/I820,1),"-")</f>
        <v>0.32927792945511891</v>
      </c>
      <c r="K820" s="12"/>
      <c r="L820" s="159">
        <v>1.7893289999999999</v>
      </c>
      <c r="M820" s="187" t="s">
        <v>293</v>
      </c>
      <c r="N820" s="187">
        <v>192.78728599999999</v>
      </c>
      <c r="O820" s="186">
        <f t="shared" si="40"/>
        <v>344.95988167109397</v>
      </c>
      <c r="P820" s="186">
        <f t="shared" si="41"/>
        <v>113.58767558174064</v>
      </c>
      <c r="Q820" s="215">
        <f>IF(P820="-",0,P820/(1+'General inputs'!$H$30)^'MP Calculations'!$C$40)</f>
        <v>252.31105493799009</v>
      </c>
    </row>
    <row r="821" spans="3:17">
      <c r="C821" s="159"/>
      <c r="D821" s="165" t="s">
        <v>282</v>
      </c>
      <c r="E821" s="162">
        <v>31778</v>
      </c>
      <c r="F821" s="166" t="str">
        <f t="shared" si="39"/>
        <v>Date check - OK</v>
      </c>
      <c r="G821" s="68"/>
      <c r="H821" s="162" t="s">
        <v>280</v>
      </c>
      <c r="I821" s="173">
        <v>21853.086195380012</v>
      </c>
      <c r="J821" s="168">
        <f>IFERROR(MIN('MP Calculations'!$E$30/I821,1),"-")</f>
        <v>0.32927792945511891</v>
      </c>
      <c r="K821" s="12"/>
      <c r="L821" s="159">
        <v>1.376036</v>
      </c>
      <c r="M821" s="187" t="s">
        <v>293</v>
      </c>
      <c r="N821" s="187">
        <v>237.97403299999999</v>
      </c>
      <c r="O821" s="186">
        <f t="shared" si="40"/>
        <v>327.46083647318801</v>
      </c>
      <c r="P821" s="186">
        <f t="shared" si="41"/>
        <v>107.82562621153264</v>
      </c>
      <c r="Q821" s="215">
        <f>IF(P821="-",0,P821/(1+'General inputs'!$H$30)^'MP Calculations'!$C$40)</f>
        <v>239.51187802239463</v>
      </c>
    </row>
    <row r="822" spans="3:17">
      <c r="C822" s="159"/>
      <c r="D822" s="165" t="s">
        <v>283</v>
      </c>
      <c r="E822" s="162">
        <v>31778</v>
      </c>
      <c r="F822" s="166" t="str">
        <f t="shared" si="39"/>
        <v>Date check - OK</v>
      </c>
      <c r="G822" s="68"/>
      <c r="H822" s="162" t="s">
        <v>280</v>
      </c>
      <c r="I822" s="173">
        <v>21853.086195380012</v>
      </c>
      <c r="J822" s="168">
        <f>IFERROR(MIN('MP Calculations'!$E$30/I822,1),"-")</f>
        <v>0.32927792945511891</v>
      </c>
      <c r="K822" s="12"/>
      <c r="L822" s="159">
        <v>2.10738</v>
      </c>
      <c r="M822" s="187" t="s">
        <v>293</v>
      </c>
      <c r="N822" s="187">
        <v>192.78728599999999</v>
      </c>
      <c r="O822" s="186">
        <f t="shared" si="40"/>
        <v>406.27607077068001</v>
      </c>
      <c r="P822" s="186">
        <f t="shared" si="41"/>
        <v>133.77774337053086</v>
      </c>
      <c r="Q822" s="215">
        <f>IF(P822="-",0,P822/(1+'General inputs'!$H$30)^'MP Calculations'!$C$40)</f>
        <v>297.15903053894596</v>
      </c>
    </row>
    <row r="823" spans="3:17">
      <c r="C823" s="159"/>
      <c r="D823" s="165" t="s">
        <v>282</v>
      </c>
      <c r="E823" s="162">
        <v>31778</v>
      </c>
      <c r="F823" s="166" t="str">
        <f t="shared" si="39"/>
        <v>Date check - OK</v>
      </c>
      <c r="G823" s="68"/>
      <c r="H823" s="162" t="s">
        <v>280</v>
      </c>
      <c r="I823" s="173">
        <v>21853.086195380012</v>
      </c>
      <c r="J823" s="168">
        <f>IFERROR(MIN('MP Calculations'!$E$30/I823,1),"-")</f>
        <v>0.32927792945511891</v>
      </c>
      <c r="K823" s="12"/>
      <c r="L823" s="159">
        <v>38.994492000000001</v>
      </c>
      <c r="M823" s="187" t="s">
        <v>293</v>
      </c>
      <c r="N823" s="187">
        <v>237.97403299999999</v>
      </c>
      <c r="O823" s="186">
        <f t="shared" si="40"/>
        <v>9279.6765260262364</v>
      </c>
      <c r="P823" s="186">
        <f t="shared" si="41"/>
        <v>3055.59267250319</v>
      </c>
      <c r="Q823" s="215">
        <f>IF(P823="-",0,P823/(1+'General inputs'!$H$30)^'MP Calculations'!$C$40)</f>
        <v>6787.3544089320649</v>
      </c>
    </row>
    <row r="824" spans="3:17">
      <c r="C824" s="159"/>
      <c r="D824" s="165" t="s">
        <v>282</v>
      </c>
      <c r="E824" s="162">
        <v>31778</v>
      </c>
      <c r="F824" s="166" t="str">
        <f t="shared" si="39"/>
        <v>Date check - OK</v>
      </c>
      <c r="G824" s="68"/>
      <c r="H824" s="162" t="s">
        <v>280</v>
      </c>
      <c r="I824" s="173">
        <v>21853.086195380012</v>
      </c>
      <c r="J824" s="168">
        <f>IFERROR(MIN('MP Calculations'!$E$30/I824,1),"-")</f>
        <v>0.32927792945511891</v>
      </c>
      <c r="K824" s="12"/>
      <c r="L824" s="159">
        <v>1.4292069999999999</v>
      </c>
      <c r="M824" s="187" t="s">
        <v>293</v>
      </c>
      <c r="N824" s="187">
        <v>237.97403299999999</v>
      </c>
      <c r="O824" s="186">
        <f t="shared" si="40"/>
        <v>340.11415378183096</v>
      </c>
      <c r="P824" s="186">
        <f t="shared" si="41"/>
        <v>111.9920843356612</v>
      </c>
      <c r="Q824" s="215">
        <f>IF(P824="-",0,P824/(1+'General inputs'!$H$30)^'MP Calculations'!$C$40)</f>
        <v>248.76678564568988</v>
      </c>
    </row>
    <row r="825" spans="3:17">
      <c r="C825" s="159"/>
      <c r="D825" s="165" t="s">
        <v>282</v>
      </c>
      <c r="E825" s="162">
        <v>31778</v>
      </c>
      <c r="F825" s="166" t="str">
        <f t="shared" si="39"/>
        <v>Date check - OK</v>
      </c>
      <c r="G825" s="68"/>
      <c r="H825" s="162" t="s">
        <v>280</v>
      </c>
      <c r="I825" s="173">
        <v>21853.086195380012</v>
      </c>
      <c r="J825" s="168">
        <f>IFERROR(MIN('MP Calculations'!$E$30/I825,1),"-")</f>
        <v>0.32927792945511891</v>
      </c>
      <c r="K825" s="12"/>
      <c r="L825" s="159">
        <v>1.3875230000000001</v>
      </c>
      <c r="M825" s="187" t="s">
        <v>293</v>
      </c>
      <c r="N825" s="187">
        <v>237.97403299999999</v>
      </c>
      <c r="O825" s="186">
        <f t="shared" si="40"/>
        <v>330.19444419025899</v>
      </c>
      <c r="P825" s="186">
        <f t="shared" si="41"/>
        <v>108.72574290055231</v>
      </c>
      <c r="Q825" s="215">
        <f>IF(P825="-",0,P825/(1+'General inputs'!$H$30)^'MP Calculations'!$C$40)</f>
        <v>241.51129732744423</v>
      </c>
    </row>
    <row r="826" spans="3:17">
      <c r="C826" s="159"/>
      <c r="D826" s="165" t="s">
        <v>282</v>
      </c>
      <c r="E826" s="162">
        <v>31778</v>
      </c>
      <c r="F826" s="166" t="str">
        <f t="shared" si="39"/>
        <v>Date check - OK</v>
      </c>
      <c r="G826" s="68"/>
      <c r="H826" s="162" t="s">
        <v>280</v>
      </c>
      <c r="I826" s="173">
        <v>21853.086195380012</v>
      </c>
      <c r="J826" s="168">
        <f>IFERROR(MIN('MP Calculations'!$E$30/I826,1),"-")</f>
        <v>0.32927792945511891</v>
      </c>
      <c r="K826" s="12"/>
      <c r="L826" s="159">
        <v>0.49508200000000002</v>
      </c>
      <c r="M826" s="187" t="s">
        <v>293</v>
      </c>
      <c r="N826" s="187">
        <v>237.97403299999999</v>
      </c>
      <c r="O826" s="186">
        <f t="shared" si="40"/>
        <v>117.816660205706</v>
      </c>
      <c r="P826" s="186">
        <f t="shared" si="41"/>
        <v>38.794425927852174</v>
      </c>
      <c r="Q826" s="215">
        <f>IF(P826="-",0,P826/(1+'General inputs'!$H$30)^'MP Calculations'!$C$40)</f>
        <v>86.173631790943816</v>
      </c>
    </row>
    <row r="827" spans="3:17">
      <c r="C827" s="159"/>
      <c r="D827" s="165" t="s">
        <v>283</v>
      </c>
      <c r="E827" s="162">
        <v>31778</v>
      </c>
      <c r="F827" s="166" t="str">
        <f t="shared" si="39"/>
        <v>Date check - OK</v>
      </c>
      <c r="G827" s="68"/>
      <c r="H827" s="162" t="s">
        <v>280</v>
      </c>
      <c r="I827" s="173">
        <v>21853.086195380012</v>
      </c>
      <c r="J827" s="168">
        <f>IFERROR(MIN('MP Calculations'!$E$30/I827,1),"-")</f>
        <v>0.32927792945511891</v>
      </c>
      <c r="K827" s="12"/>
      <c r="L827" s="159">
        <v>10.912822999999999</v>
      </c>
      <c r="M827" s="187" t="s">
        <v>293</v>
      </c>
      <c r="N827" s="187">
        <v>192.78728599999999</v>
      </c>
      <c r="O827" s="186">
        <f t="shared" si="40"/>
        <v>2103.8535287683781</v>
      </c>
      <c r="P827" s="186">
        <f t="shared" si="41"/>
        <v>692.75253382969697</v>
      </c>
      <c r="Q827" s="215">
        <f>IF(P827="-",0,P827/(1+'General inputs'!$H$30)^'MP Calculations'!$C$40)</f>
        <v>1538.8035869767732</v>
      </c>
    </row>
    <row r="828" spans="3:17">
      <c r="C828" s="159"/>
      <c r="D828" s="165" t="s">
        <v>282</v>
      </c>
      <c r="E828" s="162">
        <v>31778</v>
      </c>
      <c r="F828" s="166" t="str">
        <f t="shared" si="39"/>
        <v>Date check - OK</v>
      </c>
      <c r="G828" s="68"/>
      <c r="H828" s="162" t="s">
        <v>280</v>
      </c>
      <c r="I828" s="173">
        <v>21853.086195380012</v>
      </c>
      <c r="J828" s="168">
        <f>IFERROR(MIN('MP Calculations'!$E$30/I828,1),"-")</f>
        <v>0.32927792945511891</v>
      </c>
      <c r="K828" s="12"/>
      <c r="L828" s="159">
        <v>24.361039000000002</v>
      </c>
      <c r="M828" s="187" t="s">
        <v>293</v>
      </c>
      <c r="N828" s="187">
        <v>237.97403299999999</v>
      </c>
      <c r="O828" s="186">
        <f t="shared" si="40"/>
        <v>5797.2946989002876</v>
      </c>
      <c r="P828" s="186">
        <f t="shared" si="41"/>
        <v>1908.9211948950237</v>
      </c>
      <c r="Q828" s="215">
        <f>IF(P828="-",0,P828/(1+'General inputs'!$H$30)^'MP Calculations'!$C$40)</f>
        <v>4240.2656627201604</v>
      </c>
    </row>
    <row r="829" spans="3:17">
      <c r="C829" s="159"/>
      <c r="D829" s="165" t="s">
        <v>282</v>
      </c>
      <c r="E829" s="162">
        <v>31778</v>
      </c>
      <c r="F829" s="166" t="str">
        <f t="shared" si="39"/>
        <v>Date check - OK</v>
      </c>
      <c r="G829" s="68"/>
      <c r="H829" s="162" t="s">
        <v>280</v>
      </c>
      <c r="I829" s="173">
        <v>21853.086195380012</v>
      </c>
      <c r="J829" s="168">
        <f>IFERROR(MIN('MP Calculations'!$E$30/I829,1),"-")</f>
        <v>0.32927792945511891</v>
      </c>
      <c r="K829" s="12"/>
      <c r="L829" s="159">
        <v>1.144323</v>
      </c>
      <c r="M829" s="187" t="s">
        <v>293</v>
      </c>
      <c r="N829" s="187">
        <v>237.97403299999999</v>
      </c>
      <c r="O829" s="186">
        <f t="shared" si="40"/>
        <v>272.31915936465896</v>
      </c>
      <c r="P829" s="186">
        <f t="shared" si="41"/>
        <v>89.668688946553459</v>
      </c>
      <c r="Q829" s="215">
        <f>IF(P829="-",0,P829/(1+'General inputs'!$H$30)^'MP Calculations'!$C$40)</f>
        <v>199.18007290086933</v>
      </c>
    </row>
    <row r="830" spans="3:17">
      <c r="C830" s="159"/>
      <c r="D830" s="165" t="s">
        <v>282</v>
      </c>
      <c r="E830" s="162">
        <v>31778</v>
      </c>
      <c r="F830" s="166" t="str">
        <f t="shared" si="39"/>
        <v>Date check - OK</v>
      </c>
      <c r="G830" s="68"/>
      <c r="H830" s="162" t="s">
        <v>280</v>
      </c>
      <c r="I830" s="173">
        <v>21853.086195380012</v>
      </c>
      <c r="J830" s="168">
        <f>IFERROR(MIN('MP Calculations'!$E$30/I830,1),"-")</f>
        <v>0.32927792945511891</v>
      </c>
      <c r="K830" s="12"/>
      <c r="L830" s="159">
        <v>39.747214999999997</v>
      </c>
      <c r="M830" s="187" t="s">
        <v>293</v>
      </c>
      <c r="N830" s="187">
        <v>237.97403299999999</v>
      </c>
      <c r="O830" s="186">
        <f t="shared" si="40"/>
        <v>9458.8050540680943</v>
      </c>
      <c r="P830" s="186">
        <f t="shared" si="41"/>
        <v>3114.5757433231561</v>
      </c>
      <c r="Q830" s="215">
        <f>IF(P830="-",0,P830/(1+'General inputs'!$H$30)^'MP Calculations'!$C$40)</f>
        <v>6918.3728556592214</v>
      </c>
    </row>
    <row r="831" spans="3:17">
      <c r="C831" s="159"/>
      <c r="D831" s="165" t="s">
        <v>282</v>
      </c>
      <c r="E831" s="162">
        <v>31778</v>
      </c>
      <c r="F831" s="166" t="str">
        <f t="shared" si="39"/>
        <v>Date check - OK</v>
      </c>
      <c r="G831" s="68"/>
      <c r="H831" s="162" t="s">
        <v>280</v>
      </c>
      <c r="I831" s="173">
        <v>21853.086195380012</v>
      </c>
      <c r="J831" s="168">
        <f>IFERROR(MIN('MP Calculations'!$E$30/I831,1),"-")</f>
        <v>0.32927792945511891</v>
      </c>
      <c r="K831" s="12"/>
      <c r="L831" s="159">
        <v>1.039919</v>
      </c>
      <c r="M831" s="187" t="s">
        <v>293</v>
      </c>
      <c r="N831" s="187">
        <v>237.97403299999999</v>
      </c>
      <c r="O831" s="186">
        <f t="shared" si="40"/>
        <v>247.473718423327</v>
      </c>
      <c r="P831" s="186">
        <f t="shared" si="41"/>
        <v>81.487633596992225</v>
      </c>
      <c r="Q831" s="215">
        <f>IF(P831="-",0,P831/(1+'General inputs'!$H$30)^'MP Calculations'!$C$40)</f>
        <v>181.00758459892805</v>
      </c>
    </row>
    <row r="832" spans="3:17">
      <c r="C832" s="159"/>
      <c r="D832" s="165" t="s">
        <v>282</v>
      </c>
      <c r="E832" s="162">
        <v>31778</v>
      </c>
      <c r="F832" s="166" t="str">
        <f t="shared" si="39"/>
        <v>Date check - OK</v>
      </c>
      <c r="G832" s="68"/>
      <c r="H832" s="162" t="s">
        <v>280</v>
      </c>
      <c r="I832" s="173">
        <v>21853.086195380012</v>
      </c>
      <c r="J832" s="168">
        <f>IFERROR(MIN('MP Calculations'!$E$30/I832,1),"-")</f>
        <v>0.32927792945511891</v>
      </c>
      <c r="K832" s="12"/>
      <c r="L832" s="159">
        <v>1.1168439999999999</v>
      </c>
      <c r="M832" s="187" t="s">
        <v>293</v>
      </c>
      <c r="N832" s="187">
        <v>237.97403299999999</v>
      </c>
      <c r="O832" s="186">
        <f t="shared" si="40"/>
        <v>265.77987091185196</v>
      </c>
      <c r="P832" s="186">
        <f t="shared" si="41"/>
        <v>87.5154455847034</v>
      </c>
      <c r="Q832" s="215">
        <f>IF(P832="-",0,P832/(1+'General inputs'!$H$30)^'MP Calculations'!$C$40)</f>
        <v>194.39709709487488</v>
      </c>
    </row>
    <row r="833" spans="3:17">
      <c r="C833" s="159"/>
      <c r="D833" s="165" t="s">
        <v>283</v>
      </c>
      <c r="E833" s="162">
        <v>31778</v>
      </c>
      <c r="F833" s="166" t="str">
        <f t="shared" si="39"/>
        <v>Date check - OK</v>
      </c>
      <c r="G833" s="68"/>
      <c r="H833" s="162" t="s">
        <v>280</v>
      </c>
      <c r="I833" s="173">
        <v>21853.086195380012</v>
      </c>
      <c r="J833" s="168">
        <f>IFERROR(MIN('MP Calculations'!$E$30/I833,1),"-")</f>
        <v>0.32927792945511891</v>
      </c>
      <c r="K833" s="12"/>
      <c r="L833" s="159">
        <v>33.458303000000001</v>
      </c>
      <c r="M833" s="187" t="s">
        <v>293</v>
      </c>
      <c r="N833" s="187">
        <v>192.78728599999999</v>
      </c>
      <c r="O833" s="186">
        <f t="shared" si="40"/>
        <v>6450.3354295356576</v>
      </c>
      <c r="P833" s="186">
        <f t="shared" si="41"/>
        <v>2123.9530945284964</v>
      </c>
      <c r="Q833" s="215">
        <f>IF(P833="-",0,P833/(1+'General inputs'!$H$30)^'MP Calculations'!$C$40)</f>
        <v>4717.9136572228581</v>
      </c>
    </row>
    <row r="834" spans="3:17">
      <c r="C834" s="159"/>
      <c r="D834" s="165" t="s">
        <v>283</v>
      </c>
      <c r="E834" s="162">
        <v>31778</v>
      </c>
      <c r="F834" s="166" t="str">
        <f t="shared" si="39"/>
        <v>Date check - OK</v>
      </c>
      <c r="G834" s="68"/>
      <c r="H834" s="162" t="s">
        <v>280</v>
      </c>
      <c r="I834" s="173">
        <v>21853.086195380012</v>
      </c>
      <c r="J834" s="168">
        <f>IFERROR(MIN('MP Calculations'!$E$30/I834,1),"-")</f>
        <v>0.32927792945511891</v>
      </c>
      <c r="K834" s="12"/>
      <c r="L834" s="159">
        <v>58.505913999999997</v>
      </c>
      <c r="M834" s="187" t="s">
        <v>293</v>
      </c>
      <c r="N834" s="187">
        <v>192.78728599999999</v>
      </c>
      <c r="O834" s="186">
        <f t="shared" si="40"/>
        <v>11279.196375009404</v>
      </c>
      <c r="P834" s="186">
        <f t="shared" si="41"/>
        <v>3713.9904282807793</v>
      </c>
      <c r="Q834" s="215">
        <f>IF(P834="-",0,P834/(1+'General inputs'!$H$30)^'MP Calculations'!$C$40)</f>
        <v>8249.8461051328886</v>
      </c>
    </row>
    <row r="835" spans="3:17">
      <c r="C835" s="159"/>
      <c r="D835" s="165" t="s">
        <v>283</v>
      </c>
      <c r="E835" s="162">
        <v>31778</v>
      </c>
      <c r="F835" s="166" t="str">
        <f t="shared" si="39"/>
        <v>Date check - OK</v>
      </c>
      <c r="G835" s="68"/>
      <c r="H835" s="162" t="s">
        <v>280</v>
      </c>
      <c r="I835" s="173">
        <v>21853.086195380012</v>
      </c>
      <c r="J835" s="168">
        <f>IFERROR(MIN('MP Calculations'!$E$30/I835,1),"-")</f>
        <v>0.32927792945511891</v>
      </c>
      <c r="K835" s="12"/>
      <c r="L835" s="159">
        <v>4.2813780000000001</v>
      </c>
      <c r="M835" s="187" t="s">
        <v>293</v>
      </c>
      <c r="N835" s="187">
        <v>192.78728599999999</v>
      </c>
      <c r="O835" s="186">
        <f t="shared" si="40"/>
        <v>825.39524496010802</v>
      </c>
      <c r="P835" s="186">
        <f t="shared" si="41"/>
        <v>271.78443724256505</v>
      </c>
      <c r="Q835" s="215">
        <f>IF(P835="-",0,P835/(1+'General inputs'!$H$30)^'MP Calculations'!$C$40)</f>
        <v>603.71178233198168</v>
      </c>
    </row>
    <row r="836" spans="3:17">
      <c r="C836" s="159"/>
      <c r="D836" s="165" t="s">
        <v>283</v>
      </c>
      <c r="E836" s="162">
        <v>31778</v>
      </c>
      <c r="F836" s="166" t="str">
        <f t="shared" si="39"/>
        <v>Date check - OK</v>
      </c>
      <c r="G836" s="68"/>
      <c r="H836" s="162" t="s">
        <v>280</v>
      </c>
      <c r="I836" s="173">
        <v>21853.086195380012</v>
      </c>
      <c r="J836" s="168">
        <f>IFERROR(MIN('MP Calculations'!$E$30/I836,1),"-")</f>
        <v>0.32927792945511891</v>
      </c>
      <c r="K836" s="12"/>
      <c r="L836" s="159">
        <v>6.6033600000000003</v>
      </c>
      <c r="M836" s="187" t="s">
        <v>293</v>
      </c>
      <c r="N836" s="187">
        <v>192.78728599999999</v>
      </c>
      <c r="O836" s="186">
        <f t="shared" si="40"/>
        <v>1273.04385288096</v>
      </c>
      <c r="P836" s="186">
        <f t="shared" si="41"/>
        <v>419.1852439822095</v>
      </c>
      <c r="Q836" s="215">
        <f>IF(P836="-",0,P836/(1+'General inputs'!$H$30)^'MP Calculations'!$C$40)</f>
        <v>931.13157375492517</v>
      </c>
    </row>
    <row r="837" spans="3:17">
      <c r="C837" s="159"/>
      <c r="D837" s="165" t="s">
        <v>282</v>
      </c>
      <c r="E837" s="162">
        <v>31778</v>
      </c>
      <c r="F837" s="166" t="str">
        <f t="shared" si="39"/>
        <v>Date check - OK</v>
      </c>
      <c r="G837" s="68"/>
      <c r="H837" s="162" t="s">
        <v>280</v>
      </c>
      <c r="I837" s="173">
        <v>21853.086195380012</v>
      </c>
      <c r="J837" s="168">
        <f>IFERROR(MIN('MP Calculations'!$E$30/I837,1),"-")</f>
        <v>0.32927792945511891</v>
      </c>
      <c r="K837" s="12"/>
      <c r="L837" s="159">
        <v>1.5431870000000001</v>
      </c>
      <c r="M837" s="187" t="s">
        <v>293</v>
      </c>
      <c r="N837" s="187">
        <v>237.97403299999999</v>
      </c>
      <c r="O837" s="186">
        <f t="shared" si="40"/>
        <v>367.23843406317098</v>
      </c>
      <c r="P837" s="186">
        <f t="shared" si="41"/>
        <v>120.92351118466115</v>
      </c>
      <c r="Q837" s="215">
        <f>IF(P837="-",0,P837/(1+'General inputs'!$H$30)^'MP Calculations'!$C$40)</f>
        <v>268.60606590942757</v>
      </c>
    </row>
    <row r="838" spans="3:17">
      <c r="C838" s="159"/>
      <c r="D838" s="165" t="s">
        <v>282</v>
      </c>
      <c r="E838" s="162">
        <v>31778</v>
      </c>
      <c r="F838" s="166" t="str">
        <f t="shared" si="39"/>
        <v>Date check - OK</v>
      </c>
      <c r="G838" s="68"/>
      <c r="H838" s="162" t="s">
        <v>280</v>
      </c>
      <c r="I838" s="173">
        <v>21853.086195380012</v>
      </c>
      <c r="J838" s="168">
        <f>IFERROR(MIN('MP Calculations'!$E$30/I838,1),"-")</f>
        <v>0.32927792945511891</v>
      </c>
      <c r="K838" s="12"/>
      <c r="L838" s="159">
        <v>0.44225399999999998</v>
      </c>
      <c r="M838" s="187" t="s">
        <v>293</v>
      </c>
      <c r="N838" s="187">
        <v>237.97403299999999</v>
      </c>
      <c r="O838" s="186">
        <f t="shared" si="40"/>
        <v>105.24496799038199</v>
      </c>
      <c r="P838" s="186">
        <f t="shared" si="41"/>
        <v>34.654845145443254</v>
      </c>
      <c r="Q838" s="215">
        <f>IF(P838="-",0,P838/(1+'General inputs'!$H$30)^'MP Calculations'!$C$40)</f>
        <v>76.97842651130938</v>
      </c>
    </row>
    <row r="839" spans="3:17">
      <c r="C839" s="159"/>
      <c r="D839" s="165" t="s">
        <v>283</v>
      </c>
      <c r="E839" s="162">
        <v>31778</v>
      </c>
      <c r="F839" s="166" t="str">
        <f t="shared" si="39"/>
        <v>Date check - OK</v>
      </c>
      <c r="G839" s="68"/>
      <c r="H839" s="162" t="s">
        <v>280</v>
      </c>
      <c r="I839" s="173">
        <v>21853.086195380012</v>
      </c>
      <c r="J839" s="168">
        <f>IFERROR(MIN('MP Calculations'!$E$30/I839,1),"-")</f>
        <v>0.32927792945511891</v>
      </c>
      <c r="K839" s="12"/>
      <c r="L839" s="159">
        <v>7.5276120000000004</v>
      </c>
      <c r="M839" s="187" t="s">
        <v>293</v>
      </c>
      <c r="N839" s="187">
        <v>192.78728599999999</v>
      </c>
      <c r="O839" s="186">
        <f t="shared" si="40"/>
        <v>1451.227887541032</v>
      </c>
      <c r="P839" s="186">
        <f t="shared" si="41"/>
        <v>477.85731397703717</v>
      </c>
      <c r="Q839" s="215">
        <f>IF(P839="-",0,P839/(1+'General inputs'!$H$30)^'MP Calculations'!$C$40)</f>
        <v>1061.4591977684784</v>
      </c>
    </row>
    <row r="840" spans="3:17">
      <c r="C840" s="159"/>
      <c r="D840" s="165" t="s">
        <v>282</v>
      </c>
      <c r="E840" s="162">
        <v>31778</v>
      </c>
      <c r="F840" s="166" t="str">
        <f t="shared" si="39"/>
        <v>Date check - OK</v>
      </c>
      <c r="G840" s="68"/>
      <c r="H840" s="162" t="s">
        <v>280</v>
      </c>
      <c r="I840" s="173">
        <v>21853.086195380012</v>
      </c>
      <c r="J840" s="168">
        <f>IFERROR(MIN('MP Calculations'!$E$30/I840,1),"-")</f>
        <v>0.32927792945511891</v>
      </c>
      <c r="K840" s="12"/>
      <c r="L840" s="159">
        <v>0.44501200000000002</v>
      </c>
      <c r="M840" s="187" t="s">
        <v>293</v>
      </c>
      <c r="N840" s="187">
        <v>237.97403299999999</v>
      </c>
      <c r="O840" s="186">
        <f t="shared" si="40"/>
        <v>105.901300373396</v>
      </c>
      <c r="P840" s="186">
        <f t="shared" si="41"/>
        <v>34.870960913556445</v>
      </c>
      <c r="Q840" s="215">
        <f>IF(P840="-",0,P840/(1+'General inputs'!$H$30)^'MP Calculations'!$C$40)</f>
        <v>77.458482090949559</v>
      </c>
    </row>
    <row r="841" spans="3:17">
      <c r="C841" s="159"/>
      <c r="D841" s="165" t="s">
        <v>283</v>
      </c>
      <c r="E841" s="162">
        <v>31778</v>
      </c>
      <c r="F841" s="166" t="str">
        <f t="shared" si="39"/>
        <v>Date check - OK</v>
      </c>
      <c r="G841" s="68"/>
      <c r="H841" s="162" t="s">
        <v>280</v>
      </c>
      <c r="I841" s="173">
        <v>21853.086195380012</v>
      </c>
      <c r="J841" s="168">
        <f>IFERROR(MIN('MP Calculations'!$E$30/I841,1),"-")</f>
        <v>0.32927792945511891</v>
      </c>
      <c r="K841" s="12"/>
      <c r="L841" s="159">
        <v>11.900169</v>
      </c>
      <c r="M841" s="187" t="s">
        <v>293</v>
      </c>
      <c r="N841" s="187">
        <v>192.78728599999999</v>
      </c>
      <c r="O841" s="186">
        <f t="shared" si="40"/>
        <v>2294.2012844513338</v>
      </c>
      <c r="P841" s="186">
        <f t="shared" si="41"/>
        <v>755.42984869740951</v>
      </c>
      <c r="Q841" s="215">
        <f>IF(P841="-",0,P841/(1+'General inputs'!$H$30)^'MP Calculations'!$C$40)</f>
        <v>1678.0280173910819</v>
      </c>
    </row>
    <row r="842" spans="3:17">
      <c r="C842" s="159"/>
      <c r="D842" s="165" t="s">
        <v>282</v>
      </c>
      <c r="E842" s="162">
        <v>31778</v>
      </c>
      <c r="F842" s="166" t="str">
        <f t="shared" si="39"/>
        <v>Date check - OK</v>
      </c>
      <c r="G842" s="68"/>
      <c r="H842" s="162" t="s">
        <v>280</v>
      </c>
      <c r="I842" s="173">
        <v>21853.086195380012</v>
      </c>
      <c r="J842" s="168">
        <f>IFERROR(MIN('MP Calculations'!$E$30/I842,1),"-")</f>
        <v>0.32927792945511891</v>
      </c>
      <c r="K842" s="12"/>
      <c r="L842" s="159">
        <v>0.729518</v>
      </c>
      <c r="M842" s="187" t="s">
        <v>293</v>
      </c>
      <c r="N842" s="187">
        <v>237.97403299999999</v>
      </c>
      <c r="O842" s="186">
        <f t="shared" si="40"/>
        <v>173.60634060609399</v>
      </c>
      <c r="P842" s="186">
        <f t="shared" si="41"/>
        <v>57.164736375054765</v>
      </c>
      <c r="Q842" s="215">
        <f>IF(P842="-",0,P842/(1+'General inputs'!$H$30)^'MP Calculations'!$C$40)</f>
        <v>126.9794004162255</v>
      </c>
    </row>
    <row r="843" spans="3:17">
      <c r="C843" s="159"/>
      <c r="D843" s="165" t="s">
        <v>282</v>
      </c>
      <c r="E843" s="162">
        <v>31778</v>
      </c>
      <c r="F843" s="166" t="str">
        <f t="shared" si="39"/>
        <v>Date check - OK</v>
      </c>
      <c r="G843" s="68"/>
      <c r="H843" s="162" t="s">
        <v>280</v>
      </c>
      <c r="I843" s="173">
        <v>21853.086195380012</v>
      </c>
      <c r="J843" s="168">
        <f>IFERROR(MIN('MP Calculations'!$E$30/I843,1),"-")</f>
        <v>0.32927792945511891</v>
      </c>
      <c r="K843" s="12"/>
      <c r="L843" s="159">
        <v>50.396690999999997</v>
      </c>
      <c r="M843" s="187" t="s">
        <v>293</v>
      </c>
      <c r="N843" s="187">
        <v>237.97403299999999</v>
      </c>
      <c r="O843" s="186">
        <f t="shared" si="40"/>
        <v>11993.103807124802</v>
      </c>
      <c r="P843" s="186">
        <f t="shared" si="41"/>
        <v>3949.0643893503589</v>
      </c>
      <c r="Q843" s="215">
        <f>IF(P843="-",0,P843/(1+'General inputs'!$H$30)^'MP Calculations'!$C$40)</f>
        <v>8772.0133103525714</v>
      </c>
    </row>
    <row r="844" spans="3:17">
      <c r="C844" s="159"/>
      <c r="D844" s="165" t="s">
        <v>282</v>
      </c>
      <c r="E844" s="162">
        <v>31778</v>
      </c>
      <c r="F844" s="166" t="str">
        <f t="shared" si="39"/>
        <v>Date check - OK</v>
      </c>
      <c r="G844" s="68"/>
      <c r="H844" s="162" t="s">
        <v>280</v>
      </c>
      <c r="I844" s="173">
        <v>21853.086195380012</v>
      </c>
      <c r="J844" s="168">
        <f>IFERROR(MIN('MP Calculations'!$E$30/I844,1),"-")</f>
        <v>0.32927792945511891</v>
      </c>
      <c r="K844" s="12"/>
      <c r="L844" s="159">
        <v>31.403696</v>
      </c>
      <c r="M844" s="187" t="s">
        <v>293</v>
      </c>
      <c r="N844" s="187">
        <v>237.97403299999999</v>
      </c>
      <c r="O844" s="186">
        <f t="shared" si="40"/>
        <v>7473.2641882259677</v>
      </c>
      <c r="P844" s="186">
        <f t="shared" si="41"/>
        <v>2460.7809581701367</v>
      </c>
      <c r="Q844" s="215">
        <f>IF(P844="-",0,P844/(1+'General inputs'!$H$30)^'MP Calculations'!$C$40)</f>
        <v>5466.1056874997175</v>
      </c>
    </row>
    <row r="845" spans="3:17">
      <c r="C845" s="159"/>
      <c r="D845" s="165" t="s">
        <v>282</v>
      </c>
      <c r="E845" s="162">
        <v>31778</v>
      </c>
      <c r="F845" s="166" t="str">
        <f t="shared" si="39"/>
        <v>Date check - OK</v>
      </c>
      <c r="G845" s="68"/>
      <c r="H845" s="162" t="s">
        <v>280</v>
      </c>
      <c r="I845" s="173">
        <v>21853.086195380012</v>
      </c>
      <c r="J845" s="168">
        <f>IFERROR(MIN('MP Calculations'!$E$30/I845,1),"-")</f>
        <v>0.32927792945511891</v>
      </c>
      <c r="K845" s="12"/>
      <c r="L845" s="159">
        <v>13.015776000000001</v>
      </c>
      <c r="M845" s="187" t="s">
        <v>293</v>
      </c>
      <c r="N845" s="187">
        <v>237.97403299999999</v>
      </c>
      <c r="O845" s="186">
        <f t="shared" si="40"/>
        <v>3097.4167073446079</v>
      </c>
      <c r="P845" s="186">
        <f t="shared" si="41"/>
        <v>1019.9109600541245</v>
      </c>
      <c r="Q845" s="215">
        <f>IF(P845="-",0,P845/(1+'General inputs'!$H$30)^'MP Calculations'!$C$40)</f>
        <v>2265.5170022287289</v>
      </c>
    </row>
    <row r="846" spans="3:17">
      <c r="C846" s="159"/>
      <c r="D846" s="165" t="s">
        <v>282</v>
      </c>
      <c r="E846" s="162">
        <v>31778</v>
      </c>
      <c r="F846" s="166" t="str">
        <f t="shared" si="39"/>
        <v>Date check - OK</v>
      </c>
      <c r="G846" s="68"/>
      <c r="H846" s="162" t="s">
        <v>280</v>
      </c>
      <c r="I846" s="173">
        <v>21853.086195380012</v>
      </c>
      <c r="J846" s="168">
        <f>IFERROR(MIN('MP Calculations'!$E$30/I846,1),"-")</f>
        <v>0.32927792945511891</v>
      </c>
      <c r="K846" s="12"/>
      <c r="L846" s="159">
        <v>1.4986759999999999</v>
      </c>
      <c r="M846" s="187" t="s">
        <v>293</v>
      </c>
      <c r="N846" s="187">
        <v>237.97403299999999</v>
      </c>
      <c r="O846" s="186">
        <f t="shared" si="40"/>
        <v>356.64597188030797</v>
      </c>
      <c r="P846" s="186">
        <f t="shared" si="41"/>
        <v>117.43564716925637</v>
      </c>
      <c r="Q846" s="215">
        <f>IF(P846="-",0,P846/(1+'General inputs'!$H$30)^'MP Calculations'!$C$40)</f>
        <v>260.85851191908512</v>
      </c>
    </row>
    <row r="847" spans="3:17">
      <c r="C847" s="159"/>
      <c r="D847" s="165" t="s">
        <v>282</v>
      </c>
      <c r="E847" s="162">
        <v>31778</v>
      </c>
      <c r="F847" s="166" t="str">
        <f t="shared" si="39"/>
        <v>Date check - OK</v>
      </c>
      <c r="G847" s="68"/>
      <c r="H847" s="162" t="s">
        <v>280</v>
      </c>
      <c r="I847" s="173">
        <v>21853.086195380012</v>
      </c>
      <c r="J847" s="168">
        <f>IFERROR(MIN('MP Calculations'!$E$30/I847,1),"-")</f>
        <v>0.32927792945511891</v>
      </c>
      <c r="K847" s="12"/>
      <c r="L847" s="159">
        <v>3.8686609999999999</v>
      </c>
      <c r="M847" s="187" t="s">
        <v>293</v>
      </c>
      <c r="N847" s="187">
        <v>237.97403299999999</v>
      </c>
      <c r="O847" s="186">
        <f t="shared" si="40"/>
        <v>920.640860479813</v>
      </c>
      <c r="P847" s="186">
        <f t="shared" si="41"/>
        <v>303.14671631057183</v>
      </c>
      <c r="Q847" s="215">
        <f>IF(P847="-",0,P847/(1+'General inputs'!$H$30)^'MP Calculations'!$C$40)</f>
        <v>673.37646801536812</v>
      </c>
    </row>
    <row r="848" spans="3:17">
      <c r="C848" s="159"/>
      <c r="D848" s="165" t="s">
        <v>282</v>
      </c>
      <c r="E848" s="162">
        <v>31778</v>
      </c>
      <c r="F848" s="166" t="str">
        <f t="shared" si="39"/>
        <v>Date check - OK</v>
      </c>
      <c r="G848" s="68"/>
      <c r="H848" s="162" t="s">
        <v>280</v>
      </c>
      <c r="I848" s="173">
        <v>21853.086195380012</v>
      </c>
      <c r="J848" s="168">
        <f>IFERROR(MIN('MP Calculations'!$E$30/I848,1),"-")</f>
        <v>0.32927792945511891</v>
      </c>
      <c r="K848" s="12"/>
      <c r="L848" s="159">
        <v>1.6994389999999999</v>
      </c>
      <c r="M848" s="187" t="s">
        <v>293</v>
      </c>
      <c r="N848" s="187">
        <v>237.97403299999999</v>
      </c>
      <c r="O848" s="186">
        <f t="shared" si="40"/>
        <v>404.42235266748696</v>
      </c>
      <c r="P848" s="186">
        <f t="shared" si="41"/>
        <v>133.16735491171801</v>
      </c>
      <c r="Q848" s="215">
        <f>IF(P848="-",0,P848/(1+'General inputs'!$H$30)^'MP Calculations'!$C$40)</f>
        <v>295.80318136625806</v>
      </c>
    </row>
    <row r="849" spans="3:17">
      <c r="C849" s="159"/>
      <c r="D849" s="165" t="s">
        <v>282</v>
      </c>
      <c r="E849" s="162">
        <v>31778</v>
      </c>
      <c r="F849" s="166" t="str">
        <f t="shared" si="39"/>
        <v>Date check - OK</v>
      </c>
      <c r="G849" s="68"/>
      <c r="H849" s="162" t="s">
        <v>280</v>
      </c>
      <c r="I849" s="173">
        <v>21853.086195380012</v>
      </c>
      <c r="J849" s="168">
        <f>IFERROR(MIN('MP Calculations'!$E$30/I849,1),"-")</f>
        <v>0.32927792945511891</v>
      </c>
      <c r="K849" s="12"/>
      <c r="L849" s="159">
        <v>0.59976700000000005</v>
      </c>
      <c r="M849" s="187" t="s">
        <v>293</v>
      </c>
      <c r="N849" s="187">
        <v>237.97403299999999</v>
      </c>
      <c r="O849" s="186">
        <f t="shared" si="40"/>
        <v>142.72897185031101</v>
      </c>
      <c r="P849" s="186">
        <f t="shared" si="41"/>
        <v>46.99750032412836</v>
      </c>
      <c r="Q849" s="215">
        <f>IF(P849="-",0,P849/(1+'General inputs'!$H$30)^'MP Calculations'!$C$40)</f>
        <v>104.39503075926615</v>
      </c>
    </row>
    <row r="850" spans="3:17">
      <c r="C850" s="159"/>
      <c r="D850" s="165" t="s">
        <v>292</v>
      </c>
      <c r="E850" s="162">
        <v>31778</v>
      </c>
      <c r="F850" s="166" t="str">
        <f t="shared" si="39"/>
        <v>Date check - OK</v>
      </c>
      <c r="G850" s="68"/>
      <c r="H850" s="162" t="s">
        <v>280</v>
      </c>
      <c r="I850" s="173">
        <v>21853.086195380012</v>
      </c>
      <c r="J850" s="168">
        <f>IFERROR(MIN('MP Calculations'!$E$30/I850,1),"-")</f>
        <v>0.32927792945511891</v>
      </c>
      <c r="K850" s="12"/>
      <c r="L850" s="159">
        <v>0.299483</v>
      </c>
      <c r="M850" s="187" t="s">
        <v>293</v>
      </c>
      <c r="N850" s="187">
        <v>297.51652200000001</v>
      </c>
      <c r="O850" s="186">
        <f t="shared" si="40"/>
        <v>89.101140558126005</v>
      </c>
      <c r="P850" s="186">
        <f t="shared" si="41"/>
        <v>29.339039075069248</v>
      </c>
      <c r="Q850" s="215">
        <f>IF(P850="-",0,P850/(1+'General inputs'!$H$30)^'MP Calculations'!$C$40)</f>
        <v>65.170484931444506</v>
      </c>
    </row>
    <row r="851" spans="3:17">
      <c r="C851" s="159"/>
      <c r="D851" s="165" t="s">
        <v>283</v>
      </c>
      <c r="E851" s="162">
        <v>32030</v>
      </c>
      <c r="F851" s="166" t="str">
        <f t="shared" si="39"/>
        <v>Date check - OK</v>
      </c>
      <c r="G851" s="68"/>
      <c r="H851" s="162" t="s">
        <v>280</v>
      </c>
      <c r="I851" s="173">
        <v>21853.086195380012</v>
      </c>
      <c r="J851" s="168">
        <f>IFERROR(MIN('MP Calculations'!$E$30/I851,1),"-")</f>
        <v>0.32927792945511891</v>
      </c>
      <c r="K851" s="12"/>
      <c r="L851" s="159">
        <v>0.42705500000000002</v>
      </c>
      <c r="M851" s="187" t="s">
        <v>293</v>
      </c>
      <c r="N851" s="187">
        <v>192.78728599999999</v>
      </c>
      <c r="O851" s="186">
        <f t="shared" si="40"/>
        <v>82.330774422730002</v>
      </c>
      <c r="P851" s="186">
        <f t="shared" si="41"/>
        <v>27.109706932352999</v>
      </c>
      <c r="Q851" s="215">
        <f>IF(P851="-",0,P851/(1+'General inputs'!$H$30)^'MP Calculations'!$C$40)</f>
        <v>60.218493953064744</v>
      </c>
    </row>
    <row r="852" spans="3:17">
      <c r="C852" s="159"/>
      <c r="D852" s="165" t="s">
        <v>284</v>
      </c>
      <c r="E852" s="162">
        <v>32091</v>
      </c>
      <c r="F852" s="166" t="str">
        <f t="shared" si="39"/>
        <v>Date check - OK</v>
      </c>
      <c r="G852" s="68"/>
      <c r="H852" s="162" t="s">
        <v>280</v>
      </c>
      <c r="I852" s="173">
        <v>21853.086195380012</v>
      </c>
      <c r="J852" s="168">
        <f>IFERROR(MIN('MP Calculations'!$E$30/I852,1),"-")</f>
        <v>0.32927792945511891</v>
      </c>
      <c r="K852" s="12"/>
      <c r="L852" s="159">
        <v>66.987489999999994</v>
      </c>
      <c r="M852" s="187" t="s">
        <v>293</v>
      </c>
      <c r="N852" s="187">
        <v>315.45229399999999</v>
      </c>
      <c r="O852" s="186">
        <f t="shared" si="40"/>
        <v>21131.357389802059</v>
      </c>
      <c r="P852" s="186">
        <f t="shared" si="41"/>
        <v>6958.0896078901478</v>
      </c>
      <c r="Q852" s="215">
        <f>IF(P852="-",0,P852/(1+'General inputs'!$H$30)^'MP Calculations'!$C$40)</f>
        <v>15455.92794577834</v>
      </c>
    </row>
    <row r="853" spans="3:17">
      <c r="C853" s="159"/>
      <c r="D853" s="165" t="s">
        <v>284</v>
      </c>
      <c r="E853" s="162">
        <v>32091</v>
      </c>
      <c r="F853" s="166" t="str">
        <f t="shared" si="39"/>
        <v>Date check - OK</v>
      </c>
      <c r="G853" s="68"/>
      <c r="H853" s="162" t="s">
        <v>280</v>
      </c>
      <c r="I853" s="173">
        <v>21853.086195380012</v>
      </c>
      <c r="J853" s="168">
        <f>IFERROR(MIN('MP Calculations'!$E$30/I853,1),"-")</f>
        <v>0.32927792945511891</v>
      </c>
      <c r="K853" s="12"/>
      <c r="L853" s="159">
        <v>108.43649600000001</v>
      </c>
      <c r="M853" s="187" t="s">
        <v>293</v>
      </c>
      <c r="N853" s="187">
        <v>315.45229399999999</v>
      </c>
      <c r="O853" s="186">
        <f t="shared" si="40"/>
        <v>34206.541416521824</v>
      </c>
      <c r="P853" s="186">
        <f t="shared" si="41"/>
        <v>11263.459131453077</v>
      </c>
      <c r="Q853" s="215">
        <f>IF(P853="-",0,P853/(1+'General inputs'!$H$30)^'MP Calculations'!$C$40)</f>
        <v>25019.397933385495</v>
      </c>
    </row>
    <row r="854" spans="3:17">
      <c r="C854" s="159"/>
      <c r="D854" s="165" t="s">
        <v>284</v>
      </c>
      <c r="E854" s="162">
        <v>32091</v>
      </c>
      <c r="F854" s="166" t="str">
        <f t="shared" si="39"/>
        <v>Date check - OK</v>
      </c>
      <c r="G854" s="68"/>
      <c r="H854" s="162" t="s">
        <v>280</v>
      </c>
      <c r="I854" s="173">
        <v>21853.086195380012</v>
      </c>
      <c r="J854" s="168">
        <f>IFERROR(MIN('MP Calculations'!$E$30/I854,1),"-")</f>
        <v>0.32927792945511891</v>
      </c>
      <c r="K854" s="12"/>
      <c r="L854" s="159">
        <v>164.618853</v>
      </c>
      <c r="M854" s="187" t="s">
        <v>293</v>
      </c>
      <c r="N854" s="187">
        <v>315.45229399999999</v>
      </c>
      <c r="O854" s="186">
        <f t="shared" si="40"/>
        <v>51929.394814498781</v>
      </c>
      <c r="P854" s="186">
        <f t="shared" si="41"/>
        <v>17099.203602375546</v>
      </c>
      <c r="Q854" s="215">
        <f>IF(P854="-",0,P854/(1+'General inputs'!$H$30)^'MP Calculations'!$C$40)</f>
        <v>37982.272965962402</v>
      </c>
    </row>
    <row r="855" spans="3:17">
      <c r="C855" s="159"/>
      <c r="D855" s="165" t="s">
        <v>284</v>
      </c>
      <c r="E855" s="162">
        <v>32091</v>
      </c>
      <c r="F855" s="166" t="str">
        <f t="shared" ref="F855:F918" si="42">IF(E855="","-",IF(OR(E855&lt;$E$15,E855&gt;$E$16),"ERROR - date outside of range","Date check - OK"))</f>
        <v>Date check - OK</v>
      </c>
      <c r="G855" s="68"/>
      <c r="H855" s="162" t="s">
        <v>280</v>
      </c>
      <c r="I855" s="173">
        <v>21853.086195380012</v>
      </c>
      <c r="J855" s="168">
        <f>IFERROR(MIN('MP Calculations'!$E$30/I855,1),"-")</f>
        <v>0.32927792945511891</v>
      </c>
      <c r="K855" s="12"/>
      <c r="L855" s="159">
        <v>62.405493</v>
      </c>
      <c r="M855" s="187" t="s">
        <v>293</v>
      </c>
      <c r="N855" s="187">
        <v>315.45229399999999</v>
      </c>
      <c r="O855" s="186">
        <f t="shared" ref="O855:O918" si="43">IF(N855="","-",L855*N855)</f>
        <v>19685.955925050941</v>
      </c>
      <c r="P855" s="186">
        <f t="shared" ref="P855:P918" si="44">IF(O855="-","-",IF(OR(E855&lt;$E$15,E855&gt;$E$16),0,O855*J855))</f>
        <v>6482.150806345504</v>
      </c>
      <c r="Q855" s="215">
        <f>IF(P855="-",0,P855/(1+'General inputs'!$H$30)^'MP Calculations'!$C$40)</f>
        <v>14398.730318582986</v>
      </c>
    </row>
    <row r="856" spans="3:17">
      <c r="C856" s="159"/>
      <c r="D856" s="165" t="s">
        <v>284</v>
      </c>
      <c r="E856" s="162">
        <v>32091</v>
      </c>
      <c r="F856" s="166" t="str">
        <f t="shared" si="42"/>
        <v>Date check - OK</v>
      </c>
      <c r="G856" s="68"/>
      <c r="H856" s="162" t="s">
        <v>280</v>
      </c>
      <c r="I856" s="173">
        <v>21853.086195380012</v>
      </c>
      <c r="J856" s="168">
        <f>IFERROR(MIN('MP Calculations'!$E$30/I856,1),"-")</f>
        <v>0.32927792945511891</v>
      </c>
      <c r="K856" s="12"/>
      <c r="L856" s="159">
        <v>2.2775880000000002</v>
      </c>
      <c r="M856" s="187" t="s">
        <v>293</v>
      </c>
      <c r="N856" s="187">
        <v>315.45229399999999</v>
      </c>
      <c r="O856" s="186">
        <f t="shared" si="43"/>
        <v>718.47035938687202</v>
      </c>
      <c r="P856" s="186">
        <f t="shared" si="44"/>
        <v>236.57643231378438</v>
      </c>
      <c r="Q856" s="215">
        <f>IF(P856="-",0,P856/(1+'General inputs'!$H$30)^'MP Calculations'!$C$40)</f>
        <v>525.50462807562133</v>
      </c>
    </row>
    <row r="857" spans="3:17">
      <c r="C857" s="159"/>
      <c r="D857" s="165" t="s">
        <v>284</v>
      </c>
      <c r="E857" s="162">
        <v>32091</v>
      </c>
      <c r="F857" s="166" t="str">
        <f t="shared" si="42"/>
        <v>Date check - OK</v>
      </c>
      <c r="G857" s="68"/>
      <c r="H857" s="162" t="s">
        <v>280</v>
      </c>
      <c r="I857" s="173">
        <v>21853.086195380012</v>
      </c>
      <c r="J857" s="168">
        <f>IFERROR(MIN('MP Calculations'!$E$30/I857,1),"-")</f>
        <v>0.32927792945511891</v>
      </c>
      <c r="K857" s="12"/>
      <c r="L857" s="159">
        <v>125.470105</v>
      </c>
      <c r="M857" s="187" t="s">
        <v>293</v>
      </c>
      <c r="N857" s="187">
        <v>315.45229399999999</v>
      </c>
      <c r="O857" s="186">
        <f t="shared" si="43"/>
        <v>39579.832450670874</v>
      </c>
      <c r="P857" s="186">
        <f t="shared" si="44"/>
        <v>13032.76527753743</v>
      </c>
      <c r="Q857" s="215">
        <f>IF(P857="-",0,P857/(1+'General inputs'!$H$30)^'MP Calculations'!$C$40)</f>
        <v>28949.53822317037</v>
      </c>
    </row>
    <row r="858" spans="3:17">
      <c r="C858" s="159"/>
      <c r="D858" s="165" t="s">
        <v>282</v>
      </c>
      <c r="E858" s="162">
        <v>32091</v>
      </c>
      <c r="F858" s="166" t="str">
        <f t="shared" si="42"/>
        <v>Date check - OK</v>
      </c>
      <c r="G858" s="68"/>
      <c r="H858" s="162" t="s">
        <v>280</v>
      </c>
      <c r="I858" s="173">
        <v>21853.086195380012</v>
      </c>
      <c r="J858" s="168">
        <f>IFERROR(MIN('MP Calculations'!$E$30/I858,1),"-")</f>
        <v>0.32927792945511891</v>
      </c>
      <c r="K858" s="12"/>
      <c r="L858" s="159">
        <v>4.4981669999999996</v>
      </c>
      <c r="M858" s="187" t="s">
        <v>293</v>
      </c>
      <c r="N858" s="187">
        <v>237.97403299999999</v>
      </c>
      <c r="O858" s="186">
        <f t="shared" si="43"/>
        <v>1070.4469420975108</v>
      </c>
      <c r="P858" s="186">
        <f t="shared" si="44"/>
        <v>352.47455268543195</v>
      </c>
      <c r="Q858" s="215">
        <f>IF(P858="-",0,P858/(1+'General inputs'!$H$30)^'MP Calculations'!$C$40)</f>
        <v>782.9478486234085</v>
      </c>
    </row>
    <row r="859" spans="3:17">
      <c r="C859" s="159"/>
      <c r="D859" s="165" t="s">
        <v>284</v>
      </c>
      <c r="E859" s="162">
        <v>32091</v>
      </c>
      <c r="F859" s="166" t="str">
        <f t="shared" si="42"/>
        <v>Date check - OK</v>
      </c>
      <c r="G859" s="68"/>
      <c r="H859" s="162" t="s">
        <v>280</v>
      </c>
      <c r="I859" s="173">
        <v>21853.086195380012</v>
      </c>
      <c r="J859" s="168">
        <f>IFERROR(MIN('MP Calculations'!$E$30/I859,1),"-")</f>
        <v>0.32927792945511891</v>
      </c>
      <c r="K859" s="12"/>
      <c r="L859" s="159">
        <v>185.76324700000001</v>
      </c>
      <c r="M859" s="187" t="s">
        <v>293</v>
      </c>
      <c r="N859" s="187">
        <v>315.45229399999999</v>
      </c>
      <c r="O859" s="186">
        <f t="shared" si="43"/>
        <v>58599.442407038616</v>
      </c>
      <c r="P859" s="186">
        <f t="shared" si="44"/>
        <v>19295.503063014166</v>
      </c>
      <c r="Q859" s="215">
        <f>IF(P859="-",0,P859/(1+'General inputs'!$H$30)^'MP Calculations'!$C$40)</f>
        <v>42860.888810818629</v>
      </c>
    </row>
    <row r="860" spans="3:17">
      <c r="C860" s="159"/>
      <c r="D860" s="165" t="s">
        <v>282</v>
      </c>
      <c r="E860" s="162">
        <v>32091</v>
      </c>
      <c r="F860" s="166" t="str">
        <f t="shared" si="42"/>
        <v>Date check - OK</v>
      </c>
      <c r="G860" s="68"/>
      <c r="H860" s="162" t="s">
        <v>280</v>
      </c>
      <c r="I860" s="173">
        <v>21853.086195380012</v>
      </c>
      <c r="J860" s="168">
        <f>IFERROR(MIN('MP Calculations'!$E$30/I860,1),"-")</f>
        <v>0.32927792945511891</v>
      </c>
      <c r="K860" s="12"/>
      <c r="L860" s="159">
        <v>0.79995799999999995</v>
      </c>
      <c r="M860" s="187" t="s">
        <v>293</v>
      </c>
      <c r="N860" s="187">
        <v>237.97403299999999</v>
      </c>
      <c r="O860" s="186">
        <f t="shared" si="43"/>
        <v>190.36923149061397</v>
      </c>
      <c r="P860" s="186">
        <f t="shared" si="44"/>
        <v>62.684386377191586</v>
      </c>
      <c r="Q860" s="215">
        <f>IF(P860="-",0,P860/(1+'General inputs'!$H$30)^'MP Calculations'!$C$40)</f>
        <v>139.24013828056729</v>
      </c>
    </row>
    <row r="861" spans="3:17">
      <c r="C861" s="159"/>
      <c r="D861" s="165" t="s">
        <v>284</v>
      </c>
      <c r="E861" s="162">
        <v>32091</v>
      </c>
      <c r="F861" s="166" t="str">
        <f t="shared" si="42"/>
        <v>Date check - OK</v>
      </c>
      <c r="G861" s="68"/>
      <c r="H861" s="162" t="s">
        <v>280</v>
      </c>
      <c r="I861" s="173">
        <v>21853.086195380012</v>
      </c>
      <c r="J861" s="168">
        <f>IFERROR(MIN('MP Calculations'!$E$30/I861,1),"-")</f>
        <v>0.32927792945511891</v>
      </c>
      <c r="K861" s="12"/>
      <c r="L861" s="159">
        <v>0.50002500000000005</v>
      </c>
      <c r="M861" s="187" t="s">
        <v>293</v>
      </c>
      <c r="N861" s="187">
        <v>315.45229399999999</v>
      </c>
      <c r="O861" s="186">
        <f t="shared" si="43"/>
        <v>157.73403330735002</v>
      </c>
      <c r="P861" s="186">
        <f t="shared" si="44"/>
        <v>51.938335892048975</v>
      </c>
      <c r="Q861" s="215">
        <f>IF(P861="-",0,P861/(1+'General inputs'!$H$30)^'MP Calculations'!$C$40)</f>
        <v>115.37005448461818</v>
      </c>
    </row>
    <row r="862" spans="3:17">
      <c r="C862" s="159"/>
      <c r="D862" s="165" t="s">
        <v>284</v>
      </c>
      <c r="E862" s="162">
        <v>32091</v>
      </c>
      <c r="F862" s="166" t="str">
        <f t="shared" si="42"/>
        <v>Date check - OK</v>
      </c>
      <c r="G862" s="68"/>
      <c r="H862" s="162" t="s">
        <v>280</v>
      </c>
      <c r="I862" s="173">
        <v>21853.086195380012</v>
      </c>
      <c r="J862" s="168">
        <f>IFERROR(MIN('MP Calculations'!$E$30/I862,1),"-")</f>
        <v>0.32927792945511891</v>
      </c>
      <c r="K862" s="12"/>
      <c r="L862" s="159">
        <v>257.30975699999999</v>
      </c>
      <c r="M862" s="187" t="s">
        <v>293</v>
      </c>
      <c r="N862" s="187">
        <v>315.45229399999999</v>
      </c>
      <c r="O862" s="186">
        <f t="shared" si="43"/>
        <v>81168.953114232558</v>
      </c>
      <c r="P862" s="186">
        <f t="shared" si="44"/>
        <v>26727.144817494122</v>
      </c>
      <c r="Q862" s="215">
        <f>IF(P862="-",0,P862/(1+'General inputs'!$H$30)^'MP Calculations'!$C$40)</f>
        <v>59368.712933381052</v>
      </c>
    </row>
    <row r="863" spans="3:17">
      <c r="C863" s="159"/>
      <c r="D863" s="165" t="s">
        <v>284</v>
      </c>
      <c r="E863" s="162">
        <v>32091</v>
      </c>
      <c r="F863" s="166" t="str">
        <f t="shared" si="42"/>
        <v>Date check - OK</v>
      </c>
      <c r="G863" s="68"/>
      <c r="H863" s="162" t="s">
        <v>280</v>
      </c>
      <c r="I863" s="173">
        <v>21853.086195380012</v>
      </c>
      <c r="J863" s="168">
        <f>IFERROR(MIN('MP Calculations'!$E$30/I863,1),"-")</f>
        <v>0.32927792945511891</v>
      </c>
      <c r="K863" s="12"/>
      <c r="L863" s="159">
        <v>0.40012500000000001</v>
      </c>
      <c r="M863" s="187" t="s">
        <v>293</v>
      </c>
      <c r="N863" s="187">
        <v>315.45229399999999</v>
      </c>
      <c r="O863" s="186">
        <f t="shared" si="43"/>
        <v>126.22034913675</v>
      </c>
      <c r="P863" s="186">
        <f t="shared" si="44"/>
        <v>41.561575218851246</v>
      </c>
      <c r="Q863" s="215">
        <f>IF(P863="-",0,P863/(1+'General inputs'!$H$30)^'MP Calculations'!$C$40)</f>
        <v>92.320270087811309</v>
      </c>
    </row>
    <row r="864" spans="3:17">
      <c r="C864" s="159"/>
      <c r="D864" s="165" t="s">
        <v>284</v>
      </c>
      <c r="E864" s="162">
        <v>32091</v>
      </c>
      <c r="F864" s="166" t="str">
        <f t="shared" si="42"/>
        <v>Date check - OK</v>
      </c>
      <c r="G864" s="68"/>
      <c r="H864" s="162" t="s">
        <v>280</v>
      </c>
      <c r="I864" s="173">
        <v>21853.086195380012</v>
      </c>
      <c r="J864" s="168">
        <f>IFERROR(MIN('MP Calculations'!$E$30/I864,1),"-")</f>
        <v>0.32927792945511891</v>
      </c>
      <c r="K864" s="12"/>
      <c r="L864" s="159">
        <v>153.28031899999999</v>
      </c>
      <c r="M864" s="187" t="s">
        <v>293</v>
      </c>
      <c r="N864" s="187">
        <v>315.45229399999999</v>
      </c>
      <c r="O864" s="186">
        <f t="shared" si="43"/>
        <v>48352.628253601782</v>
      </c>
      <c r="P864" s="186">
        <f t="shared" si="44"/>
        <v>15921.453315059078</v>
      </c>
      <c r="Q864" s="215">
        <f>IF(P864="-",0,P864/(1+'General inputs'!$H$30)^'MP Calculations'!$C$40)</f>
        <v>35366.149201439235</v>
      </c>
    </row>
    <row r="865" spans="3:17">
      <c r="C865" s="159"/>
      <c r="D865" s="165" t="s">
        <v>284</v>
      </c>
      <c r="E865" s="162">
        <v>32091</v>
      </c>
      <c r="F865" s="166" t="str">
        <f t="shared" si="42"/>
        <v>Date check - OK</v>
      </c>
      <c r="G865" s="68"/>
      <c r="H865" s="162" t="s">
        <v>280</v>
      </c>
      <c r="I865" s="173">
        <v>21853.086195380012</v>
      </c>
      <c r="J865" s="168">
        <f>IFERROR(MIN('MP Calculations'!$E$30/I865,1),"-")</f>
        <v>0.32927792945511891</v>
      </c>
      <c r="K865" s="12"/>
      <c r="L865" s="159">
        <v>215.31406100000001</v>
      </c>
      <c r="M865" s="187" t="s">
        <v>293</v>
      </c>
      <c r="N865" s="187">
        <v>315.45229399999999</v>
      </c>
      <c r="O865" s="186">
        <f t="shared" si="43"/>
        <v>67921.314472905942</v>
      </c>
      <c r="P865" s="186">
        <f t="shared" si="44"/>
        <v>22364.989795508471</v>
      </c>
      <c r="Q865" s="215">
        <f>IF(P865="-",0,P865/(1+'General inputs'!$H$30)^'MP Calculations'!$C$40)</f>
        <v>49679.105942451686</v>
      </c>
    </row>
    <row r="866" spans="3:17">
      <c r="C866" s="159"/>
      <c r="D866" s="165" t="s">
        <v>283</v>
      </c>
      <c r="E866" s="162">
        <v>32143</v>
      </c>
      <c r="F866" s="166" t="str">
        <f t="shared" si="42"/>
        <v>Date check - OK</v>
      </c>
      <c r="G866" s="68"/>
      <c r="H866" s="162" t="s">
        <v>280</v>
      </c>
      <c r="I866" s="173">
        <v>21853.086195380012</v>
      </c>
      <c r="J866" s="168">
        <f>IFERROR(MIN('MP Calculations'!$E$30/I866,1),"-")</f>
        <v>0.32927792945511891</v>
      </c>
      <c r="K866" s="12"/>
      <c r="L866" s="159">
        <v>11.617686000000001</v>
      </c>
      <c r="M866" s="187" t="s">
        <v>293</v>
      </c>
      <c r="N866" s="187">
        <v>192.78728599999999</v>
      </c>
      <c r="O866" s="186">
        <f t="shared" si="43"/>
        <v>2239.7421535401959</v>
      </c>
      <c r="P866" s="186">
        <f t="shared" si="44"/>
        <v>737.49765883106477</v>
      </c>
      <c r="Q866" s="215">
        <f>IF(P866="-",0,P866/(1+'General inputs'!$H$30)^'MP Calculations'!$C$40)</f>
        <v>1638.1954411951738</v>
      </c>
    </row>
    <row r="867" spans="3:17">
      <c r="C867" s="159"/>
      <c r="D867" s="165" t="s">
        <v>284</v>
      </c>
      <c r="E867" s="162">
        <v>32143</v>
      </c>
      <c r="F867" s="166" t="str">
        <f t="shared" si="42"/>
        <v>Date check - OK</v>
      </c>
      <c r="G867" s="68"/>
      <c r="H867" s="162" t="s">
        <v>280</v>
      </c>
      <c r="I867" s="173">
        <v>21853.086195380012</v>
      </c>
      <c r="J867" s="168">
        <f>IFERROR(MIN('MP Calculations'!$E$30/I867,1),"-")</f>
        <v>0.32927792945511891</v>
      </c>
      <c r="K867" s="12"/>
      <c r="L867" s="159">
        <v>1.5697479999999999</v>
      </c>
      <c r="M867" s="187" t="s">
        <v>293</v>
      </c>
      <c r="N867" s="187">
        <v>315.45229399999999</v>
      </c>
      <c r="O867" s="186">
        <f t="shared" si="43"/>
        <v>495.18060760191196</v>
      </c>
      <c r="P867" s="186">
        <f t="shared" si="44"/>
        <v>163.0520451774853</v>
      </c>
      <c r="Q867" s="215">
        <f>IF(P867="-",0,P867/(1+'General inputs'!$H$30)^'MP Calculations'!$C$40)</f>
        <v>362.18571528847639</v>
      </c>
    </row>
    <row r="868" spans="3:17">
      <c r="C868" s="159"/>
      <c r="D868" s="165" t="s">
        <v>282</v>
      </c>
      <c r="E868" s="162">
        <v>32428</v>
      </c>
      <c r="F868" s="166" t="str">
        <f t="shared" si="42"/>
        <v>Date check - OK</v>
      </c>
      <c r="G868" s="68"/>
      <c r="H868" s="162" t="s">
        <v>280</v>
      </c>
      <c r="I868" s="173">
        <v>21853.086195380012</v>
      </c>
      <c r="J868" s="168">
        <f>IFERROR(MIN('MP Calculations'!$E$30/I868,1),"-")</f>
        <v>0.32927792945511891</v>
      </c>
      <c r="K868" s="12"/>
      <c r="L868" s="159">
        <v>33.200161000000001</v>
      </c>
      <c r="M868" s="187" t="s">
        <v>293</v>
      </c>
      <c r="N868" s="187">
        <v>237.97403299999999</v>
      </c>
      <c r="O868" s="186">
        <f t="shared" si="43"/>
        <v>7900.7762094193131</v>
      </c>
      <c r="P868" s="186">
        <f t="shared" si="44"/>
        <v>2601.5512313258546</v>
      </c>
      <c r="Q868" s="215">
        <f>IF(P868="-",0,P868/(1+'General inputs'!$H$30)^'MP Calculations'!$C$40)</f>
        <v>5778.7971475716213</v>
      </c>
    </row>
    <row r="869" spans="3:17">
      <c r="C869" s="159"/>
      <c r="D869" s="165" t="s">
        <v>282</v>
      </c>
      <c r="E869" s="162">
        <v>32428</v>
      </c>
      <c r="F869" s="166" t="str">
        <f t="shared" si="42"/>
        <v>Date check - OK</v>
      </c>
      <c r="G869" s="68"/>
      <c r="H869" s="162" t="s">
        <v>280</v>
      </c>
      <c r="I869" s="173">
        <v>21853.086195380012</v>
      </c>
      <c r="J869" s="168">
        <f>IFERROR(MIN('MP Calculations'!$E$30/I869,1),"-")</f>
        <v>0.32927792945511891</v>
      </c>
      <c r="K869" s="12"/>
      <c r="L869" s="159">
        <v>24.158612999999999</v>
      </c>
      <c r="M869" s="187" t="s">
        <v>293</v>
      </c>
      <c r="N869" s="187">
        <v>237.97403299999999</v>
      </c>
      <c r="O869" s="186">
        <f t="shared" si="43"/>
        <v>5749.1225672962282</v>
      </c>
      <c r="P869" s="186">
        <f t="shared" si="44"/>
        <v>1893.0591751429995</v>
      </c>
      <c r="Q869" s="215">
        <f>IF(P869="-",0,P869/(1+'General inputs'!$H$30)^'MP Calculations'!$C$40)</f>
        <v>4205.0315326388527</v>
      </c>
    </row>
    <row r="870" spans="3:17">
      <c r="C870" s="159"/>
      <c r="D870" s="165" t="s">
        <v>282</v>
      </c>
      <c r="E870" s="162">
        <v>32428</v>
      </c>
      <c r="F870" s="166" t="str">
        <f t="shared" si="42"/>
        <v>Date check - OK</v>
      </c>
      <c r="G870" s="68"/>
      <c r="H870" s="162" t="s">
        <v>280</v>
      </c>
      <c r="I870" s="173">
        <v>21853.086195380012</v>
      </c>
      <c r="J870" s="168">
        <f>IFERROR(MIN('MP Calculations'!$E$30/I870,1),"-")</f>
        <v>0.32927792945511891</v>
      </c>
      <c r="K870" s="12"/>
      <c r="L870" s="159">
        <v>19.940981000000001</v>
      </c>
      <c r="M870" s="187" t="s">
        <v>293</v>
      </c>
      <c r="N870" s="187">
        <v>237.97403299999999</v>
      </c>
      <c r="O870" s="186">
        <f t="shared" si="43"/>
        <v>4745.4356705463733</v>
      </c>
      <c r="P870" s="186">
        <f t="shared" si="44"/>
        <v>1562.5672319599737</v>
      </c>
      <c r="Q870" s="215">
        <f>IF(P870="-",0,P870/(1+'General inputs'!$H$30)^'MP Calculations'!$C$40)</f>
        <v>3470.9134128168807</v>
      </c>
    </row>
    <row r="871" spans="3:17">
      <c r="C871" s="159"/>
      <c r="D871" s="165" t="s">
        <v>283</v>
      </c>
      <c r="E871" s="162">
        <v>32509</v>
      </c>
      <c r="F871" s="166" t="str">
        <f t="shared" si="42"/>
        <v>Date check - OK</v>
      </c>
      <c r="G871" s="68"/>
      <c r="H871" s="162" t="s">
        <v>280</v>
      </c>
      <c r="I871" s="173">
        <v>21853.086195380012</v>
      </c>
      <c r="J871" s="168">
        <f>IFERROR(MIN('MP Calculations'!$E$30/I871,1),"-")</f>
        <v>0.32927792945511891</v>
      </c>
      <c r="K871" s="12"/>
      <c r="L871" s="159">
        <v>34.685164999999998</v>
      </c>
      <c r="M871" s="187" t="s">
        <v>293</v>
      </c>
      <c r="N871" s="187">
        <v>192.78728599999999</v>
      </c>
      <c r="O871" s="186">
        <f t="shared" si="43"/>
        <v>6686.8588248121896</v>
      </c>
      <c r="P871" s="186">
        <f t="shared" si="44"/>
        <v>2201.8350283928476</v>
      </c>
      <c r="Q871" s="215">
        <f>IF(P871="-",0,P871/(1+'General inputs'!$H$30)^'MP Calculations'!$C$40)</f>
        <v>4890.9119406482832</v>
      </c>
    </row>
    <row r="872" spans="3:17">
      <c r="C872" s="159"/>
      <c r="D872" s="165" t="s">
        <v>283</v>
      </c>
      <c r="E872" s="162">
        <v>32509</v>
      </c>
      <c r="F872" s="166" t="str">
        <f t="shared" si="42"/>
        <v>Date check - OK</v>
      </c>
      <c r="G872" s="68"/>
      <c r="H872" s="162" t="s">
        <v>280</v>
      </c>
      <c r="I872" s="173">
        <v>21853.086195380012</v>
      </c>
      <c r="J872" s="168">
        <f>IFERROR(MIN('MP Calculations'!$E$30/I872,1),"-")</f>
        <v>0.32927792945511891</v>
      </c>
      <c r="K872" s="12"/>
      <c r="L872" s="159">
        <v>8.5386410000000001</v>
      </c>
      <c r="M872" s="187" t="s">
        <v>293</v>
      </c>
      <c r="N872" s="187">
        <v>192.78728599999999</v>
      </c>
      <c r="O872" s="186">
        <f t="shared" si="43"/>
        <v>1646.1414245183259</v>
      </c>
      <c r="P872" s="186">
        <f t="shared" si="44"/>
        <v>542.03803985569425</v>
      </c>
      <c r="Q872" s="215">
        <f>IF(P872="-",0,P872/(1+'General inputs'!$H$30)^'MP Calculations'!$C$40)</f>
        <v>1204.0231385322513</v>
      </c>
    </row>
    <row r="873" spans="3:17">
      <c r="C873" s="159"/>
      <c r="D873" s="165" t="s">
        <v>282</v>
      </c>
      <c r="E873" s="162">
        <v>32654</v>
      </c>
      <c r="F873" s="166" t="str">
        <f t="shared" si="42"/>
        <v>Date check - OK</v>
      </c>
      <c r="G873" s="68"/>
      <c r="H873" s="162" t="s">
        <v>280</v>
      </c>
      <c r="I873" s="173">
        <v>21853.086195380012</v>
      </c>
      <c r="J873" s="168">
        <f>IFERROR(MIN('MP Calculations'!$E$30/I873,1),"-")</f>
        <v>0.32927792945511891</v>
      </c>
      <c r="K873" s="12"/>
      <c r="L873" s="159">
        <v>14.794829</v>
      </c>
      <c r="M873" s="187" t="s">
        <v>293</v>
      </c>
      <c r="N873" s="187">
        <v>237.97403299999999</v>
      </c>
      <c r="O873" s="186">
        <f t="shared" si="43"/>
        <v>3520.7851246753567</v>
      </c>
      <c r="P873" s="186">
        <f t="shared" si="44"/>
        <v>1159.3168359094841</v>
      </c>
      <c r="Q873" s="215">
        <f>IF(P873="-",0,P873/(1+'General inputs'!$H$30)^'MP Calculations'!$C$40)</f>
        <v>2575.1777415781171</v>
      </c>
    </row>
    <row r="874" spans="3:17">
      <c r="C874" s="159"/>
      <c r="D874" s="165" t="s">
        <v>282</v>
      </c>
      <c r="E874" s="162">
        <v>32654</v>
      </c>
      <c r="F874" s="166" t="str">
        <f t="shared" si="42"/>
        <v>Date check - OK</v>
      </c>
      <c r="G874" s="68"/>
      <c r="H874" s="162" t="s">
        <v>280</v>
      </c>
      <c r="I874" s="173">
        <v>21853.086195380012</v>
      </c>
      <c r="J874" s="168">
        <f>IFERROR(MIN('MP Calculations'!$E$30/I874,1),"-")</f>
        <v>0.32927792945511891</v>
      </c>
      <c r="K874" s="12"/>
      <c r="L874" s="159">
        <v>23.445132999999998</v>
      </c>
      <c r="M874" s="187" t="s">
        <v>293</v>
      </c>
      <c r="N874" s="187">
        <v>237.97403299999999</v>
      </c>
      <c r="O874" s="186">
        <f t="shared" si="43"/>
        <v>5579.3328542313884</v>
      </c>
      <c r="P874" s="186">
        <f t="shared" si="44"/>
        <v>1837.1511699822304</v>
      </c>
      <c r="Q874" s="215">
        <f>IF(P874="-",0,P874/(1+'General inputs'!$H$30)^'MP Calculations'!$C$40)</f>
        <v>4080.8436954518761</v>
      </c>
    </row>
    <row r="875" spans="3:17">
      <c r="C875" s="159"/>
      <c r="D875" s="165" t="s">
        <v>282</v>
      </c>
      <c r="E875" s="162">
        <v>32654</v>
      </c>
      <c r="F875" s="166" t="str">
        <f t="shared" si="42"/>
        <v>Date check - OK</v>
      </c>
      <c r="G875" s="68"/>
      <c r="H875" s="162" t="s">
        <v>280</v>
      </c>
      <c r="I875" s="173">
        <v>21853.086195380012</v>
      </c>
      <c r="J875" s="168">
        <f>IFERROR(MIN('MP Calculations'!$E$30/I875,1),"-")</f>
        <v>0.32927792945511891</v>
      </c>
      <c r="K875" s="12"/>
      <c r="L875" s="159">
        <v>0.99915399999999999</v>
      </c>
      <c r="M875" s="187" t="s">
        <v>293</v>
      </c>
      <c r="N875" s="187">
        <v>237.97403299999999</v>
      </c>
      <c r="O875" s="186">
        <f t="shared" si="43"/>
        <v>237.77270696808199</v>
      </c>
      <c r="P875" s="186">
        <f t="shared" si="44"/>
        <v>78.293304631388764</v>
      </c>
      <c r="Q875" s="215">
        <f>IF(P875="-",0,P875/(1+'General inputs'!$H$30)^'MP Calculations'!$C$40)</f>
        <v>173.91205678745879</v>
      </c>
    </row>
    <row r="876" spans="3:17">
      <c r="C876" s="159"/>
      <c r="D876" s="165" t="s">
        <v>282</v>
      </c>
      <c r="E876" s="162">
        <v>32654</v>
      </c>
      <c r="F876" s="166" t="str">
        <f t="shared" si="42"/>
        <v>Date check - OK</v>
      </c>
      <c r="G876" s="68"/>
      <c r="H876" s="162" t="s">
        <v>280</v>
      </c>
      <c r="I876" s="173">
        <v>21853.086195380012</v>
      </c>
      <c r="J876" s="168">
        <f>IFERROR(MIN('MP Calculations'!$E$30/I876,1),"-")</f>
        <v>0.32927792945511891</v>
      </c>
      <c r="K876" s="12"/>
      <c r="L876" s="159">
        <v>11.918379</v>
      </c>
      <c r="M876" s="187" t="s">
        <v>293</v>
      </c>
      <c r="N876" s="187">
        <v>237.97403299999999</v>
      </c>
      <c r="O876" s="186">
        <f t="shared" si="43"/>
        <v>2836.2647174525068</v>
      </c>
      <c r="P876" s="186">
        <f t="shared" si="44"/>
        <v>933.91937354936931</v>
      </c>
      <c r="Q876" s="215">
        <f>IF(P876="-",0,P876/(1+'General inputs'!$H$30)^'MP Calculations'!$C$40)</f>
        <v>2074.5048365541811</v>
      </c>
    </row>
    <row r="877" spans="3:17">
      <c r="C877" s="159"/>
      <c r="D877" s="165" t="s">
        <v>282</v>
      </c>
      <c r="E877" s="162">
        <v>32654</v>
      </c>
      <c r="F877" s="166" t="str">
        <f t="shared" si="42"/>
        <v>Date check - OK</v>
      </c>
      <c r="G877" s="68"/>
      <c r="H877" s="162" t="s">
        <v>280</v>
      </c>
      <c r="I877" s="173">
        <v>21853.086195380012</v>
      </c>
      <c r="J877" s="168">
        <f>IFERROR(MIN('MP Calculations'!$E$30/I877,1),"-")</f>
        <v>0.32927792945511891</v>
      </c>
      <c r="K877" s="12"/>
      <c r="L877" s="159">
        <v>43.978707999999997</v>
      </c>
      <c r="M877" s="187" t="s">
        <v>293</v>
      </c>
      <c r="N877" s="187">
        <v>237.97403299999999</v>
      </c>
      <c r="O877" s="186">
        <f t="shared" si="43"/>
        <v>10465.790508889362</v>
      </c>
      <c r="P877" s="186">
        <f t="shared" si="44"/>
        <v>3446.1538288781244</v>
      </c>
      <c r="Q877" s="215">
        <f>IF(P877="-",0,P877/(1+'General inputs'!$H$30)^'MP Calculations'!$C$40)</f>
        <v>7654.9036115904728</v>
      </c>
    </row>
    <row r="878" spans="3:17">
      <c r="C878" s="159"/>
      <c r="D878" s="165" t="s">
        <v>282</v>
      </c>
      <c r="E878" s="162">
        <v>32654</v>
      </c>
      <c r="F878" s="166" t="str">
        <f t="shared" si="42"/>
        <v>Date check - OK</v>
      </c>
      <c r="G878" s="68"/>
      <c r="H878" s="162" t="s">
        <v>280</v>
      </c>
      <c r="I878" s="173">
        <v>21853.086195380012</v>
      </c>
      <c r="J878" s="168">
        <f>IFERROR(MIN('MP Calculations'!$E$30/I878,1),"-")</f>
        <v>0.32927792945511891</v>
      </c>
      <c r="K878" s="12"/>
      <c r="L878" s="159">
        <v>2.2989769999999998</v>
      </c>
      <c r="M878" s="187" t="s">
        <v>293</v>
      </c>
      <c r="N878" s="187">
        <v>237.97403299999999</v>
      </c>
      <c r="O878" s="186">
        <f t="shared" si="43"/>
        <v>547.09682846424096</v>
      </c>
      <c r="P878" s="186">
        <f t="shared" si="44"/>
        <v>180.14691088816764</v>
      </c>
      <c r="Q878" s="215">
        <f>IF(P878="-",0,P878/(1+'General inputs'!$H$30)^'MP Calculations'!$C$40)</f>
        <v>400.1583525433133</v>
      </c>
    </row>
    <row r="879" spans="3:17">
      <c r="C879" s="159"/>
      <c r="D879" s="165" t="s">
        <v>282</v>
      </c>
      <c r="E879" s="162">
        <v>32654</v>
      </c>
      <c r="F879" s="166" t="str">
        <f t="shared" si="42"/>
        <v>Date check - OK</v>
      </c>
      <c r="G879" s="68"/>
      <c r="H879" s="162" t="s">
        <v>280</v>
      </c>
      <c r="I879" s="173">
        <v>21853.086195380012</v>
      </c>
      <c r="J879" s="168">
        <f>IFERROR(MIN('MP Calculations'!$E$30/I879,1),"-")</f>
        <v>0.32927792945511891</v>
      </c>
      <c r="K879" s="12"/>
      <c r="L879" s="159">
        <v>66.033969999999997</v>
      </c>
      <c r="M879" s="187" t="s">
        <v>293</v>
      </c>
      <c r="N879" s="187">
        <v>237.97403299999999</v>
      </c>
      <c r="O879" s="186">
        <f t="shared" si="43"/>
        <v>15714.370155901008</v>
      </c>
      <c r="P879" s="186">
        <f t="shared" si="44"/>
        <v>5174.395267626398</v>
      </c>
      <c r="Q879" s="215">
        <f>IF(P879="-",0,P879/(1+'General inputs'!$H$30)^'MP Calculations'!$C$40)</f>
        <v>11493.827318452761</v>
      </c>
    </row>
    <row r="880" spans="3:17">
      <c r="C880" s="159"/>
      <c r="D880" s="165" t="s">
        <v>282</v>
      </c>
      <c r="E880" s="162">
        <v>32654</v>
      </c>
      <c r="F880" s="166" t="str">
        <f t="shared" si="42"/>
        <v>Date check - OK</v>
      </c>
      <c r="G880" s="68"/>
      <c r="H880" s="162" t="s">
        <v>280</v>
      </c>
      <c r="I880" s="173">
        <v>21853.086195380012</v>
      </c>
      <c r="J880" s="168">
        <f>IFERROR(MIN('MP Calculations'!$E$30/I880,1),"-")</f>
        <v>0.32927792945511891</v>
      </c>
      <c r="K880" s="12"/>
      <c r="L880" s="159">
        <v>47.706420000000001</v>
      </c>
      <c r="M880" s="187" t="s">
        <v>293</v>
      </c>
      <c r="N880" s="187">
        <v>237.97403299999999</v>
      </c>
      <c r="O880" s="186">
        <f t="shared" si="43"/>
        <v>11352.889167391861</v>
      </c>
      <c r="P880" s="186">
        <f t="shared" si="44"/>
        <v>3738.2558383722408</v>
      </c>
      <c r="Q880" s="215">
        <f>IF(P880="-",0,P880/(1+'General inputs'!$H$30)^'MP Calculations'!$C$40)</f>
        <v>8303.7465937847028</v>
      </c>
    </row>
    <row r="881" spans="3:17">
      <c r="C881" s="159"/>
      <c r="D881" s="165" t="s">
        <v>282</v>
      </c>
      <c r="E881" s="162">
        <v>32654</v>
      </c>
      <c r="F881" s="166" t="str">
        <f t="shared" si="42"/>
        <v>Date check - OK</v>
      </c>
      <c r="G881" s="68"/>
      <c r="H881" s="162" t="s">
        <v>280</v>
      </c>
      <c r="I881" s="173">
        <v>21853.086195380012</v>
      </c>
      <c r="J881" s="168">
        <f>IFERROR(MIN('MP Calculations'!$E$30/I881,1),"-")</f>
        <v>0.32927792945511891</v>
      </c>
      <c r="K881" s="12"/>
      <c r="L881" s="159">
        <v>14.871696999999999</v>
      </c>
      <c r="M881" s="187" t="s">
        <v>293</v>
      </c>
      <c r="N881" s="187">
        <v>237.97403299999999</v>
      </c>
      <c r="O881" s="186">
        <f t="shared" si="43"/>
        <v>3539.0777126440007</v>
      </c>
      <c r="P881" s="186">
        <f t="shared" si="44"/>
        <v>1165.340181400175</v>
      </c>
      <c r="Q881" s="215">
        <f>IF(P881="-",0,P881/(1+'General inputs'!$H$30)^'MP Calculations'!$C$40)</f>
        <v>2588.5573326933395</v>
      </c>
    </row>
    <row r="882" spans="3:17">
      <c r="C882" s="159"/>
      <c r="D882" s="165" t="s">
        <v>282</v>
      </c>
      <c r="E882" s="162">
        <v>32654</v>
      </c>
      <c r="F882" s="166" t="str">
        <f t="shared" si="42"/>
        <v>Date check - OK</v>
      </c>
      <c r="G882" s="68"/>
      <c r="H882" s="162" t="s">
        <v>280</v>
      </c>
      <c r="I882" s="173">
        <v>21853.086195380012</v>
      </c>
      <c r="J882" s="168">
        <f>IFERROR(MIN('MP Calculations'!$E$30/I882,1),"-")</f>
        <v>0.32927792945511891</v>
      </c>
      <c r="K882" s="12"/>
      <c r="L882" s="159">
        <v>3.797752</v>
      </c>
      <c r="M882" s="187" t="s">
        <v>293</v>
      </c>
      <c r="N882" s="187">
        <v>237.97403299999999</v>
      </c>
      <c r="O882" s="186">
        <f t="shared" si="43"/>
        <v>903.76635977381602</v>
      </c>
      <c r="P882" s="186">
        <f t="shared" si="44"/>
        <v>297.59031565751224</v>
      </c>
      <c r="Q882" s="215">
        <f>IF(P882="-",0,P882/(1+'General inputs'!$H$30)^'MP Calculations'!$C$40)</f>
        <v>661.03409633418403</v>
      </c>
    </row>
    <row r="883" spans="3:17">
      <c r="C883" s="159"/>
      <c r="D883" s="165" t="s">
        <v>282</v>
      </c>
      <c r="E883" s="162">
        <v>32654</v>
      </c>
      <c r="F883" s="166" t="str">
        <f t="shared" si="42"/>
        <v>Date check - OK</v>
      </c>
      <c r="G883" s="68"/>
      <c r="H883" s="162" t="s">
        <v>280</v>
      </c>
      <c r="I883" s="173">
        <v>21853.086195380012</v>
      </c>
      <c r="J883" s="168">
        <f>IFERROR(MIN('MP Calculations'!$E$30/I883,1),"-")</f>
        <v>0.32927792945511891</v>
      </c>
      <c r="K883" s="12"/>
      <c r="L883" s="159">
        <v>19.282765000000001</v>
      </c>
      <c r="M883" s="187" t="s">
        <v>293</v>
      </c>
      <c r="N883" s="187">
        <v>237.97403299999999</v>
      </c>
      <c r="O883" s="186">
        <f t="shared" si="43"/>
        <v>4588.7973544412453</v>
      </c>
      <c r="P883" s="186">
        <f t="shared" si="44"/>
        <v>1510.9896915595407</v>
      </c>
      <c r="Q883" s="215">
        <f>IF(P883="-",0,P883/(1+'General inputs'!$H$30)^'MP Calculations'!$C$40)</f>
        <v>3356.3447893910484</v>
      </c>
    </row>
    <row r="884" spans="3:17">
      <c r="C884" s="159"/>
      <c r="D884" s="165" t="s">
        <v>282</v>
      </c>
      <c r="E884" s="162">
        <v>32654</v>
      </c>
      <c r="F884" s="166" t="str">
        <f t="shared" si="42"/>
        <v>Date check - OK</v>
      </c>
      <c r="G884" s="68"/>
      <c r="H884" s="162" t="s">
        <v>280</v>
      </c>
      <c r="I884" s="173">
        <v>21853.086195380012</v>
      </c>
      <c r="J884" s="168">
        <f>IFERROR(MIN('MP Calculations'!$E$30/I884,1),"-")</f>
        <v>0.32927792945511891</v>
      </c>
      <c r="K884" s="12"/>
      <c r="L884" s="159">
        <v>9.4976310000000002</v>
      </c>
      <c r="M884" s="187" t="s">
        <v>293</v>
      </c>
      <c r="N884" s="187">
        <v>237.97403299999999</v>
      </c>
      <c r="O884" s="186">
        <f t="shared" si="43"/>
        <v>2260.1895530158231</v>
      </c>
      <c r="P884" s="186">
        <f t="shared" si="44"/>
        <v>744.23053619314089</v>
      </c>
      <c r="Q884" s="215">
        <f>IF(P884="-",0,P884/(1+'General inputs'!$H$30)^'MP Calculations'!$C$40)</f>
        <v>1653.1511076554057</v>
      </c>
    </row>
    <row r="885" spans="3:17">
      <c r="C885" s="159"/>
      <c r="D885" s="165" t="s">
        <v>282</v>
      </c>
      <c r="E885" s="162">
        <v>32654</v>
      </c>
      <c r="F885" s="166" t="str">
        <f t="shared" si="42"/>
        <v>Date check - OK</v>
      </c>
      <c r="G885" s="68"/>
      <c r="H885" s="162" t="s">
        <v>280</v>
      </c>
      <c r="I885" s="173">
        <v>21853.086195380012</v>
      </c>
      <c r="J885" s="168">
        <f>IFERROR(MIN('MP Calculations'!$E$30/I885,1),"-")</f>
        <v>0.32927792945511891</v>
      </c>
      <c r="K885" s="12"/>
      <c r="L885" s="159">
        <v>12.854798000000001</v>
      </c>
      <c r="M885" s="187" t="s">
        <v>293</v>
      </c>
      <c r="N885" s="187">
        <v>237.97403299999999</v>
      </c>
      <c r="O885" s="186">
        <f t="shared" si="43"/>
        <v>3059.1081234603339</v>
      </c>
      <c r="P885" s="186">
        <f t="shared" si="44"/>
        <v>1007.296788872353</v>
      </c>
      <c r="Q885" s="215">
        <f>IF(P885="-",0,P885/(1+'General inputs'!$H$30)^'MP Calculations'!$C$40)</f>
        <v>2237.49728246828</v>
      </c>
    </row>
    <row r="886" spans="3:17">
      <c r="C886" s="159"/>
      <c r="D886" s="165" t="s">
        <v>282</v>
      </c>
      <c r="E886" s="162">
        <v>32654</v>
      </c>
      <c r="F886" s="166" t="str">
        <f t="shared" si="42"/>
        <v>Date check - OK</v>
      </c>
      <c r="G886" s="68"/>
      <c r="H886" s="162" t="s">
        <v>280</v>
      </c>
      <c r="I886" s="173">
        <v>21853.086195380012</v>
      </c>
      <c r="J886" s="168">
        <f>IFERROR(MIN('MP Calculations'!$E$30/I886,1),"-")</f>
        <v>0.32927792945511891</v>
      </c>
      <c r="K886" s="12"/>
      <c r="L886" s="159">
        <v>66.699387999999999</v>
      </c>
      <c r="M886" s="187" t="s">
        <v>293</v>
      </c>
      <c r="N886" s="187">
        <v>237.97403299999999</v>
      </c>
      <c r="O886" s="186">
        <f t="shared" si="43"/>
        <v>15872.722360991804</v>
      </c>
      <c r="P886" s="186">
        <f t="shared" si="44"/>
        <v>5226.5371538433474</v>
      </c>
      <c r="Q886" s="215">
        <f>IF(P886="-",0,P886/(1+'General inputs'!$H$30)^'MP Calculations'!$C$40)</f>
        <v>11609.64951703616</v>
      </c>
    </row>
    <row r="887" spans="3:17">
      <c r="C887" s="159"/>
      <c r="D887" s="165" t="s">
        <v>282</v>
      </c>
      <c r="E887" s="162">
        <v>32654</v>
      </c>
      <c r="F887" s="166" t="str">
        <f t="shared" si="42"/>
        <v>Date check - OK</v>
      </c>
      <c r="G887" s="68"/>
      <c r="H887" s="162" t="s">
        <v>280</v>
      </c>
      <c r="I887" s="173">
        <v>21853.086195380012</v>
      </c>
      <c r="J887" s="168">
        <f>IFERROR(MIN('MP Calculations'!$E$30/I887,1),"-")</f>
        <v>0.32927792945511891</v>
      </c>
      <c r="K887" s="12"/>
      <c r="L887" s="159">
        <v>3.1985519999999998</v>
      </c>
      <c r="M887" s="187" t="s">
        <v>293</v>
      </c>
      <c r="N887" s="187">
        <v>237.97403299999999</v>
      </c>
      <c r="O887" s="186">
        <f t="shared" si="43"/>
        <v>761.17231920021595</v>
      </c>
      <c r="P887" s="186">
        <f t="shared" si="44"/>
        <v>250.63724522479797</v>
      </c>
      <c r="Q887" s="215">
        <f>IF(P887="-",0,P887/(1+'General inputs'!$H$30)^'MP Calculations'!$C$40)</f>
        <v>556.73775720423464</v>
      </c>
    </row>
    <row r="888" spans="3:17">
      <c r="C888" s="159"/>
      <c r="D888" s="165" t="s">
        <v>292</v>
      </c>
      <c r="E888" s="162">
        <v>32728</v>
      </c>
      <c r="F888" s="166" t="str">
        <f t="shared" si="42"/>
        <v>Date check - OK</v>
      </c>
      <c r="G888" s="68"/>
      <c r="H888" s="162" t="s">
        <v>280</v>
      </c>
      <c r="I888" s="173">
        <v>21853.086195380012</v>
      </c>
      <c r="J888" s="168">
        <f>IFERROR(MIN('MP Calculations'!$E$30/I888,1),"-")</f>
        <v>0.32927792945511891</v>
      </c>
      <c r="K888" s="12"/>
      <c r="L888" s="159">
        <v>67.747431000000006</v>
      </c>
      <c r="M888" s="187" t="s">
        <v>293</v>
      </c>
      <c r="N888" s="187">
        <v>297.51652200000001</v>
      </c>
      <c r="O888" s="186">
        <f t="shared" si="43"/>
        <v>20155.980045554985</v>
      </c>
      <c r="P888" s="186">
        <f t="shared" si="44"/>
        <v>6636.9193755390388</v>
      </c>
      <c r="Q888" s="215">
        <f>IF(P888="-",0,P888/(1+'General inputs'!$H$30)^'MP Calculations'!$C$40)</f>
        <v>14742.516039740409</v>
      </c>
    </row>
    <row r="889" spans="3:17">
      <c r="C889" s="159"/>
      <c r="D889" s="165" t="s">
        <v>292</v>
      </c>
      <c r="E889" s="162">
        <v>32728</v>
      </c>
      <c r="F889" s="166" t="str">
        <f t="shared" si="42"/>
        <v>Date check - OK</v>
      </c>
      <c r="G889" s="68"/>
      <c r="H889" s="162" t="s">
        <v>280</v>
      </c>
      <c r="I889" s="173">
        <v>21853.086195380012</v>
      </c>
      <c r="J889" s="168">
        <f>IFERROR(MIN('MP Calculations'!$E$30/I889,1),"-")</f>
        <v>0.32927792945511891</v>
      </c>
      <c r="K889" s="12"/>
      <c r="L889" s="159">
        <v>7.1757390000000001</v>
      </c>
      <c r="M889" s="187" t="s">
        <v>293</v>
      </c>
      <c r="N889" s="187">
        <v>297.51652200000001</v>
      </c>
      <c r="O889" s="186">
        <f t="shared" si="43"/>
        <v>2134.9009100597582</v>
      </c>
      <c r="P889" s="186">
        <f t="shared" si="44"/>
        <v>702.97575125632625</v>
      </c>
      <c r="Q889" s="215">
        <f>IF(P889="-",0,P889/(1+'General inputs'!$H$30)^'MP Calculations'!$C$40)</f>
        <v>1561.512307448098</v>
      </c>
    </row>
    <row r="890" spans="3:17">
      <c r="C890" s="159"/>
      <c r="D890" s="165" t="s">
        <v>292</v>
      </c>
      <c r="E890" s="162">
        <v>32728</v>
      </c>
      <c r="F890" s="166" t="str">
        <f t="shared" si="42"/>
        <v>Date check - OK</v>
      </c>
      <c r="G890" s="68"/>
      <c r="H890" s="162" t="s">
        <v>280</v>
      </c>
      <c r="I890" s="173">
        <v>21853.086195380012</v>
      </c>
      <c r="J890" s="168">
        <f>IFERROR(MIN('MP Calculations'!$E$30/I890,1),"-")</f>
        <v>0.32927792945511891</v>
      </c>
      <c r="K890" s="12"/>
      <c r="L890" s="159">
        <v>9.1761459999999992</v>
      </c>
      <c r="M890" s="187" t="s">
        <v>293</v>
      </c>
      <c r="N890" s="187">
        <v>297.51652200000001</v>
      </c>
      <c r="O890" s="186">
        <f t="shared" si="43"/>
        <v>2730.0550432842119</v>
      </c>
      <c r="P890" s="186">
        <f t="shared" si="44"/>
        <v>898.94687195113033</v>
      </c>
      <c r="Q890" s="215">
        <f>IF(P890="-",0,P890/(1+'General inputs'!$H$30)^'MP Calculations'!$C$40)</f>
        <v>1996.8208032567281</v>
      </c>
    </row>
    <row r="891" spans="3:17">
      <c r="C891" s="159"/>
      <c r="D891" s="165" t="s">
        <v>292</v>
      </c>
      <c r="E891" s="162">
        <v>32728</v>
      </c>
      <c r="F891" s="166" t="str">
        <f t="shared" si="42"/>
        <v>Date check - OK</v>
      </c>
      <c r="G891" s="68"/>
      <c r="H891" s="162" t="s">
        <v>280</v>
      </c>
      <c r="I891" s="173">
        <v>21853.086195380012</v>
      </c>
      <c r="J891" s="168">
        <f>IFERROR(MIN('MP Calculations'!$E$30/I891,1),"-")</f>
        <v>0.32927792945511891</v>
      </c>
      <c r="K891" s="12"/>
      <c r="L891" s="159">
        <v>2.7833209999999999</v>
      </c>
      <c r="M891" s="187" t="s">
        <v>293</v>
      </c>
      <c r="N891" s="187">
        <v>297.51652200000001</v>
      </c>
      <c r="O891" s="186">
        <f t="shared" si="43"/>
        <v>828.08398352956203</v>
      </c>
      <c r="P891" s="186">
        <f t="shared" si="44"/>
        <v>272.66977951156099</v>
      </c>
      <c r="Q891" s="215">
        <f>IF(P891="-",0,P891/(1+'General inputs'!$H$30)^'MP Calculations'!$C$40)</f>
        <v>605.67838338026888</v>
      </c>
    </row>
    <row r="892" spans="3:17">
      <c r="C892" s="159"/>
      <c r="D892" s="165" t="s">
        <v>292</v>
      </c>
      <c r="E892" s="162">
        <v>32728</v>
      </c>
      <c r="F892" s="166" t="str">
        <f t="shared" si="42"/>
        <v>Date check - OK</v>
      </c>
      <c r="G892" s="68"/>
      <c r="H892" s="162" t="s">
        <v>280</v>
      </c>
      <c r="I892" s="173">
        <v>21853.086195380012</v>
      </c>
      <c r="J892" s="168">
        <f>IFERROR(MIN('MP Calculations'!$E$30/I892,1),"-")</f>
        <v>0.32927792945511891</v>
      </c>
      <c r="K892" s="12"/>
      <c r="L892" s="159">
        <v>127.82560100000001</v>
      </c>
      <c r="M892" s="187" t="s">
        <v>293</v>
      </c>
      <c r="N892" s="187">
        <v>297.51652200000001</v>
      </c>
      <c r="O892" s="186">
        <f t="shared" si="43"/>
        <v>38030.228232079724</v>
      </c>
      <c r="P892" s="186">
        <f t="shared" si="44"/>
        <v>12522.514808964819</v>
      </c>
      <c r="Q892" s="215">
        <f>IF(P892="-",0,P892/(1+'General inputs'!$H$30)^'MP Calculations'!$C$40)</f>
        <v>27816.124467243011</v>
      </c>
    </row>
    <row r="893" spans="3:17">
      <c r="C893" s="159"/>
      <c r="D893" s="165" t="s">
        <v>282</v>
      </c>
      <c r="E893" s="162">
        <v>32728</v>
      </c>
      <c r="F893" s="166" t="str">
        <f t="shared" si="42"/>
        <v>Date check - OK</v>
      </c>
      <c r="G893" s="68"/>
      <c r="H893" s="162" t="s">
        <v>280</v>
      </c>
      <c r="I893" s="173">
        <v>21853.086195380012</v>
      </c>
      <c r="J893" s="168">
        <f>IFERROR(MIN('MP Calculations'!$E$30/I893,1),"-")</f>
        <v>0.32927792945511891</v>
      </c>
      <c r="K893" s="12"/>
      <c r="L893" s="159">
        <v>1.799914</v>
      </c>
      <c r="M893" s="187" t="s">
        <v>293</v>
      </c>
      <c r="N893" s="187">
        <v>237.97403299999999</v>
      </c>
      <c r="O893" s="186">
        <f t="shared" si="43"/>
        <v>428.332793633162</v>
      </c>
      <c r="P893" s="186">
        <f t="shared" si="44"/>
        <v>141.04053540525433</v>
      </c>
      <c r="Q893" s="215">
        <f>IF(P893="-",0,P893/(1+'General inputs'!$H$30)^'MP Calculations'!$C$40)</f>
        <v>313.29179063541972</v>
      </c>
    </row>
    <row r="894" spans="3:17">
      <c r="C894" s="159"/>
      <c r="D894" s="165" t="s">
        <v>282</v>
      </c>
      <c r="E894" s="162">
        <v>32728</v>
      </c>
      <c r="F894" s="166" t="str">
        <f t="shared" si="42"/>
        <v>Date check - OK</v>
      </c>
      <c r="G894" s="68"/>
      <c r="H894" s="162" t="s">
        <v>280</v>
      </c>
      <c r="I894" s="173">
        <v>21853.086195380012</v>
      </c>
      <c r="J894" s="168">
        <f>IFERROR(MIN('MP Calculations'!$E$30/I894,1),"-")</f>
        <v>0.32927792945511891</v>
      </c>
      <c r="K894" s="12"/>
      <c r="L894" s="159">
        <v>0.20047999999999999</v>
      </c>
      <c r="M894" s="187" t="s">
        <v>293</v>
      </c>
      <c r="N894" s="187">
        <v>237.97403299999999</v>
      </c>
      <c r="O894" s="186">
        <f t="shared" si="43"/>
        <v>47.70903413584</v>
      </c>
      <c r="P894" s="186">
        <f t="shared" si="44"/>
        <v>15.709531976552983</v>
      </c>
      <c r="Q894" s="215">
        <f>IF(P894="-",0,P894/(1+'General inputs'!$H$30)^'MP Calculations'!$C$40)</f>
        <v>34.895410662169937</v>
      </c>
    </row>
    <row r="895" spans="3:17">
      <c r="C895" s="159"/>
      <c r="D895" s="165" t="s">
        <v>292</v>
      </c>
      <c r="E895" s="162">
        <v>32728</v>
      </c>
      <c r="F895" s="166" t="str">
        <f t="shared" si="42"/>
        <v>Date check - OK</v>
      </c>
      <c r="G895" s="68"/>
      <c r="H895" s="162" t="s">
        <v>280</v>
      </c>
      <c r="I895" s="173">
        <v>21853.086195380012</v>
      </c>
      <c r="J895" s="168">
        <f>IFERROR(MIN('MP Calculations'!$E$30/I895,1),"-")</f>
        <v>0.32927792945511891</v>
      </c>
      <c r="K895" s="12"/>
      <c r="L895" s="159">
        <v>45.528001000000003</v>
      </c>
      <c r="M895" s="187" t="s">
        <v>293</v>
      </c>
      <c r="N895" s="187">
        <v>297.51652200000001</v>
      </c>
      <c r="O895" s="186">
        <f t="shared" si="43"/>
        <v>13545.332511132523</v>
      </c>
      <c r="P895" s="186">
        <f t="shared" si="44"/>
        <v>4460.1790430468236</v>
      </c>
      <c r="Q895" s="215">
        <f>IF(P895="-",0,P895/(1+'General inputs'!$H$30)^'MP Calculations'!$C$40)</f>
        <v>9907.3466711943274</v>
      </c>
    </row>
    <row r="896" spans="3:17">
      <c r="C896" s="159"/>
      <c r="D896" s="165" t="s">
        <v>283</v>
      </c>
      <c r="E896" s="162">
        <v>32874</v>
      </c>
      <c r="F896" s="166" t="str">
        <f t="shared" si="42"/>
        <v>Date check - OK</v>
      </c>
      <c r="G896" s="68"/>
      <c r="H896" s="162" t="s">
        <v>280</v>
      </c>
      <c r="I896" s="173">
        <v>21853.086195380012</v>
      </c>
      <c r="J896" s="168">
        <f>IFERROR(MIN('MP Calculations'!$E$30/I896,1),"-")</f>
        <v>0.32927792945511891</v>
      </c>
      <c r="K896" s="12"/>
      <c r="L896" s="159">
        <v>28.688438000000001</v>
      </c>
      <c r="M896" s="187" t="s">
        <v>293</v>
      </c>
      <c r="N896" s="187">
        <v>192.78728599999999</v>
      </c>
      <c r="O896" s="186">
        <f t="shared" si="43"/>
        <v>5530.766101599268</v>
      </c>
      <c r="P896" s="186">
        <f t="shared" si="44"/>
        <v>1821.1592102351667</v>
      </c>
      <c r="Q896" s="215">
        <f>IF(P896="-",0,P896/(1+'General inputs'!$H$30)^'MP Calculations'!$C$40)</f>
        <v>4045.3209310882035</v>
      </c>
    </row>
    <row r="897" spans="3:17">
      <c r="C897" s="159"/>
      <c r="D897" s="165" t="s">
        <v>283</v>
      </c>
      <c r="E897" s="162">
        <v>32934</v>
      </c>
      <c r="F897" s="166" t="str">
        <f t="shared" si="42"/>
        <v>Date check - OK</v>
      </c>
      <c r="G897" s="68"/>
      <c r="H897" s="162" t="s">
        <v>280</v>
      </c>
      <c r="I897" s="173">
        <v>21853.086195380012</v>
      </c>
      <c r="J897" s="168">
        <f>IFERROR(MIN('MP Calculations'!$E$30/I897,1),"-")</f>
        <v>0.32927792945511891</v>
      </c>
      <c r="K897" s="12"/>
      <c r="L897" s="159">
        <v>44.484378999999997</v>
      </c>
      <c r="M897" s="187" t="s">
        <v>293</v>
      </c>
      <c r="N897" s="187">
        <v>192.78728599999999</v>
      </c>
      <c r="O897" s="186">
        <f t="shared" si="43"/>
        <v>8576.0226968053939</v>
      </c>
      <c r="P897" s="186">
        <f t="shared" si="44"/>
        <v>2823.894996564185</v>
      </c>
      <c r="Q897" s="215">
        <f>IF(P897="-",0,P897/(1+'General inputs'!$H$30)^'MP Calculations'!$C$40)</f>
        <v>6272.6869087525965</v>
      </c>
    </row>
    <row r="898" spans="3:17">
      <c r="C898" s="159"/>
      <c r="D898" s="165" t="s">
        <v>283</v>
      </c>
      <c r="E898" s="162">
        <v>32934</v>
      </c>
      <c r="F898" s="166" t="str">
        <f t="shared" si="42"/>
        <v>Date check - OK</v>
      </c>
      <c r="G898" s="68"/>
      <c r="H898" s="162" t="s">
        <v>280</v>
      </c>
      <c r="I898" s="173">
        <v>21853.086195380012</v>
      </c>
      <c r="J898" s="168">
        <f>IFERROR(MIN('MP Calculations'!$E$30/I898,1),"-")</f>
        <v>0.32927792945511891</v>
      </c>
      <c r="K898" s="12"/>
      <c r="L898" s="159">
        <v>58.744886999999999</v>
      </c>
      <c r="M898" s="187" t="s">
        <v>293</v>
      </c>
      <c r="N898" s="187">
        <v>192.78728599999999</v>
      </c>
      <c r="O898" s="186">
        <f t="shared" si="43"/>
        <v>11325.267331106681</v>
      </c>
      <c r="P898" s="186">
        <f t="shared" si="44"/>
        <v>3729.1605773125084</v>
      </c>
      <c r="Q898" s="215">
        <f>IF(P898="-",0,P898/(1+'General inputs'!$H$30)^'MP Calculations'!$C$40)</f>
        <v>8283.5433903899284</v>
      </c>
    </row>
    <row r="899" spans="3:17">
      <c r="C899" s="159"/>
      <c r="D899" s="165" t="s">
        <v>283</v>
      </c>
      <c r="E899" s="162">
        <v>32934</v>
      </c>
      <c r="F899" s="166" t="str">
        <f t="shared" si="42"/>
        <v>Date check - OK</v>
      </c>
      <c r="G899" s="68"/>
      <c r="H899" s="162" t="s">
        <v>280</v>
      </c>
      <c r="I899" s="173">
        <v>21853.086195380012</v>
      </c>
      <c r="J899" s="168">
        <f>IFERROR(MIN('MP Calculations'!$E$30/I899,1),"-")</f>
        <v>0.32927792945511891</v>
      </c>
      <c r="K899" s="12"/>
      <c r="L899" s="159">
        <v>40.715207999999997</v>
      </c>
      <c r="M899" s="187" t="s">
        <v>293</v>
      </c>
      <c r="N899" s="187">
        <v>192.78728599999999</v>
      </c>
      <c r="O899" s="186">
        <f t="shared" si="43"/>
        <v>7849.3744492454871</v>
      </c>
      <c r="P899" s="186">
        <f t="shared" si="44"/>
        <v>2584.6257661654686</v>
      </c>
      <c r="Q899" s="215">
        <f>IF(P899="-",0,P899/(1+'General inputs'!$H$30)^'MP Calculations'!$C$40)</f>
        <v>5741.2007978966949</v>
      </c>
    </row>
    <row r="900" spans="3:17">
      <c r="C900" s="159"/>
      <c r="D900" s="165" t="s">
        <v>283</v>
      </c>
      <c r="E900" s="162">
        <v>32934</v>
      </c>
      <c r="F900" s="166" t="str">
        <f t="shared" si="42"/>
        <v>Date check - OK</v>
      </c>
      <c r="G900" s="68"/>
      <c r="H900" s="162" t="s">
        <v>280</v>
      </c>
      <c r="I900" s="173">
        <v>21853.086195380012</v>
      </c>
      <c r="J900" s="168">
        <f>IFERROR(MIN('MP Calculations'!$E$30/I900,1),"-")</f>
        <v>0.32927792945511891</v>
      </c>
      <c r="K900" s="12"/>
      <c r="L900" s="159">
        <v>13.372312000000001</v>
      </c>
      <c r="M900" s="187" t="s">
        <v>293</v>
      </c>
      <c r="N900" s="187">
        <v>192.78728599999999</v>
      </c>
      <c r="O900" s="186">
        <f t="shared" si="43"/>
        <v>2578.0117380252323</v>
      </c>
      <c r="P900" s="186">
        <f t="shared" si="44"/>
        <v>848.88236720794089</v>
      </c>
      <c r="Q900" s="215">
        <f>IF(P900="-",0,P900/(1+'General inputs'!$H$30)^'MP Calculations'!$C$40)</f>
        <v>1885.6130693013665</v>
      </c>
    </row>
    <row r="901" spans="3:17">
      <c r="C901" s="159"/>
      <c r="D901" s="165" t="s">
        <v>283</v>
      </c>
      <c r="E901" s="162">
        <v>33025</v>
      </c>
      <c r="F901" s="166" t="str">
        <f t="shared" si="42"/>
        <v>Date check - OK</v>
      </c>
      <c r="G901" s="68"/>
      <c r="H901" s="162" t="s">
        <v>280</v>
      </c>
      <c r="I901" s="173">
        <v>21853.086195380012</v>
      </c>
      <c r="J901" s="168">
        <f>IFERROR(MIN('MP Calculations'!$E$30/I901,1),"-")</f>
        <v>0.32927792945511891</v>
      </c>
      <c r="K901" s="12"/>
      <c r="L901" s="159">
        <v>2.9996520000000002</v>
      </c>
      <c r="M901" s="187" t="s">
        <v>293</v>
      </c>
      <c r="N901" s="187">
        <v>192.78728599999999</v>
      </c>
      <c r="O901" s="186">
        <f t="shared" si="43"/>
        <v>578.29476802447198</v>
      </c>
      <c r="P901" s="186">
        <f t="shared" si="44"/>
        <v>190.41970382982643</v>
      </c>
      <c r="Q901" s="215">
        <f>IF(P901="-",0,P901/(1+'General inputs'!$H$30)^'MP Calculations'!$C$40)</f>
        <v>422.97719456111867</v>
      </c>
    </row>
    <row r="902" spans="3:17">
      <c r="C902" s="159"/>
      <c r="D902" s="165" t="s">
        <v>283</v>
      </c>
      <c r="E902" s="162">
        <v>33270</v>
      </c>
      <c r="F902" s="166" t="str">
        <f t="shared" si="42"/>
        <v>Date check - OK</v>
      </c>
      <c r="G902" s="68"/>
      <c r="H902" s="162" t="s">
        <v>280</v>
      </c>
      <c r="I902" s="173">
        <v>21853.086195380012</v>
      </c>
      <c r="J902" s="168">
        <f>IFERROR(MIN('MP Calculations'!$E$30/I902,1),"-")</f>
        <v>0.32927792945511891</v>
      </c>
      <c r="K902" s="12"/>
      <c r="L902" s="159">
        <v>10.79569</v>
      </c>
      <c r="M902" s="187" t="s">
        <v>293</v>
      </c>
      <c r="N902" s="187">
        <v>192.78728599999999</v>
      </c>
      <c r="O902" s="186">
        <f t="shared" si="43"/>
        <v>2081.2717755973399</v>
      </c>
      <c r="P902" s="186">
        <f t="shared" si="44"/>
        <v>685.31686090207097</v>
      </c>
      <c r="Q902" s="215">
        <f>IF(P902="-",0,P902/(1+'General inputs'!$H$30)^'MP Calculations'!$C$40)</f>
        <v>1522.2868084536219</v>
      </c>
    </row>
    <row r="903" spans="3:17">
      <c r="C903" s="159"/>
      <c r="D903" s="165" t="s">
        <v>283</v>
      </c>
      <c r="E903" s="162">
        <v>33283</v>
      </c>
      <c r="F903" s="166" t="str">
        <f t="shared" si="42"/>
        <v>Date check - OK</v>
      </c>
      <c r="G903" s="68"/>
      <c r="H903" s="162" t="s">
        <v>280</v>
      </c>
      <c r="I903" s="173">
        <v>21853.086195380012</v>
      </c>
      <c r="J903" s="168">
        <f>IFERROR(MIN('MP Calculations'!$E$30/I903,1),"-")</f>
        <v>0.32927792945511891</v>
      </c>
      <c r="K903" s="12"/>
      <c r="L903" s="159">
        <v>36.124957999999999</v>
      </c>
      <c r="M903" s="187" t="s">
        <v>293</v>
      </c>
      <c r="N903" s="187">
        <v>192.78728599999999</v>
      </c>
      <c r="O903" s="186">
        <f t="shared" si="43"/>
        <v>6964.4326096839877</v>
      </c>
      <c r="P903" s="186">
        <f t="shared" si="44"/>
        <v>2293.2339495464539</v>
      </c>
      <c r="Q903" s="215">
        <f>IF(P903="-",0,P903/(1+'General inputs'!$H$30)^'MP Calculations'!$C$40)</f>
        <v>5093.9353593277629</v>
      </c>
    </row>
    <row r="904" spans="3:17">
      <c r="C904" s="159"/>
      <c r="D904" s="165" t="s">
        <v>283</v>
      </c>
      <c r="E904" s="162">
        <v>33283</v>
      </c>
      <c r="F904" s="166" t="str">
        <f t="shared" si="42"/>
        <v>Date check - OK</v>
      </c>
      <c r="G904" s="68"/>
      <c r="H904" s="162" t="s">
        <v>280</v>
      </c>
      <c r="I904" s="173">
        <v>21853.086195380012</v>
      </c>
      <c r="J904" s="168">
        <f>IFERROR(MIN('MP Calculations'!$E$30/I904,1),"-")</f>
        <v>0.32927792945511891</v>
      </c>
      <c r="K904" s="12"/>
      <c r="L904" s="159">
        <v>47.931426000000002</v>
      </c>
      <c r="M904" s="187" t="s">
        <v>293</v>
      </c>
      <c r="N904" s="187">
        <v>192.78728599999999</v>
      </c>
      <c r="O904" s="186">
        <f t="shared" si="43"/>
        <v>9240.5695326498353</v>
      </c>
      <c r="P904" s="186">
        <f t="shared" si="44"/>
        <v>3042.7156026969938</v>
      </c>
      <c r="Q904" s="215">
        <f>IF(P904="-",0,P904/(1+'General inputs'!$H$30)^'MP Calculations'!$C$40)</f>
        <v>6758.7507153476017</v>
      </c>
    </row>
    <row r="905" spans="3:17">
      <c r="C905" s="159"/>
      <c r="D905" s="165" t="s">
        <v>283</v>
      </c>
      <c r="E905" s="162">
        <v>33283</v>
      </c>
      <c r="F905" s="166" t="str">
        <f t="shared" si="42"/>
        <v>Date check - OK</v>
      </c>
      <c r="G905" s="68"/>
      <c r="H905" s="162" t="s">
        <v>280</v>
      </c>
      <c r="I905" s="173">
        <v>21853.086195380012</v>
      </c>
      <c r="J905" s="168">
        <f>IFERROR(MIN('MP Calculations'!$E$30/I905,1),"-")</f>
        <v>0.32927792945511891</v>
      </c>
      <c r="K905" s="12"/>
      <c r="L905" s="159">
        <v>11.995552</v>
      </c>
      <c r="M905" s="187" t="s">
        <v>293</v>
      </c>
      <c r="N905" s="187">
        <v>192.78728599999999</v>
      </c>
      <c r="O905" s="186">
        <f t="shared" si="43"/>
        <v>2312.5899141518721</v>
      </c>
      <c r="P905" s="186">
        <f t="shared" si="44"/>
        <v>761.48481861071969</v>
      </c>
      <c r="Q905" s="215">
        <f>IF(P905="-",0,P905/(1+'General inputs'!$H$30)^'MP Calculations'!$C$40)</f>
        <v>1691.4778554885759</v>
      </c>
    </row>
    <row r="906" spans="3:17">
      <c r="C906" s="159"/>
      <c r="D906" s="165" t="s">
        <v>283</v>
      </c>
      <c r="E906" s="162">
        <v>33283</v>
      </c>
      <c r="F906" s="166" t="str">
        <f t="shared" si="42"/>
        <v>Date check - OK</v>
      </c>
      <c r="G906" s="68"/>
      <c r="H906" s="162" t="s">
        <v>280</v>
      </c>
      <c r="I906" s="173">
        <v>21853.086195380012</v>
      </c>
      <c r="J906" s="168">
        <f>IFERROR(MIN('MP Calculations'!$E$30/I906,1),"-")</f>
        <v>0.32927792945511891</v>
      </c>
      <c r="K906" s="12"/>
      <c r="L906" s="159">
        <v>3.2928130000000002</v>
      </c>
      <c r="M906" s="187" t="s">
        <v>293</v>
      </c>
      <c r="N906" s="187">
        <v>192.78728599999999</v>
      </c>
      <c r="O906" s="186">
        <f t="shared" si="43"/>
        <v>634.81248157551806</v>
      </c>
      <c r="P906" s="186">
        <f t="shared" si="44"/>
        <v>209.02973952545241</v>
      </c>
      <c r="Q906" s="215">
        <f>IF(P906="-",0,P906/(1+'General inputs'!$H$30)^'MP Calculations'!$C$40)</f>
        <v>464.31546224508082</v>
      </c>
    </row>
    <row r="907" spans="3:17">
      <c r="C907" s="159"/>
      <c r="D907" s="165" t="s">
        <v>283</v>
      </c>
      <c r="E907" s="162">
        <v>33283</v>
      </c>
      <c r="F907" s="166" t="str">
        <f t="shared" si="42"/>
        <v>Date check - OK</v>
      </c>
      <c r="G907" s="68"/>
      <c r="H907" s="162" t="s">
        <v>280</v>
      </c>
      <c r="I907" s="173">
        <v>21853.086195380012</v>
      </c>
      <c r="J907" s="168">
        <f>IFERROR(MIN('MP Calculations'!$E$30/I907,1),"-")</f>
        <v>0.32927792945511891</v>
      </c>
      <c r="K907" s="12"/>
      <c r="L907" s="159">
        <v>24.440131000000001</v>
      </c>
      <c r="M907" s="187" t="s">
        <v>293</v>
      </c>
      <c r="N907" s="187">
        <v>192.78728599999999</v>
      </c>
      <c r="O907" s="186">
        <f t="shared" si="43"/>
        <v>4711.7465249744664</v>
      </c>
      <c r="P907" s="186">
        <f t="shared" si="44"/>
        <v>1551.474139860944</v>
      </c>
      <c r="Q907" s="215">
        <f>IF(P907="-",0,P907/(1+'General inputs'!$H$30)^'MP Calculations'!$C$40)</f>
        <v>3446.2724492995285</v>
      </c>
    </row>
    <row r="908" spans="3:17">
      <c r="C908" s="159"/>
      <c r="D908" s="165" t="s">
        <v>283</v>
      </c>
      <c r="E908" s="162">
        <v>33283</v>
      </c>
      <c r="F908" s="166" t="str">
        <f t="shared" si="42"/>
        <v>Date check - OK</v>
      </c>
      <c r="G908" s="68"/>
      <c r="H908" s="162" t="s">
        <v>280</v>
      </c>
      <c r="I908" s="173">
        <v>21853.086195380012</v>
      </c>
      <c r="J908" s="168">
        <f>IFERROR(MIN('MP Calculations'!$E$30/I908,1),"-")</f>
        <v>0.32927792945511891</v>
      </c>
      <c r="K908" s="12"/>
      <c r="L908" s="159">
        <v>16.692851999999998</v>
      </c>
      <c r="M908" s="187" t="s">
        <v>293</v>
      </c>
      <c r="N908" s="187">
        <v>192.78728599999999</v>
      </c>
      <c r="O908" s="186">
        <f t="shared" si="43"/>
        <v>3218.1696326796714</v>
      </c>
      <c r="P908" s="186">
        <f t="shared" si="44"/>
        <v>1059.6722332841027</v>
      </c>
      <c r="Q908" s="215">
        <f>IF(P908="-",0,P908/(1+'General inputs'!$H$30)^'MP Calculations'!$C$40)</f>
        <v>2353.8382813019502</v>
      </c>
    </row>
    <row r="909" spans="3:17">
      <c r="C909" s="159"/>
      <c r="D909" s="165" t="s">
        <v>283</v>
      </c>
      <c r="E909" s="162">
        <v>33283</v>
      </c>
      <c r="F909" s="166" t="str">
        <f t="shared" si="42"/>
        <v>Date check - OK</v>
      </c>
      <c r="G909" s="68"/>
      <c r="H909" s="162" t="s">
        <v>280</v>
      </c>
      <c r="I909" s="173">
        <v>21853.086195380012</v>
      </c>
      <c r="J909" s="168">
        <f>IFERROR(MIN('MP Calculations'!$E$30/I909,1),"-")</f>
        <v>0.32927792945511891</v>
      </c>
      <c r="K909" s="12"/>
      <c r="L909" s="159">
        <v>7.9970350000000003</v>
      </c>
      <c r="M909" s="187" t="s">
        <v>293</v>
      </c>
      <c r="N909" s="187">
        <v>192.78728599999999</v>
      </c>
      <c r="O909" s="186">
        <f t="shared" si="43"/>
        <v>1541.72667369701</v>
      </c>
      <c r="P909" s="186">
        <f t="shared" si="44"/>
        <v>507.65656690067919</v>
      </c>
      <c r="Q909" s="215">
        <f>IF(P909="-",0,P909/(1+'General inputs'!$H$30)^'MP Calculations'!$C$40)</f>
        <v>1127.6519506619688</v>
      </c>
    </row>
    <row r="910" spans="3:17">
      <c r="C910" s="159"/>
      <c r="D910" s="165" t="s">
        <v>283</v>
      </c>
      <c r="E910" s="162">
        <v>33283</v>
      </c>
      <c r="F910" s="166" t="str">
        <f t="shared" si="42"/>
        <v>Date check - OK</v>
      </c>
      <c r="G910" s="68"/>
      <c r="H910" s="162" t="s">
        <v>280</v>
      </c>
      <c r="I910" s="173">
        <v>21853.086195380012</v>
      </c>
      <c r="J910" s="168">
        <f>IFERROR(MIN('MP Calculations'!$E$30/I910,1),"-")</f>
        <v>0.32927792945511891</v>
      </c>
      <c r="K910" s="12"/>
      <c r="L910" s="159">
        <v>1.2992649999999999</v>
      </c>
      <c r="M910" s="187" t="s">
        <v>293</v>
      </c>
      <c r="N910" s="187">
        <v>192.78728599999999</v>
      </c>
      <c r="O910" s="186">
        <f t="shared" si="43"/>
        <v>250.48177314478997</v>
      </c>
      <c r="P910" s="186">
        <f t="shared" si="44"/>
        <v>82.478119627363256</v>
      </c>
      <c r="Q910" s="215">
        <f>IF(P910="-",0,P910/(1+'General inputs'!$H$30)^'MP Calculations'!$C$40)</f>
        <v>183.20774032836206</v>
      </c>
    </row>
    <row r="911" spans="3:17">
      <c r="C911" s="159"/>
      <c r="D911" s="165" t="s">
        <v>283</v>
      </c>
      <c r="E911" s="162">
        <v>33283</v>
      </c>
      <c r="F911" s="166" t="str">
        <f t="shared" si="42"/>
        <v>Date check - OK</v>
      </c>
      <c r="G911" s="68"/>
      <c r="H911" s="162" t="s">
        <v>280</v>
      </c>
      <c r="I911" s="173">
        <v>21853.086195380012</v>
      </c>
      <c r="J911" s="168">
        <f>IFERROR(MIN('MP Calculations'!$E$30/I911,1),"-")</f>
        <v>0.32927792945511891</v>
      </c>
      <c r="K911" s="12"/>
      <c r="L911" s="159">
        <v>21.991223999999999</v>
      </c>
      <c r="M911" s="187" t="s">
        <v>293</v>
      </c>
      <c r="N911" s="187">
        <v>192.78728599999999</v>
      </c>
      <c r="O911" s="186">
        <f t="shared" si="43"/>
        <v>4239.6283907780635</v>
      </c>
      <c r="P911" s="186">
        <f t="shared" si="44"/>
        <v>1396.0160581745386</v>
      </c>
      <c r="Q911" s="215">
        <f>IF(P911="-",0,P911/(1+'General inputs'!$H$30)^'MP Calculations'!$C$40)</f>
        <v>3100.9551216224891</v>
      </c>
    </row>
    <row r="912" spans="3:17">
      <c r="C912" s="159"/>
      <c r="D912" s="165" t="s">
        <v>283</v>
      </c>
      <c r="E912" s="162">
        <v>33283</v>
      </c>
      <c r="F912" s="166" t="str">
        <f t="shared" si="42"/>
        <v>Date check - OK</v>
      </c>
      <c r="G912" s="68"/>
      <c r="H912" s="162" t="s">
        <v>280</v>
      </c>
      <c r="I912" s="173">
        <v>21853.086195380012</v>
      </c>
      <c r="J912" s="168">
        <f>IFERROR(MIN('MP Calculations'!$E$30/I912,1),"-")</f>
        <v>0.32927792945511891</v>
      </c>
      <c r="K912" s="12"/>
      <c r="L912" s="159">
        <v>0.297128</v>
      </c>
      <c r="M912" s="187" t="s">
        <v>293</v>
      </c>
      <c r="N912" s="187">
        <v>192.78728599999999</v>
      </c>
      <c r="O912" s="186">
        <f t="shared" si="43"/>
        <v>57.282500714607998</v>
      </c>
      <c r="P912" s="186">
        <f t="shared" si="44"/>
        <v>18.861863229317493</v>
      </c>
      <c r="Q912" s="215">
        <f>IF(P912="-",0,P912/(1+'General inputs'!$H$30)^'MP Calculations'!$C$40)</f>
        <v>41.897649415850935</v>
      </c>
    </row>
    <row r="913" spans="3:17">
      <c r="C913" s="159"/>
      <c r="D913" s="165" t="s">
        <v>283</v>
      </c>
      <c r="E913" s="162">
        <v>33283</v>
      </c>
      <c r="F913" s="166" t="str">
        <f t="shared" si="42"/>
        <v>Date check - OK</v>
      </c>
      <c r="G913" s="68"/>
      <c r="H913" s="162" t="s">
        <v>280</v>
      </c>
      <c r="I913" s="173">
        <v>21853.086195380012</v>
      </c>
      <c r="J913" s="168">
        <f>IFERROR(MIN('MP Calculations'!$E$30/I913,1),"-")</f>
        <v>0.32927792945511891</v>
      </c>
      <c r="K913" s="12"/>
      <c r="L913" s="159">
        <v>23.708290999999999</v>
      </c>
      <c r="M913" s="187" t="s">
        <v>293</v>
      </c>
      <c r="N913" s="187">
        <v>192.78728599999999</v>
      </c>
      <c r="O913" s="186">
        <f t="shared" si="43"/>
        <v>4570.6570775882255</v>
      </c>
      <c r="P913" s="186">
        <f t="shared" si="44"/>
        <v>1505.0164987576356</v>
      </c>
      <c r="Q913" s="215">
        <f>IF(P913="-",0,P913/(1+'General inputs'!$H$30)^'MP Calculations'!$C$40)</f>
        <v>3343.0766018920258</v>
      </c>
    </row>
    <row r="914" spans="3:17">
      <c r="C914" s="159"/>
      <c r="D914" s="165" t="s">
        <v>283</v>
      </c>
      <c r="E914" s="162">
        <v>33394</v>
      </c>
      <c r="F914" s="166" t="str">
        <f t="shared" si="42"/>
        <v>Date check - OK</v>
      </c>
      <c r="G914" s="68"/>
      <c r="H914" s="162" t="s">
        <v>280</v>
      </c>
      <c r="I914" s="173">
        <v>21853.086195380012</v>
      </c>
      <c r="J914" s="168">
        <f>IFERROR(MIN('MP Calculations'!$E$30/I914,1),"-")</f>
        <v>0.32927792945511891</v>
      </c>
      <c r="K914" s="12"/>
      <c r="L914" s="159">
        <v>0.50143000000000004</v>
      </c>
      <c r="M914" s="187" t="s">
        <v>293</v>
      </c>
      <c r="N914" s="187">
        <v>192.78728599999999</v>
      </c>
      <c r="O914" s="186">
        <f t="shared" si="43"/>
        <v>96.669328818980006</v>
      </c>
      <c r="P914" s="186">
        <f t="shared" si="44"/>
        <v>31.831076435329791</v>
      </c>
      <c r="Q914" s="215">
        <f>IF(P914="-",0,P914/(1+'General inputs'!$H$30)^'MP Calculations'!$C$40)</f>
        <v>70.706020121261318</v>
      </c>
    </row>
    <row r="915" spans="3:17">
      <c r="C915" s="159"/>
      <c r="D915" s="165" t="s">
        <v>283</v>
      </c>
      <c r="E915" s="162">
        <v>33394</v>
      </c>
      <c r="F915" s="166" t="str">
        <f t="shared" si="42"/>
        <v>Date check - OK</v>
      </c>
      <c r="G915" s="68"/>
      <c r="H915" s="162" t="s">
        <v>280</v>
      </c>
      <c r="I915" s="173">
        <v>21853.086195380012</v>
      </c>
      <c r="J915" s="168">
        <f>IFERROR(MIN('MP Calculations'!$E$30/I915,1),"-")</f>
        <v>0.32927792945511891</v>
      </c>
      <c r="K915" s="12"/>
      <c r="L915" s="159">
        <v>116.637208</v>
      </c>
      <c r="M915" s="187" t="s">
        <v>293</v>
      </c>
      <c r="N915" s="187">
        <v>192.78728599999999</v>
      </c>
      <c r="O915" s="186">
        <f t="shared" si="43"/>
        <v>22486.170776937488</v>
      </c>
      <c r="P915" s="186">
        <f t="shared" si="44"/>
        <v>7404.1997548041782</v>
      </c>
      <c r="Q915" s="215">
        <f>IF(P915="-",0,P915/(1+'General inputs'!$H$30)^'MP Calculations'!$C$40)</f>
        <v>16446.867510391763</v>
      </c>
    </row>
    <row r="916" spans="3:17">
      <c r="C916" s="159"/>
      <c r="D916" s="165" t="s">
        <v>283</v>
      </c>
      <c r="E916" s="162">
        <v>33394</v>
      </c>
      <c r="F916" s="166" t="str">
        <f t="shared" si="42"/>
        <v>Date check - OK</v>
      </c>
      <c r="G916" s="68"/>
      <c r="H916" s="162" t="s">
        <v>280</v>
      </c>
      <c r="I916" s="173">
        <v>21853.086195380012</v>
      </c>
      <c r="J916" s="168">
        <f>IFERROR(MIN('MP Calculations'!$E$30/I916,1),"-")</f>
        <v>0.32927792945511891</v>
      </c>
      <c r="K916" s="12"/>
      <c r="L916" s="159">
        <v>30.285686999999999</v>
      </c>
      <c r="M916" s="187" t="s">
        <v>293</v>
      </c>
      <c r="N916" s="187">
        <v>192.78728599999999</v>
      </c>
      <c r="O916" s="186">
        <f t="shared" si="43"/>
        <v>5838.6954013754821</v>
      </c>
      <c r="P916" s="186">
        <f t="shared" si="44"/>
        <v>1922.5535324840432</v>
      </c>
      <c r="Q916" s="215">
        <f>IF(P916="-",0,P916/(1+'General inputs'!$H$30)^'MP Calculations'!$C$40)</f>
        <v>4270.5470243268701</v>
      </c>
    </row>
    <row r="917" spans="3:17">
      <c r="C917" s="159"/>
      <c r="D917" s="165" t="s">
        <v>283</v>
      </c>
      <c r="E917" s="162">
        <v>33394</v>
      </c>
      <c r="F917" s="166" t="str">
        <f t="shared" si="42"/>
        <v>Date check - OK</v>
      </c>
      <c r="G917" s="68"/>
      <c r="H917" s="162" t="s">
        <v>280</v>
      </c>
      <c r="I917" s="173">
        <v>21853.086195380012</v>
      </c>
      <c r="J917" s="168">
        <f>IFERROR(MIN('MP Calculations'!$E$30/I917,1),"-")</f>
        <v>0.32927792945511891</v>
      </c>
      <c r="K917" s="12"/>
      <c r="L917" s="159">
        <v>41.293438000000002</v>
      </c>
      <c r="M917" s="187" t="s">
        <v>293</v>
      </c>
      <c r="N917" s="187">
        <v>192.78728599999999</v>
      </c>
      <c r="O917" s="186">
        <f t="shared" si="43"/>
        <v>7960.8498416292678</v>
      </c>
      <c r="P917" s="186">
        <f t="shared" si="44"/>
        <v>2621.3321525547967</v>
      </c>
      <c r="Q917" s="215">
        <f>IF(P917="-",0,P917/(1+'General inputs'!$H$30)^'MP Calculations'!$C$40)</f>
        <v>5822.7362904175197</v>
      </c>
    </row>
    <row r="918" spans="3:17">
      <c r="C918" s="159"/>
      <c r="D918" s="165" t="s">
        <v>283</v>
      </c>
      <c r="E918" s="162">
        <v>33394</v>
      </c>
      <c r="F918" s="166" t="str">
        <f t="shared" si="42"/>
        <v>Date check - OK</v>
      </c>
      <c r="G918" s="68"/>
      <c r="H918" s="162" t="s">
        <v>280</v>
      </c>
      <c r="I918" s="173">
        <v>21853.086195380012</v>
      </c>
      <c r="J918" s="168">
        <f>IFERROR(MIN('MP Calculations'!$E$30/I918,1),"-")</f>
        <v>0.32927792945511891</v>
      </c>
      <c r="K918" s="12"/>
      <c r="L918" s="159">
        <v>9.7305519999999994</v>
      </c>
      <c r="M918" s="187" t="s">
        <v>293</v>
      </c>
      <c r="N918" s="187">
        <v>192.78728599999999</v>
      </c>
      <c r="O918" s="186">
        <f t="shared" si="43"/>
        <v>1875.9267113618719</v>
      </c>
      <c r="P918" s="186">
        <f t="shared" si="44"/>
        <v>617.70126332678763</v>
      </c>
      <c r="Q918" s="215">
        <f>IF(P918="-",0,P918/(1+'General inputs'!$H$30)^'MP Calculations'!$C$40)</f>
        <v>1372.0930249545888</v>
      </c>
    </row>
    <row r="919" spans="3:17">
      <c r="C919" s="159"/>
      <c r="D919" s="165" t="s">
        <v>283</v>
      </c>
      <c r="E919" s="162">
        <v>33401</v>
      </c>
      <c r="F919" s="166" t="str">
        <f t="shared" ref="F919:F982" si="45">IF(E919="","-",IF(OR(E919&lt;$E$15,E919&gt;$E$16),"ERROR - date outside of range","Date check - OK"))</f>
        <v>Date check - OK</v>
      </c>
      <c r="G919" s="68"/>
      <c r="H919" s="162" t="s">
        <v>280</v>
      </c>
      <c r="I919" s="173">
        <v>21853.086195380012</v>
      </c>
      <c r="J919" s="168">
        <f>IFERROR(MIN('MP Calculations'!$E$30/I919,1),"-")</f>
        <v>0.32927792945511891</v>
      </c>
      <c r="K919" s="12"/>
      <c r="L919" s="159">
        <v>21.944082000000002</v>
      </c>
      <c r="M919" s="187" t="s">
        <v>293</v>
      </c>
      <c r="N919" s="187">
        <v>192.78728599999999</v>
      </c>
      <c r="O919" s="186">
        <f t="shared" ref="O919:O982" si="46">IF(N919="","-",L919*N919)</f>
        <v>4230.5400125414526</v>
      </c>
      <c r="P919" s="186">
        <f t="shared" ref="P919:P982" si="47">IF(O919="-","-",IF(OR(E919&lt;$E$15,E919&gt;$E$16),0,O919*J919))</f>
        <v>1393.0234558066823</v>
      </c>
      <c r="Q919" s="215">
        <f>IF(P919="-",0,P919/(1+'General inputs'!$H$30)^'MP Calculations'!$C$40)</f>
        <v>3094.3076868847265</v>
      </c>
    </row>
    <row r="920" spans="3:17">
      <c r="C920" s="159"/>
      <c r="D920" s="165" t="s">
        <v>283</v>
      </c>
      <c r="E920" s="162">
        <v>33401</v>
      </c>
      <c r="F920" s="166" t="str">
        <f t="shared" si="45"/>
        <v>Date check - OK</v>
      </c>
      <c r="G920" s="68"/>
      <c r="H920" s="162" t="s">
        <v>280</v>
      </c>
      <c r="I920" s="173">
        <v>21853.086195380012</v>
      </c>
      <c r="J920" s="168">
        <f>IFERROR(MIN('MP Calculations'!$E$30/I920,1),"-")</f>
        <v>0.32927792945511891</v>
      </c>
      <c r="K920" s="12"/>
      <c r="L920" s="159">
        <v>19.192823000000001</v>
      </c>
      <c r="M920" s="187" t="s">
        <v>293</v>
      </c>
      <c r="N920" s="187">
        <v>192.78728599999999</v>
      </c>
      <c r="O920" s="186">
        <f t="shared" si="46"/>
        <v>3700.1322568483779</v>
      </c>
      <c r="P920" s="186">
        <f t="shared" si="47"/>
        <v>1218.3718882451301</v>
      </c>
      <c r="Q920" s="215">
        <f>IF(P920="-",0,P920/(1+'General inputs'!$H$30)^'MP Calculations'!$C$40)</f>
        <v>2706.3560800546579</v>
      </c>
    </row>
    <row r="921" spans="3:17">
      <c r="C921" s="159"/>
      <c r="D921" s="165" t="s">
        <v>283</v>
      </c>
      <c r="E921" s="162">
        <v>33401</v>
      </c>
      <c r="F921" s="166" t="str">
        <f t="shared" si="45"/>
        <v>Date check - OK</v>
      </c>
      <c r="G921" s="68"/>
      <c r="H921" s="162" t="s">
        <v>280</v>
      </c>
      <c r="I921" s="173">
        <v>21853.086195380012</v>
      </c>
      <c r="J921" s="168">
        <f>IFERROR(MIN('MP Calculations'!$E$30/I921,1),"-")</f>
        <v>0.32927792945511891</v>
      </c>
      <c r="K921" s="12"/>
      <c r="L921" s="159">
        <v>14.62945</v>
      </c>
      <c r="M921" s="187" t="s">
        <v>293</v>
      </c>
      <c r="N921" s="187">
        <v>192.78728599999999</v>
      </c>
      <c r="O921" s="186">
        <f t="shared" si="46"/>
        <v>2820.3719611727001</v>
      </c>
      <c r="P921" s="186">
        <f t="shared" si="47"/>
        <v>928.68623966821974</v>
      </c>
      <c r="Q921" s="215">
        <f>IF(P921="-",0,P921/(1+'General inputs'!$H$30)^'MP Calculations'!$C$40)</f>
        <v>2062.8805337993072</v>
      </c>
    </row>
    <row r="922" spans="3:17">
      <c r="C922" s="159"/>
      <c r="D922" s="165" t="s">
        <v>283</v>
      </c>
      <c r="E922" s="162">
        <v>33401</v>
      </c>
      <c r="F922" s="166" t="str">
        <f t="shared" si="45"/>
        <v>Date check - OK</v>
      </c>
      <c r="G922" s="68"/>
      <c r="H922" s="162" t="s">
        <v>280</v>
      </c>
      <c r="I922" s="173">
        <v>21853.086195380012</v>
      </c>
      <c r="J922" s="168">
        <f>IFERROR(MIN('MP Calculations'!$E$30/I922,1),"-")</f>
        <v>0.32927792945511891</v>
      </c>
      <c r="K922" s="12"/>
      <c r="L922" s="159">
        <v>29.476813</v>
      </c>
      <c r="M922" s="187" t="s">
        <v>293</v>
      </c>
      <c r="N922" s="187">
        <v>192.78728599999999</v>
      </c>
      <c r="O922" s="186">
        <f t="shared" si="46"/>
        <v>5682.7547781995181</v>
      </c>
      <c r="P922" s="186">
        <f t="shared" si="47"/>
        <v>1871.2057269667209</v>
      </c>
      <c r="Q922" s="215">
        <f>IF(P922="-",0,P922/(1+'General inputs'!$H$30)^'MP Calculations'!$C$40)</f>
        <v>4156.4887084710872</v>
      </c>
    </row>
    <row r="923" spans="3:17">
      <c r="C923" s="159"/>
      <c r="D923" s="165" t="s">
        <v>283</v>
      </c>
      <c r="E923" s="162">
        <v>33401</v>
      </c>
      <c r="F923" s="166" t="str">
        <f t="shared" si="45"/>
        <v>Date check - OK</v>
      </c>
      <c r="G923" s="68"/>
      <c r="H923" s="162" t="s">
        <v>280</v>
      </c>
      <c r="I923" s="173">
        <v>21853.086195380012</v>
      </c>
      <c r="J923" s="168">
        <f>IFERROR(MIN('MP Calculations'!$E$30/I923,1),"-")</f>
        <v>0.32927792945511891</v>
      </c>
      <c r="K923" s="12"/>
      <c r="L923" s="159">
        <v>41.952364000000003</v>
      </c>
      <c r="M923" s="187" t="s">
        <v>293</v>
      </c>
      <c r="N923" s="187">
        <v>192.78728599999999</v>
      </c>
      <c r="O923" s="186">
        <f t="shared" si="46"/>
        <v>8087.8823968441047</v>
      </c>
      <c r="P923" s="186">
        <f t="shared" si="47"/>
        <v>2663.1611693093314</v>
      </c>
      <c r="Q923" s="215">
        <f>IF(P923="-",0,P923/(1+'General inputs'!$H$30)^'MP Calculations'!$C$40)</f>
        <v>5915.6506254481774</v>
      </c>
    </row>
    <row r="924" spans="3:17">
      <c r="C924" s="159"/>
      <c r="D924" s="165" t="s">
        <v>283</v>
      </c>
      <c r="E924" s="162">
        <v>33401</v>
      </c>
      <c r="F924" s="166" t="str">
        <f t="shared" si="45"/>
        <v>Date check - OK</v>
      </c>
      <c r="G924" s="68"/>
      <c r="H924" s="162" t="s">
        <v>280</v>
      </c>
      <c r="I924" s="173">
        <v>21853.086195380012</v>
      </c>
      <c r="J924" s="168">
        <f>IFERROR(MIN('MP Calculations'!$E$30/I924,1),"-")</f>
        <v>0.32927792945511891</v>
      </c>
      <c r="K924" s="12"/>
      <c r="L924" s="159">
        <v>3.9793850000000002</v>
      </c>
      <c r="M924" s="187" t="s">
        <v>293</v>
      </c>
      <c r="N924" s="187">
        <v>192.78728599999999</v>
      </c>
      <c r="O924" s="186">
        <f t="shared" si="46"/>
        <v>767.17483409911006</v>
      </c>
      <c r="P924" s="186">
        <f t="shared" si="47"/>
        <v>252.61374090222932</v>
      </c>
      <c r="Q924" s="215">
        <f>IF(P924="-",0,P924/(1+'General inputs'!$H$30)^'MP Calculations'!$C$40)</f>
        <v>561.12812532206988</v>
      </c>
    </row>
    <row r="925" spans="3:17">
      <c r="C925" s="159"/>
      <c r="D925" s="165" t="s">
        <v>283</v>
      </c>
      <c r="E925" s="162">
        <v>33401</v>
      </c>
      <c r="F925" s="166" t="str">
        <f t="shared" si="45"/>
        <v>Date check - OK</v>
      </c>
      <c r="G925" s="68"/>
      <c r="H925" s="162" t="s">
        <v>280</v>
      </c>
      <c r="I925" s="173">
        <v>21853.086195380012</v>
      </c>
      <c r="J925" s="168">
        <f>IFERROR(MIN('MP Calculations'!$E$30/I925,1),"-")</f>
        <v>0.32927792945511891</v>
      </c>
      <c r="K925" s="12"/>
      <c r="L925" s="159">
        <v>0.69910300000000003</v>
      </c>
      <c r="M925" s="187" t="s">
        <v>293</v>
      </c>
      <c r="N925" s="187">
        <v>192.78728599999999</v>
      </c>
      <c r="O925" s="186">
        <f t="shared" si="46"/>
        <v>134.77817000445799</v>
      </c>
      <c r="P925" s="186">
        <f t="shared" si="47"/>
        <v>44.379476754817944</v>
      </c>
      <c r="Q925" s="215">
        <f>IF(P925="-",0,P925/(1+'General inputs'!$H$30)^'MP Calculations'!$C$40)</f>
        <v>98.579643788433387</v>
      </c>
    </row>
    <row r="926" spans="3:17">
      <c r="C926" s="159"/>
      <c r="D926" s="165" t="s">
        <v>283</v>
      </c>
      <c r="E926" s="162">
        <v>33401</v>
      </c>
      <c r="F926" s="166" t="str">
        <f t="shared" si="45"/>
        <v>Date check - OK</v>
      </c>
      <c r="G926" s="68"/>
      <c r="H926" s="162" t="s">
        <v>280</v>
      </c>
      <c r="I926" s="173">
        <v>21853.086195380012</v>
      </c>
      <c r="J926" s="168">
        <f>IFERROR(MIN('MP Calculations'!$E$30/I926,1),"-")</f>
        <v>0.32927792945511891</v>
      </c>
      <c r="K926" s="12"/>
      <c r="L926" s="159">
        <v>33.895490000000002</v>
      </c>
      <c r="M926" s="187" t="s">
        <v>293</v>
      </c>
      <c r="N926" s="187">
        <v>192.78728599999999</v>
      </c>
      <c r="O926" s="186">
        <f t="shared" si="46"/>
        <v>6534.6195247401402</v>
      </c>
      <c r="P926" s="186">
        <f t="shared" si="47"/>
        <v>2151.7059868834267</v>
      </c>
      <c r="Q926" s="215">
        <f>IF(P926="-",0,P926/(1+'General inputs'!$H$30)^'MP Calculations'!$C$40)</f>
        <v>4779.560851883637</v>
      </c>
    </row>
    <row r="927" spans="3:17">
      <c r="C927" s="159"/>
      <c r="D927" s="165" t="s">
        <v>283</v>
      </c>
      <c r="E927" s="162">
        <v>33401</v>
      </c>
      <c r="F927" s="166" t="str">
        <f t="shared" si="45"/>
        <v>Date check - OK</v>
      </c>
      <c r="G927" s="68"/>
      <c r="H927" s="162" t="s">
        <v>280</v>
      </c>
      <c r="I927" s="173">
        <v>21853.086195380012</v>
      </c>
      <c r="J927" s="168">
        <f>IFERROR(MIN('MP Calculations'!$E$30/I927,1),"-")</f>
        <v>0.32927792945511891</v>
      </c>
      <c r="K927" s="12"/>
      <c r="L927" s="159">
        <v>13.497082000000001</v>
      </c>
      <c r="M927" s="187" t="s">
        <v>293</v>
      </c>
      <c r="N927" s="187">
        <v>192.78728599999999</v>
      </c>
      <c r="O927" s="186">
        <f t="shared" si="46"/>
        <v>2602.0658076994519</v>
      </c>
      <c r="P927" s="186">
        <f t="shared" si="47"/>
        <v>856.80284146523707</v>
      </c>
      <c r="Q927" s="215">
        <f>IF(P927="-",0,P927/(1+'General inputs'!$H$30)^'MP Calculations'!$C$40)</f>
        <v>1903.206731688</v>
      </c>
    </row>
    <row r="928" spans="3:17">
      <c r="C928" s="159"/>
      <c r="D928" s="165" t="s">
        <v>283</v>
      </c>
      <c r="E928" s="162">
        <v>33401</v>
      </c>
      <c r="F928" s="166" t="str">
        <f t="shared" si="45"/>
        <v>Date check - OK</v>
      </c>
      <c r="G928" s="68"/>
      <c r="H928" s="162" t="s">
        <v>280</v>
      </c>
      <c r="I928" s="173">
        <v>21853.086195380012</v>
      </c>
      <c r="J928" s="168">
        <f>IFERROR(MIN('MP Calculations'!$E$30/I928,1),"-")</f>
        <v>0.32927792945511891</v>
      </c>
      <c r="K928" s="12"/>
      <c r="L928" s="159">
        <v>10.905252000000001</v>
      </c>
      <c r="M928" s="187" t="s">
        <v>293</v>
      </c>
      <c r="N928" s="187">
        <v>192.78728599999999</v>
      </c>
      <c r="O928" s="186">
        <f t="shared" si="46"/>
        <v>2102.3939362260721</v>
      </c>
      <c r="P928" s="186">
        <f t="shared" si="47"/>
        <v>692.27192221951839</v>
      </c>
      <c r="Q928" s="215">
        <f>IF(P928="-",0,P928/(1+'General inputs'!$H$30)^'MP Calculations'!$C$40)</f>
        <v>1537.7360096911341</v>
      </c>
    </row>
    <row r="929" spans="3:17">
      <c r="C929" s="159"/>
      <c r="D929" s="165" t="s">
        <v>283</v>
      </c>
      <c r="E929" s="162">
        <v>33401</v>
      </c>
      <c r="F929" s="166" t="str">
        <f t="shared" si="45"/>
        <v>Date check - OK</v>
      </c>
      <c r="G929" s="68"/>
      <c r="H929" s="162" t="s">
        <v>280</v>
      </c>
      <c r="I929" s="173">
        <v>21853.086195380012</v>
      </c>
      <c r="J929" s="168">
        <f>IFERROR(MIN('MP Calculations'!$E$30/I929,1),"-")</f>
        <v>0.32927792945511891</v>
      </c>
      <c r="K929" s="12"/>
      <c r="L929" s="159">
        <v>25.565328000000001</v>
      </c>
      <c r="M929" s="187" t="s">
        <v>293</v>
      </c>
      <c r="N929" s="187">
        <v>192.78728599999999</v>
      </c>
      <c r="O929" s="186">
        <f t="shared" si="46"/>
        <v>4928.6702008198081</v>
      </c>
      <c r="P929" s="186">
        <f t="shared" si="47"/>
        <v>1622.9023186930915</v>
      </c>
      <c r="Q929" s="215">
        <f>IF(P929="-",0,P929/(1+'General inputs'!$H$30)^'MP Calculations'!$C$40)</f>
        <v>3604.9350776272768</v>
      </c>
    </row>
    <row r="930" spans="3:17">
      <c r="C930" s="159"/>
      <c r="D930" s="165" t="s">
        <v>283</v>
      </c>
      <c r="E930" s="162">
        <v>33401</v>
      </c>
      <c r="F930" s="166" t="str">
        <f t="shared" si="45"/>
        <v>Date check - OK</v>
      </c>
      <c r="G930" s="68"/>
      <c r="H930" s="162" t="s">
        <v>280</v>
      </c>
      <c r="I930" s="173">
        <v>21853.086195380012</v>
      </c>
      <c r="J930" s="168">
        <f>IFERROR(MIN('MP Calculations'!$E$30/I930,1),"-")</f>
        <v>0.32927792945511891</v>
      </c>
      <c r="K930" s="12"/>
      <c r="L930" s="159">
        <v>21.724409999999999</v>
      </c>
      <c r="M930" s="187" t="s">
        <v>293</v>
      </c>
      <c r="N930" s="187">
        <v>192.78728599999999</v>
      </c>
      <c r="O930" s="186">
        <f t="shared" si="46"/>
        <v>4188.1900438512594</v>
      </c>
      <c r="P930" s="186">
        <f t="shared" si="47"/>
        <v>1379.0785458038863</v>
      </c>
      <c r="Q930" s="215">
        <f>IF(P930="-",0,P930/(1+'General inputs'!$H$30)^'MP Calculations'!$C$40)</f>
        <v>3063.3320116118507</v>
      </c>
    </row>
    <row r="931" spans="3:17">
      <c r="C931" s="159"/>
      <c r="D931" s="165" t="s">
        <v>283</v>
      </c>
      <c r="E931" s="162">
        <v>33401</v>
      </c>
      <c r="F931" s="166" t="str">
        <f t="shared" si="45"/>
        <v>Date check - OK</v>
      </c>
      <c r="G931" s="68"/>
      <c r="H931" s="162" t="s">
        <v>280</v>
      </c>
      <c r="I931" s="173">
        <v>21853.086195380012</v>
      </c>
      <c r="J931" s="168">
        <f>IFERROR(MIN('MP Calculations'!$E$30/I931,1),"-")</f>
        <v>0.32927792945511891</v>
      </c>
      <c r="K931" s="12"/>
      <c r="L931" s="159">
        <v>51.013584000000002</v>
      </c>
      <c r="M931" s="187" t="s">
        <v>293</v>
      </c>
      <c r="N931" s="187">
        <v>192.78728599999999</v>
      </c>
      <c r="O931" s="186">
        <f t="shared" si="46"/>
        <v>9834.7704084930247</v>
      </c>
      <c r="P931" s="186">
        <f t="shared" si="47"/>
        <v>3238.3728367750573</v>
      </c>
      <c r="Q931" s="215">
        <f>IF(P931="-",0,P931/(1+'General inputs'!$H$30)^'MP Calculations'!$C$40)</f>
        <v>7193.3619782654705</v>
      </c>
    </row>
    <row r="932" spans="3:17">
      <c r="C932" s="159"/>
      <c r="D932" s="165" t="s">
        <v>283</v>
      </c>
      <c r="E932" s="162">
        <v>33401</v>
      </c>
      <c r="F932" s="166" t="str">
        <f t="shared" si="45"/>
        <v>Date check - OK</v>
      </c>
      <c r="G932" s="68"/>
      <c r="H932" s="162" t="s">
        <v>280</v>
      </c>
      <c r="I932" s="173">
        <v>21853.086195380012</v>
      </c>
      <c r="J932" s="168">
        <f>IFERROR(MIN('MP Calculations'!$E$30/I932,1),"-")</f>
        <v>0.32927792945511891</v>
      </c>
      <c r="K932" s="12"/>
      <c r="L932" s="159">
        <v>85.968262999999993</v>
      </c>
      <c r="M932" s="187" t="s">
        <v>293</v>
      </c>
      <c r="N932" s="187">
        <v>192.78728599999999</v>
      </c>
      <c r="O932" s="186">
        <f t="shared" si="46"/>
        <v>16573.588105904215</v>
      </c>
      <c r="P932" s="186">
        <f t="shared" si="47"/>
        <v>5457.3167751541259</v>
      </c>
      <c r="Q932" s="215">
        <f>IF(P932="-",0,P932/(1+'General inputs'!$H$30)^'MP Calculations'!$C$40)</f>
        <v>12122.277752563437</v>
      </c>
    </row>
    <row r="933" spans="3:17">
      <c r="C933" s="159"/>
      <c r="D933" s="165" t="s">
        <v>283</v>
      </c>
      <c r="E933" s="162">
        <v>33401</v>
      </c>
      <c r="F933" s="166" t="str">
        <f t="shared" si="45"/>
        <v>Date check - OK</v>
      </c>
      <c r="G933" s="68"/>
      <c r="H933" s="162" t="s">
        <v>280</v>
      </c>
      <c r="I933" s="173">
        <v>21853.086195380012</v>
      </c>
      <c r="J933" s="168">
        <f>IFERROR(MIN('MP Calculations'!$E$30/I933,1),"-")</f>
        <v>0.32927792945511891</v>
      </c>
      <c r="K933" s="12"/>
      <c r="L933" s="159">
        <v>68.536992999999995</v>
      </c>
      <c r="M933" s="187" t="s">
        <v>293</v>
      </c>
      <c r="N933" s="187">
        <v>192.78728599999999</v>
      </c>
      <c r="O933" s="186">
        <f t="shared" si="46"/>
        <v>13213.060871070997</v>
      </c>
      <c r="P933" s="186">
        <f t="shared" si="47"/>
        <v>4350.7693253907073</v>
      </c>
      <c r="Q933" s="215">
        <f>IF(P933="-",0,P933/(1+'General inputs'!$H$30)^'MP Calculations'!$C$40)</f>
        <v>9664.3160682622602</v>
      </c>
    </row>
    <row r="934" spans="3:17">
      <c r="C934" s="159"/>
      <c r="D934" s="165" t="s">
        <v>283</v>
      </c>
      <c r="E934" s="162">
        <v>33401</v>
      </c>
      <c r="F934" s="166" t="str">
        <f t="shared" si="45"/>
        <v>Date check - OK</v>
      </c>
      <c r="G934" s="68"/>
      <c r="H934" s="162" t="s">
        <v>280</v>
      </c>
      <c r="I934" s="173">
        <v>21853.086195380012</v>
      </c>
      <c r="J934" s="168">
        <f>IFERROR(MIN('MP Calculations'!$E$30/I934,1),"-")</f>
        <v>0.32927792945511891</v>
      </c>
      <c r="K934" s="12"/>
      <c r="L934" s="159">
        <v>54.081223000000001</v>
      </c>
      <c r="M934" s="187" t="s">
        <v>293</v>
      </c>
      <c r="N934" s="187">
        <v>192.78728599999999</v>
      </c>
      <c r="O934" s="186">
        <f t="shared" si="46"/>
        <v>10426.172205730778</v>
      </c>
      <c r="P934" s="186">
        <f t="shared" si="47"/>
        <v>3433.1083960455408</v>
      </c>
      <c r="Q934" s="215">
        <f>IF(P934="-",0,P934/(1+'General inputs'!$H$30)^'MP Calculations'!$C$40)</f>
        <v>7625.9259350665507</v>
      </c>
    </row>
    <row r="935" spans="3:17">
      <c r="C935" s="159"/>
      <c r="D935" s="165" t="s">
        <v>283</v>
      </c>
      <c r="E935" s="162">
        <v>33401</v>
      </c>
      <c r="F935" s="166" t="str">
        <f t="shared" si="45"/>
        <v>Date check - OK</v>
      </c>
      <c r="G935" s="68"/>
      <c r="H935" s="162" t="s">
        <v>280</v>
      </c>
      <c r="I935" s="173">
        <v>21853.086195380012</v>
      </c>
      <c r="J935" s="168">
        <f>IFERROR(MIN('MP Calculations'!$E$30/I935,1),"-")</f>
        <v>0.32927792945511891</v>
      </c>
      <c r="K935" s="12"/>
      <c r="L935" s="159">
        <v>63.376690000000004</v>
      </c>
      <c r="M935" s="187" t="s">
        <v>293</v>
      </c>
      <c r="N935" s="187">
        <v>192.78728599999999</v>
      </c>
      <c r="O935" s="186">
        <f t="shared" si="46"/>
        <v>12218.22006076334</v>
      </c>
      <c r="P935" s="186">
        <f t="shared" si="47"/>
        <v>4023.19020323515</v>
      </c>
      <c r="Q935" s="215">
        <f>IF(P935="-",0,P935/(1+'General inputs'!$H$30)^'MP Calculations'!$C$40)</f>
        <v>8936.6681657637982</v>
      </c>
    </row>
    <row r="936" spans="3:17">
      <c r="C936" s="159"/>
      <c r="D936" s="165" t="s">
        <v>283</v>
      </c>
      <c r="E936" s="162">
        <v>33401</v>
      </c>
      <c r="F936" s="166" t="str">
        <f t="shared" si="45"/>
        <v>Date check - OK</v>
      </c>
      <c r="G936" s="68"/>
      <c r="H936" s="162" t="s">
        <v>280</v>
      </c>
      <c r="I936" s="173">
        <v>21853.086195380012</v>
      </c>
      <c r="J936" s="168">
        <f>IFERROR(MIN('MP Calculations'!$E$30/I936,1),"-")</f>
        <v>0.32927792945511891</v>
      </c>
      <c r="K936" s="12"/>
      <c r="L936" s="159">
        <v>1.9652510000000001</v>
      </c>
      <c r="M936" s="187" t="s">
        <v>293</v>
      </c>
      <c r="N936" s="187">
        <v>192.78728599999999</v>
      </c>
      <c r="O936" s="186">
        <f t="shared" si="46"/>
        <v>378.87540659878601</v>
      </c>
      <c r="P936" s="186">
        <f t="shared" si="47"/>
        <v>124.75530940631455</v>
      </c>
      <c r="Q936" s="215">
        <f>IF(P936="-",0,P936/(1+'General inputs'!$H$30)^'MP Calculations'!$C$40)</f>
        <v>277.11759717074955</v>
      </c>
    </row>
    <row r="937" spans="3:17">
      <c r="C937" s="159"/>
      <c r="D937" s="165" t="s">
        <v>283</v>
      </c>
      <c r="E937" s="162">
        <v>33494</v>
      </c>
      <c r="F937" s="166" t="str">
        <f t="shared" si="45"/>
        <v>Date check - OK</v>
      </c>
      <c r="G937" s="68"/>
      <c r="H937" s="162" t="s">
        <v>280</v>
      </c>
      <c r="I937" s="173">
        <v>21853.086195380012</v>
      </c>
      <c r="J937" s="168">
        <f>IFERROR(MIN('MP Calculations'!$E$30/I937,1),"-")</f>
        <v>0.32927792945511891</v>
      </c>
      <c r="K937" s="12"/>
      <c r="L937" s="159">
        <v>0.97741800000000001</v>
      </c>
      <c r="M937" s="187" t="s">
        <v>293</v>
      </c>
      <c r="N937" s="187">
        <v>192.78728599999999</v>
      </c>
      <c r="O937" s="186">
        <f t="shared" si="46"/>
        <v>188.43376350754801</v>
      </c>
      <c r="P937" s="186">
        <f t="shared" si="47"/>
        <v>62.047079487200953</v>
      </c>
      <c r="Q937" s="215">
        <f>IF(P937="-",0,P937/(1+'General inputs'!$H$30)^'MP Calculations'!$C$40)</f>
        <v>137.82449549265701</v>
      </c>
    </row>
    <row r="938" spans="3:17">
      <c r="C938" s="159"/>
      <c r="D938" s="165" t="s">
        <v>283</v>
      </c>
      <c r="E938" s="162">
        <v>33494</v>
      </c>
      <c r="F938" s="166" t="str">
        <f t="shared" si="45"/>
        <v>Date check - OK</v>
      </c>
      <c r="G938" s="68"/>
      <c r="H938" s="162" t="s">
        <v>280</v>
      </c>
      <c r="I938" s="173">
        <v>21853.086195380012</v>
      </c>
      <c r="J938" s="168">
        <f>IFERROR(MIN('MP Calculations'!$E$30/I938,1),"-")</f>
        <v>0.32927792945511891</v>
      </c>
      <c r="K938" s="12"/>
      <c r="L938" s="159">
        <v>4.202852</v>
      </c>
      <c r="M938" s="187" t="s">
        <v>293</v>
      </c>
      <c r="N938" s="187">
        <v>192.78728599999999</v>
      </c>
      <c r="O938" s="186">
        <f t="shared" si="46"/>
        <v>810.25643053967201</v>
      </c>
      <c r="P938" s="186">
        <f t="shared" si="47"/>
        <v>266.79955977579857</v>
      </c>
      <c r="Q938" s="215">
        <f>IF(P938="-",0,P938/(1+'General inputs'!$H$30)^'MP Calculations'!$C$40)</f>
        <v>592.63892882093887</v>
      </c>
    </row>
    <row r="939" spans="3:17">
      <c r="C939" s="159"/>
      <c r="D939" s="165" t="s">
        <v>283</v>
      </c>
      <c r="E939" s="162">
        <v>33494</v>
      </c>
      <c r="F939" s="166" t="str">
        <f t="shared" si="45"/>
        <v>Date check - OK</v>
      </c>
      <c r="G939" s="68"/>
      <c r="H939" s="162" t="s">
        <v>280</v>
      </c>
      <c r="I939" s="173">
        <v>21853.086195380012</v>
      </c>
      <c r="J939" s="168">
        <f>IFERROR(MIN('MP Calculations'!$E$30/I939,1),"-")</f>
        <v>0.32927792945511891</v>
      </c>
      <c r="K939" s="12"/>
      <c r="L939" s="159">
        <v>0.199324</v>
      </c>
      <c r="M939" s="187" t="s">
        <v>293</v>
      </c>
      <c r="N939" s="187">
        <v>192.78728599999999</v>
      </c>
      <c r="O939" s="186">
        <f t="shared" si="46"/>
        <v>38.427132994663999</v>
      </c>
      <c r="P939" s="186">
        <f t="shared" si="47"/>
        <v>12.653206787379444</v>
      </c>
      <c r="Q939" s="215">
        <f>IF(P939="-",0,P939/(1+'General inputs'!$H$30)^'MP Calculations'!$C$40)</f>
        <v>28.10642912201163</v>
      </c>
    </row>
    <row r="940" spans="3:17">
      <c r="C940" s="159"/>
      <c r="D940" s="165" t="s">
        <v>283</v>
      </c>
      <c r="E940" s="162">
        <v>33494</v>
      </c>
      <c r="F940" s="166" t="str">
        <f t="shared" si="45"/>
        <v>Date check - OK</v>
      </c>
      <c r="G940" s="68"/>
      <c r="H940" s="162" t="s">
        <v>280</v>
      </c>
      <c r="I940" s="173">
        <v>21853.086195380012</v>
      </c>
      <c r="J940" s="168">
        <f>IFERROR(MIN('MP Calculations'!$E$30/I940,1),"-")</f>
        <v>0.32927792945511891</v>
      </c>
      <c r="K940" s="12"/>
      <c r="L940" s="159">
        <v>1.512254</v>
      </c>
      <c r="M940" s="187" t="s">
        <v>293</v>
      </c>
      <c r="N940" s="187">
        <v>192.78728599999999</v>
      </c>
      <c r="O940" s="186">
        <f t="shared" si="46"/>
        <v>291.54334440264398</v>
      </c>
      <c r="P940" s="186">
        <f t="shared" si="47"/>
        <v>95.998788791323236</v>
      </c>
      <c r="Q940" s="215">
        <f>IF(P940="-",0,P940/(1+'General inputs'!$H$30)^'MP Calculations'!$C$40)</f>
        <v>213.24105409021777</v>
      </c>
    </row>
    <row r="941" spans="3:17">
      <c r="C941" s="159"/>
      <c r="D941" s="165" t="s">
        <v>283</v>
      </c>
      <c r="E941" s="162">
        <v>33497</v>
      </c>
      <c r="F941" s="166" t="str">
        <f t="shared" si="45"/>
        <v>Date check - OK</v>
      </c>
      <c r="G941" s="68"/>
      <c r="H941" s="162" t="s">
        <v>280</v>
      </c>
      <c r="I941" s="173">
        <v>21853.086195380012</v>
      </c>
      <c r="J941" s="168">
        <f>IFERROR(MIN('MP Calculations'!$E$30/I941,1),"-")</f>
        <v>0.32927792945511891</v>
      </c>
      <c r="K941" s="12"/>
      <c r="L941" s="159">
        <v>3.2979539999999998</v>
      </c>
      <c r="M941" s="187" t="s">
        <v>293</v>
      </c>
      <c r="N941" s="187">
        <v>192.78728599999999</v>
      </c>
      <c r="O941" s="186">
        <f t="shared" si="46"/>
        <v>635.80360101284396</v>
      </c>
      <c r="P941" s="186">
        <f t="shared" si="47"/>
        <v>209.3560932816178</v>
      </c>
      <c r="Q941" s="215">
        <f>IF(P941="-",0,P941/(1+'General inputs'!$H$30)^'MP Calculations'!$C$40)</f>
        <v>465.04038825557751</v>
      </c>
    </row>
    <row r="942" spans="3:17">
      <c r="C942" s="159"/>
      <c r="D942" s="165" t="s">
        <v>283</v>
      </c>
      <c r="E942" s="162">
        <v>33680</v>
      </c>
      <c r="F942" s="166" t="str">
        <f t="shared" si="45"/>
        <v>Date check - OK</v>
      </c>
      <c r="G942" s="68"/>
      <c r="H942" s="162" t="s">
        <v>280</v>
      </c>
      <c r="I942" s="173">
        <v>21853.086195380012</v>
      </c>
      <c r="J942" s="168">
        <f>IFERROR(MIN('MP Calculations'!$E$30/I942,1),"-")</f>
        <v>0.32927792945511891</v>
      </c>
      <c r="K942" s="12"/>
      <c r="L942" s="159">
        <v>0.50273000000000001</v>
      </c>
      <c r="M942" s="187" t="s">
        <v>293</v>
      </c>
      <c r="N942" s="187">
        <v>192.78728599999999</v>
      </c>
      <c r="O942" s="186">
        <f t="shared" si="46"/>
        <v>96.919952290780003</v>
      </c>
      <c r="P942" s="186">
        <f t="shared" si="47"/>
        <v>31.913601213196948</v>
      </c>
      <c r="Q942" s="215">
        <f>IF(P942="-",0,P942/(1+'General inputs'!$H$30)^'MP Calculations'!$C$40)</f>
        <v>70.889331503024763</v>
      </c>
    </row>
    <row r="943" spans="3:17">
      <c r="C943" s="159"/>
      <c r="D943" s="165" t="s">
        <v>289</v>
      </c>
      <c r="E943" s="162">
        <v>33844</v>
      </c>
      <c r="F943" s="166" t="str">
        <f t="shared" si="45"/>
        <v>Date check - OK</v>
      </c>
      <c r="G943" s="68"/>
      <c r="H943" s="162" t="s">
        <v>280</v>
      </c>
      <c r="I943" s="173">
        <v>21853.086195380012</v>
      </c>
      <c r="J943" s="168">
        <f>IFERROR(MIN('MP Calculations'!$E$30/I943,1),"-")</f>
        <v>0.32927792945511891</v>
      </c>
      <c r="K943" s="12"/>
      <c r="L943" s="159">
        <v>16.963702000000001</v>
      </c>
      <c r="M943" s="187" t="s">
        <v>293</v>
      </c>
      <c r="N943" s="187">
        <v>421.28581700000001</v>
      </c>
      <c r="O943" s="186">
        <f t="shared" si="46"/>
        <v>7146.5670564145348</v>
      </c>
      <c r="P943" s="186">
        <f t="shared" si="47"/>
        <v>2353.206803048342</v>
      </c>
      <c r="Q943" s="215">
        <f>IF(P943="-",0,P943/(1+'General inputs'!$H$30)^'MP Calculations'!$C$40)</f>
        <v>5227.1523994441768</v>
      </c>
    </row>
    <row r="944" spans="3:17">
      <c r="C944" s="159"/>
      <c r="D944" s="165" t="s">
        <v>289</v>
      </c>
      <c r="E944" s="162">
        <v>33844</v>
      </c>
      <c r="F944" s="166" t="str">
        <f t="shared" si="45"/>
        <v>Date check - OK</v>
      </c>
      <c r="G944" s="68"/>
      <c r="H944" s="162" t="s">
        <v>280</v>
      </c>
      <c r="I944" s="173">
        <v>21853.086195380012</v>
      </c>
      <c r="J944" s="168">
        <f>IFERROR(MIN('MP Calculations'!$E$30/I944,1),"-")</f>
        <v>0.32927792945511891</v>
      </c>
      <c r="K944" s="12"/>
      <c r="L944" s="159">
        <v>19.055434999999999</v>
      </c>
      <c r="M944" s="187" t="s">
        <v>293</v>
      </c>
      <c r="N944" s="187">
        <v>421.28581700000001</v>
      </c>
      <c r="O944" s="186">
        <f t="shared" si="46"/>
        <v>8027.7845022653946</v>
      </c>
      <c r="P944" s="186">
        <f t="shared" si="47"/>
        <v>2643.3722590178413</v>
      </c>
      <c r="Q944" s="215">
        <f>IF(P944="-",0,P944/(1+'General inputs'!$H$30)^'MP Calculations'!$C$40)</f>
        <v>5871.6937365854765</v>
      </c>
    </row>
    <row r="945" spans="3:17">
      <c r="C945" s="159"/>
      <c r="D945" s="165" t="s">
        <v>289</v>
      </c>
      <c r="E945" s="162">
        <v>33844</v>
      </c>
      <c r="F945" s="166" t="str">
        <f t="shared" si="45"/>
        <v>Date check - OK</v>
      </c>
      <c r="G945" s="68"/>
      <c r="H945" s="162" t="s">
        <v>280</v>
      </c>
      <c r="I945" s="173">
        <v>21853.086195380012</v>
      </c>
      <c r="J945" s="168">
        <f>IFERROR(MIN('MP Calculations'!$E$30/I945,1),"-")</f>
        <v>0.32927792945511891</v>
      </c>
      <c r="K945" s="12"/>
      <c r="L945" s="159">
        <v>14.656181999999999</v>
      </c>
      <c r="M945" s="187" t="s">
        <v>293</v>
      </c>
      <c r="N945" s="187">
        <v>421.28581700000001</v>
      </c>
      <c r="O945" s="186">
        <f t="shared" si="46"/>
        <v>6174.4416079706934</v>
      </c>
      <c r="P945" s="186">
        <f t="shared" si="47"/>
        <v>2033.1073482141251</v>
      </c>
      <c r="Q945" s="215">
        <f>IF(P945="-",0,P945/(1+'General inputs'!$H$30)^'MP Calculations'!$C$40)</f>
        <v>4516.1189997319298</v>
      </c>
    </row>
    <row r="946" spans="3:17">
      <c r="C946" s="159"/>
      <c r="D946" s="165" t="s">
        <v>289</v>
      </c>
      <c r="E946" s="162">
        <v>33844</v>
      </c>
      <c r="F946" s="166" t="str">
        <f t="shared" si="45"/>
        <v>Date check - OK</v>
      </c>
      <c r="G946" s="68"/>
      <c r="H946" s="162" t="s">
        <v>280</v>
      </c>
      <c r="I946" s="173">
        <v>21853.086195380012</v>
      </c>
      <c r="J946" s="168">
        <f>IFERROR(MIN('MP Calculations'!$E$30/I946,1),"-")</f>
        <v>0.32927792945511891</v>
      </c>
      <c r="K946" s="12"/>
      <c r="L946" s="159">
        <v>3.8827910000000001</v>
      </c>
      <c r="M946" s="187" t="s">
        <v>293</v>
      </c>
      <c r="N946" s="187">
        <v>421.28581700000001</v>
      </c>
      <c r="O946" s="186">
        <f t="shared" si="46"/>
        <v>1635.764778675247</v>
      </c>
      <c r="P946" s="186">
        <f t="shared" si="47"/>
        <v>538.62123939779622</v>
      </c>
      <c r="Q946" s="215">
        <f>IF(P946="-",0,P946/(1+'General inputs'!$H$30)^'MP Calculations'!$C$40)</f>
        <v>1196.4334372408955</v>
      </c>
    </row>
    <row r="947" spans="3:17">
      <c r="C947" s="159"/>
      <c r="D947" s="165" t="s">
        <v>289</v>
      </c>
      <c r="E947" s="162">
        <v>33844</v>
      </c>
      <c r="F947" s="166" t="str">
        <f t="shared" si="45"/>
        <v>Date check - OK</v>
      </c>
      <c r="G947" s="68"/>
      <c r="H947" s="162" t="s">
        <v>280</v>
      </c>
      <c r="I947" s="173">
        <v>21853.086195380012</v>
      </c>
      <c r="J947" s="168">
        <f>IFERROR(MIN('MP Calculations'!$E$30/I947,1),"-")</f>
        <v>0.32927792945511891</v>
      </c>
      <c r="K947" s="12"/>
      <c r="L947" s="159">
        <v>11.824769</v>
      </c>
      <c r="M947" s="187" t="s">
        <v>293</v>
      </c>
      <c r="N947" s="187">
        <v>421.28581700000001</v>
      </c>
      <c r="O947" s="186">
        <f t="shared" si="46"/>
        <v>4981.6074690012729</v>
      </c>
      <c r="P947" s="186">
        <f t="shared" si="47"/>
        <v>1640.3333927508945</v>
      </c>
      <c r="Q947" s="215">
        <f>IF(P947="-",0,P947/(1+'General inputs'!$H$30)^'MP Calculations'!$C$40)</f>
        <v>3643.6545307871538</v>
      </c>
    </row>
    <row r="948" spans="3:17">
      <c r="C948" s="159"/>
      <c r="D948" s="165" t="s">
        <v>289</v>
      </c>
      <c r="E948" s="162">
        <v>33844</v>
      </c>
      <c r="F948" s="166" t="str">
        <f t="shared" si="45"/>
        <v>Date check - OK</v>
      </c>
      <c r="G948" s="68"/>
      <c r="H948" s="162" t="s">
        <v>280</v>
      </c>
      <c r="I948" s="173">
        <v>21853.086195380012</v>
      </c>
      <c r="J948" s="168">
        <f>IFERROR(MIN('MP Calculations'!$E$30/I948,1),"-")</f>
        <v>0.32927792945511891</v>
      </c>
      <c r="K948" s="12"/>
      <c r="L948" s="159">
        <v>3.6880850000000001</v>
      </c>
      <c r="M948" s="187" t="s">
        <v>293</v>
      </c>
      <c r="N948" s="187">
        <v>421.28581700000001</v>
      </c>
      <c r="O948" s="186">
        <f t="shared" si="46"/>
        <v>1553.737902390445</v>
      </c>
      <c r="P948" s="186">
        <f t="shared" si="47"/>
        <v>511.61159941506537</v>
      </c>
      <c r="Q948" s="215">
        <f>IF(P948="-",0,P948/(1+'General inputs'!$H$30)^'MP Calculations'!$C$40)</f>
        <v>1136.4372209028472</v>
      </c>
    </row>
    <row r="949" spans="3:17">
      <c r="C949" s="159"/>
      <c r="D949" s="165" t="s">
        <v>289</v>
      </c>
      <c r="E949" s="162">
        <v>33844</v>
      </c>
      <c r="F949" s="166" t="str">
        <f t="shared" si="45"/>
        <v>Date check - OK</v>
      </c>
      <c r="G949" s="68"/>
      <c r="H949" s="162" t="s">
        <v>280</v>
      </c>
      <c r="I949" s="173">
        <v>21853.086195380012</v>
      </c>
      <c r="J949" s="168">
        <f>IFERROR(MIN('MP Calculations'!$E$30/I949,1),"-")</f>
        <v>0.32927792945511891</v>
      </c>
      <c r="K949" s="12"/>
      <c r="L949" s="159">
        <v>14.774637</v>
      </c>
      <c r="M949" s="187" t="s">
        <v>293</v>
      </c>
      <c r="N949" s="187">
        <v>421.28581700000001</v>
      </c>
      <c r="O949" s="186">
        <f t="shared" si="46"/>
        <v>6224.3450194234292</v>
      </c>
      <c r="P949" s="186">
        <f t="shared" si="47"/>
        <v>2049.5394402100287</v>
      </c>
      <c r="Q949" s="215">
        <f>IF(P949="-",0,P949/(1+'General inputs'!$H$30)^'MP Calculations'!$C$40)</f>
        <v>4552.6194250209483</v>
      </c>
    </row>
    <row r="950" spans="3:17">
      <c r="C950" s="159"/>
      <c r="D950" s="165" t="s">
        <v>289</v>
      </c>
      <c r="E950" s="162">
        <v>33844</v>
      </c>
      <c r="F950" s="166" t="str">
        <f t="shared" si="45"/>
        <v>Date check - OK</v>
      </c>
      <c r="G950" s="68"/>
      <c r="H950" s="162" t="s">
        <v>280</v>
      </c>
      <c r="I950" s="173">
        <v>21853.086195380012</v>
      </c>
      <c r="J950" s="168">
        <f>IFERROR(MIN('MP Calculations'!$E$30/I950,1),"-")</f>
        <v>0.32927792945511891</v>
      </c>
      <c r="K950" s="12"/>
      <c r="L950" s="159">
        <v>25.254593</v>
      </c>
      <c r="M950" s="187" t="s">
        <v>293</v>
      </c>
      <c r="N950" s="187">
        <v>421.28581700000001</v>
      </c>
      <c r="O950" s="186">
        <f t="shared" si="46"/>
        <v>10639.401845007482</v>
      </c>
      <c r="P950" s="186">
        <f t="shared" si="47"/>
        <v>3503.3202101650354</v>
      </c>
      <c r="Q950" s="215">
        <f>IF(P950="-",0,P950/(1+'General inputs'!$H$30)^'MP Calculations'!$C$40)</f>
        <v>7781.88666583132</v>
      </c>
    </row>
    <row r="951" spans="3:17">
      <c r="C951" s="159"/>
      <c r="D951" s="165" t="s">
        <v>289</v>
      </c>
      <c r="E951" s="162">
        <v>33844</v>
      </c>
      <c r="F951" s="166" t="str">
        <f t="shared" si="45"/>
        <v>Date check - OK</v>
      </c>
      <c r="G951" s="68"/>
      <c r="H951" s="162" t="s">
        <v>280</v>
      </c>
      <c r="I951" s="173">
        <v>21853.086195380012</v>
      </c>
      <c r="J951" s="168">
        <f>IFERROR(MIN('MP Calculations'!$E$30/I951,1),"-")</f>
        <v>0.32927792945511891</v>
      </c>
      <c r="K951" s="12"/>
      <c r="L951" s="159">
        <v>14.04679</v>
      </c>
      <c r="M951" s="187" t="s">
        <v>293</v>
      </c>
      <c r="N951" s="187">
        <v>421.28581700000001</v>
      </c>
      <c r="O951" s="186">
        <f t="shared" si="46"/>
        <v>5917.7134013774303</v>
      </c>
      <c r="P951" s="186">
        <f t="shared" si="47"/>
        <v>1948.5724159143692</v>
      </c>
      <c r="Q951" s="215">
        <f>IF(P951="-",0,P951/(1+'General inputs'!$H$30)^'MP Calculations'!$C$40)</f>
        <v>4328.3424840278649</v>
      </c>
    </row>
    <row r="952" spans="3:17">
      <c r="C952" s="159"/>
      <c r="D952" s="165" t="s">
        <v>289</v>
      </c>
      <c r="E952" s="162">
        <v>33844</v>
      </c>
      <c r="F952" s="166" t="str">
        <f t="shared" si="45"/>
        <v>Date check - OK</v>
      </c>
      <c r="G952" s="68"/>
      <c r="H952" s="162" t="s">
        <v>280</v>
      </c>
      <c r="I952" s="173">
        <v>21853.086195380012</v>
      </c>
      <c r="J952" s="168">
        <f>IFERROR(MIN('MP Calculations'!$E$30/I952,1),"-")</f>
        <v>0.32927792945511891</v>
      </c>
      <c r="K952" s="12"/>
      <c r="L952" s="159">
        <v>23.246839999999999</v>
      </c>
      <c r="M952" s="187" t="s">
        <v>293</v>
      </c>
      <c r="N952" s="187">
        <v>421.28581700000001</v>
      </c>
      <c r="O952" s="186">
        <f t="shared" si="46"/>
        <v>9793.5639820682791</v>
      </c>
      <c r="P952" s="186">
        <f t="shared" si="47"/>
        <v>3224.8044700016721</v>
      </c>
      <c r="Q952" s="215">
        <f>IF(P952="-",0,P952/(1+'General inputs'!$H$30)^'MP Calculations'!$C$40)</f>
        <v>7163.2227143282071</v>
      </c>
    </row>
    <row r="953" spans="3:17">
      <c r="C953" s="159"/>
      <c r="D953" s="165" t="s">
        <v>289</v>
      </c>
      <c r="E953" s="162">
        <v>33844</v>
      </c>
      <c r="F953" s="166" t="str">
        <f t="shared" si="45"/>
        <v>Date check - OK</v>
      </c>
      <c r="G953" s="68"/>
      <c r="H953" s="162" t="s">
        <v>280</v>
      </c>
      <c r="I953" s="173">
        <v>21853.086195380012</v>
      </c>
      <c r="J953" s="168">
        <f>IFERROR(MIN('MP Calculations'!$E$30/I953,1),"-")</f>
        <v>0.32927792945511891</v>
      </c>
      <c r="K953" s="12"/>
      <c r="L953" s="159">
        <v>12.324225999999999</v>
      </c>
      <c r="M953" s="187" t="s">
        <v>293</v>
      </c>
      <c r="N953" s="187">
        <v>421.28581700000001</v>
      </c>
      <c r="O953" s="186">
        <f t="shared" si="46"/>
        <v>5192.0216193026417</v>
      </c>
      <c r="P953" s="186">
        <f t="shared" si="47"/>
        <v>1709.6181284901875</v>
      </c>
      <c r="Q953" s="215">
        <f>IF(P953="-",0,P953/(1+'General inputs'!$H$30)^'MP Calculations'!$C$40)</f>
        <v>3797.5559525386789</v>
      </c>
    </row>
    <row r="954" spans="3:17">
      <c r="C954" s="159"/>
      <c r="D954" s="165" t="s">
        <v>289</v>
      </c>
      <c r="E954" s="162">
        <v>33844</v>
      </c>
      <c r="F954" s="166" t="str">
        <f t="shared" si="45"/>
        <v>Date check - OK</v>
      </c>
      <c r="G954" s="68"/>
      <c r="H954" s="162" t="s">
        <v>280</v>
      </c>
      <c r="I954" s="173">
        <v>21853.086195380012</v>
      </c>
      <c r="J954" s="168">
        <f>IFERROR(MIN('MP Calculations'!$E$30/I954,1),"-")</f>
        <v>0.32927792945511891</v>
      </c>
      <c r="K954" s="12"/>
      <c r="L954" s="159">
        <v>18.565819000000001</v>
      </c>
      <c r="M954" s="187" t="s">
        <v>293</v>
      </c>
      <c r="N954" s="187">
        <v>421.28581700000001</v>
      </c>
      <c r="O954" s="186">
        <f t="shared" si="46"/>
        <v>7821.5162256891235</v>
      </c>
      <c r="P954" s="186">
        <f t="shared" si="47"/>
        <v>2575.4526679945311</v>
      </c>
      <c r="Q954" s="215">
        <f>IF(P954="-",0,P954/(1+'General inputs'!$H$30)^'MP Calculations'!$C$40)</f>
        <v>5720.8246957825759</v>
      </c>
    </row>
    <row r="955" spans="3:17">
      <c r="C955" s="159"/>
      <c r="D955" s="165" t="s">
        <v>289</v>
      </c>
      <c r="E955" s="162">
        <v>33844</v>
      </c>
      <c r="F955" s="166" t="str">
        <f t="shared" si="45"/>
        <v>Date check - OK</v>
      </c>
      <c r="G955" s="68"/>
      <c r="H955" s="162" t="s">
        <v>280</v>
      </c>
      <c r="I955" s="173">
        <v>21853.086195380012</v>
      </c>
      <c r="J955" s="168">
        <f>IFERROR(MIN('MP Calculations'!$E$30/I955,1),"-")</f>
        <v>0.32927792945511891</v>
      </c>
      <c r="K955" s="12"/>
      <c r="L955" s="159">
        <v>9.3934569999999997</v>
      </c>
      <c r="M955" s="187" t="s">
        <v>293</v>
      </c>
      <c r="N955" s="187">
        <v>421.28581700000001</v>
      </c>
      <c r="O955" s="186">
        <f t="shared" si="46"/>
        <v>3957.3302066993688</v>
      </c>
      <c r="P955" s="186">
        <f t="shared" si="47"/>
        <v>1303.0614966321659</v>
      </c>
      <c r="Q955" s="215">
        <f>IF(P955="-",0,P955/(1+'General inputs'!$H$30)^'MP Calculations'!$C$40)</f>
        <v>2894.4761760508222</v>
      </c>
    </row>
    <row r="956" spans="3:17">
      <c r="C956" s="159"/>
      <c r="D956" s="165" t="s">
        <v>289</v>
      </c>
      <c r="E956" s="162">
        <v>33844</v>
      </c>
      <c r="F956" s="166" t="str">
        <f t="shared" si="45"/>
        <v>Date check - OK</v>
      </c>
      <c r="G956" s="68"/>
      <c r="H956" s="162" t="s">
        <v>280</v>
      </c>
      <c r="I956" s="173">
        <v>21853.086195380012</v>
      </c>
      <c r="J956" s="168">
        <f>IFERROR(MIN('MP Calculations'!$E$30/I956,1),"-")</f>
        <v>0.32927792945511891</v>
      </c>
      <c r="K956" s="12"/>
      <c r="L956" s="159">
        <v>21.800166000000001</v>
      </c>
      <c r="M956" s="187" t="s">
        <v>293</v>
      </c>
      <c r="N956" s="187">
        <v>421.28581700000001</v>
      </c>
      <c r="O956" s="186">
        <f t="shared" si="46"/>
        <v>9184.1007440456233</v>
      </c>
      <c r="P956" s="186">
        <f t="shared" si="47"/>
        <v>3024.12167690656</v>
      </c>
      <c r="Q956" s="215">
        <f>IF(P956="-",0,P956/(1+'General inputs'!$H$30)^'MP Calculations'!$C$40)</f>
        <v>6717.4482324189239</v>
      </c>
    </row>
    <row r="957" spans="3:17">
      <c r="C957" s="159"/>
      <c r="D957" s="165" t="s">
        <v>289</v>
      </c>
      <c r="E957" s="162">
        <v>33844</v>
      </c>
      <c r="F957" s="166" t="str">
        <f t="shared" si="45"/>
        <v>Date check - OK</v>
      </c>
      <c r="G957" s="68"/>
      <c r="H957" s="162" t="s">
        <v>280</v>
      </c>
      <c r="I957" s="173">
        <v>21853.086195380012</v>
      </c>
      <c r="J957" s="168">
        <f>IFERROR(MIN('MP Calculations'!$E$30/I957,1),"-")</f>
        <v>0.32927792945511891</v>
      </c>
      <c r="K957" s="12"/>
      <c r="L957" s="159">
        <v>91.002854999999997</v>
      </c>
      <c r="M957" s="187" t="s">
        <v>293</v>
      </c>
      <c r="N957" s="187">
        <v>421.28581700000001</v>
      </c>
      <c r="O957" s="186">
        <f t="shared" si="46"/>
        <v>38338.212118007534</v>
      </c>
      <c r="P957" s="186">
        <f t="shared" si="47"/>
        <v>12623.927105228669</v>
      </c>
      <c r="Q957" s="215">
        <f>IF(P957="-",0,P957/(1+'General inputs'!$H$30)^'MP Calculations'!$C$40)</f>
        <v>28041.390485963522</v>
      </c>
    </row>
    <row r="958" spans="3:17">
      <c r="C958" s="159"/>
      <c r="D958" s="165" t="s">
        <v>289</v>
      </c>
      <c r="E958" s="162">
        <v>33844</v>
      </c>
      <c r="F958" s="166" t="str">
        <f t="shared" si="45"/>
        <v>Date check - OK</v>
      </c>
      <c r="G958" s="68"/>
      <c r="H958" s="162" t="s">
        <v>280</v>
      </c>
      <c r="I958" s="173">
        <v>21853.086195380012</v>
      </c>
      <c r="J958" s="168">
        <f>IFERROR(MIN('MP Calculations'!$E$30/I958,1),"-")</f>
        <v>0.32927792945511891</v>
      </c>
      <c r="K958" s="12"/>
      <c r="L958" s="159">
        <v>61.425612999999998</v>
      </c>
      <c r="M958" s="187" t="s">
        <v>293</v>
      </c>
      <c r="N958" s="187">
        <v>421.28581700000001</v>
      </c>
      <c r="O958" s="186">
        <f t="shared" si="46"/>
        <v>25877.739557430821</v>
      </c>
      <c r="P958" s="186">
        <f t="shared" si="47"/>
        <v>8520.9685004496459</v>
      </c>
      <c r="Q958" s="215">
        <f>IF(P958="-",0,P958/(1+'General inputs'!$H$30)^'MP Calculations'!$C$40)</f>
        <v>18927.533646858414</v>
      </c>
    </row>
    <row r="959" spans="3:17">
      <c r="C959" s="159"/>
      <c r="D959" s="165" t="s">
        <v>289</v>
      </c>
      <c r="E959" s="162">
        <v>33844</v>
      </c>
      <c r="F959" s="166" t="str">
        <f t="shared" si="45"/>
        <v>Date check - OK</v>
      </c>
      <c r="G959" s="68"/>
      <c r="H959" s="162" t="s">
        <v>280</v>
      </c>
      <c r="I959" s="173">
        <v>21853.086195380012</v>
      </c>
      <c r="J959" s="168">
        <f>IFERROR(MIN('MP Calculations'!$E$30/I959,1),"-")</f>
        <v>0.32927792945511891</v>
      </c>
      <c r="K959" s="12"/>
      <c r="L959" s="159">
        <v>28.115880000000001</v>
      </c>
      <c r="M959" s="187" t="s">
        <v>293</v>
      </c>
      <c r="N959" s="187">
        <v>421.28581700000001</v>
      </c>
      <c r="O959" s="186">
        <f t="shared" si="46"/>
        <v>11844.821476473961</v>
      </c>
      <c r="P959" s="186">
        <f t="shared" si="47"/>
        <v>3900.2382905388704</v>
      </c>
      <c r="Q959" s="215">
        <f>IF(P959="-",0,P959/(1+'General inputs'!$H$30)^'MP Calculations'!$C$40)</f>
        <v>8663.5564338777313</v>
      </c>
    </row>
    <row r="960" spans="3:17">
      <c r="C960" s="159"/>
      <c r="D960" s="165" t="s">
        <v>289</v>
      </c>
      <c r="E960" s="162">
        <v>33844</v>
      </c>
      <c r="F960" s="166" t="str">
        <f t="shared" si="45"/>
        <v>Date check - OK</v>
      </c>
      <c r="G960" s="68"/>
      <c r="H960" s="162" t="s">
        <v>280</v>
      </c>
      <c r="I960" s="173">
        <v>21853.086195380012</v>
      </c>
      <c r="J960" s="168">
        <f>IFERROR(MIN('MP Calculations'!$E$30/I960,1),"-")</f>
        <v>0.32927792945511891</v>
      </c>
      <c r="K960" s="12"/>
      <c r="L960" s="159">
        <v>22.305582999999999</v>
      </c>
      <c r="M960" s="187" t="s">
        <v>293</v>
      </c>
      <c r="N960" s="187">
        <v>421.28581700000001</v>
      </c>
      <c r="O960" s="186">
        <f t="shared" si="46"/>
        <v>9397.0257578163109</v>
      </c>
      <c r="P960" s="186">
        <f t="shared" si="47"/>
        <v>3094.2331845701747</v>
      </c>
      <c r="Q960" s="215">
        <f>IF(P960="-",0,P960/(1+'General inputs'!$H$30)^'MP Calculations'!$C$40)</f>
        <v>6873.1861535560593</v>
      </c>
    </row>
    <row r="961" spans="3:17">
      <c r="C961" s="159"/>
      <c r="D961" s="165" t="s">
        <v>289</v>
      </c>
      <c r="E961" s="162">
        <v>33844</v>
      </c>
      <c r="F961" s="166" t="str">
        <f t="shared" si="45"/>
        <v>Date check - OK</v>
      </c>
      <c r="G961" s="68"/>
      <c r="H961" s="162" t="s">
        <v>280</v>
      </c>
      <c r="I961" s="173">
        <v>21853.086195380012</v>
      </c>
      <c r="J961" s="168">
        <f>IFERROR(MIN('MP Calculations'!$E$30/I961,1),"-")</f>
        <v>0.32927792945511891</v>
      </c>
      <c r="K961" s="12"/>
      <c r="L961" s="159">
        <v>1.601243</v>
      </c>
      <c r="M961" s="187" t="s">
        <v>293</v>
      </c>
      <c r="N961" s="187">
        <v>421.28581700000001</v>
      </c>
      <c r="O961" s="186">
        <f t="shared" si="46"/>
        <v>674.58096547053105</v>
      </c>
      <c r="P961" s="186">
        <f t="shared" si="47"/>
        <v>222.12462355997152</v>
      </c>
      <c r="Q961" s="215">
        <f>IF(P961="-",0,P961/(1+'General inputs'!$H$30)^'MP Calculations'!$C$40)</f>
        <v>493.40298418017431</v>
      </c>
    </row>
    <row r="962" spans="3:17">
      <c r="C962" s="159"/>
      <c r="D962" s="165" t="s">
        <v>289</v>
      </c>
      <c r="E962" s="162">
        <v>33844</v>
      </c>
      <c r="F962" s="166" t="str">
        <f t="shared" si="45"/>
        <v>Date check - OK</v>
      </c>
      <c r="G962" s="68"/>
      <c r="H962" s="162" t="s">
        <v>280</v>
      </c>
      <c r="I962" s="173">
        <v>21853.086195380012</v>
      </c>
      <c r="J962" s="168">
        <f>IFERROR(MIN('MP Calculations'!$E$30/I962,1),"-")</f>
        <v>0.32927792945511891</v>
      </c>
      <c r="K962" s="12"/>
      <c r="L962" s="159">
        <v>14.717911000000001</v>
      </c>
      <c r="M962" s="187" t="s">
        <v>293</v>
      </c>
      <c r="N962" s="187">
        <v>421.28581700000001</v>
      </c>
      <c r="O962" s="186">
        <f t="shared" si="46"/>
        <v>6200.4471601682872</v>
      </c>
      <c r="P962" s="186">
        <f t="shared" si="47"/>
        <v>2041.6704025960858</v>
      </c>
      <c r="Q962" s="215">
        <f>IF(P962="-",0,P962/(1+'General inputs'!$H$30)^'MP Calculations'!$C$40)</f>
        <v>4535.1400182846783</v>
      </c>
    </row>
    <row r="963" spans="3:17">
      <c r="C963" s="159"/>
      <c r="D963" s="165" t="s">
        <v>289</v>
      </c>
      <c r="E963" s="162">
        <v>33844</v>
      </c>
      <c r="F963" s="166" t="str">
        <f t="shared" si="45"/>
        <v>Date check - OK</v>
      </c>
      <c r="G963" s="68"/>
      <c r="H963" s="162" t="s">
        <v>280</v>
      </c>
      <c r="I963" s="173">
        <v>21853.086195380012</v>
      </c>
      <c r="J963" s="168">
        <f>IFERROR(MIN('MP Calculations'!$E$30/I963,1),"-")</f>
        <v>0.32927792945511891</v>
      </c>
      <c r="K963" s="12"/>
      <c r="L963" s="159">
        <v>11.97077</v>
      </c>
      <c r="M963" s="187" t="s">
        <v>293</v>
      </c>
      <c r="N963" s="187">
        <v>421.28581700000001</v>
      </c>
      <c r="O963" s="186">
        <f t="shared" si="46"/>
        <v>5043.1156195690901</v>
      </c>
      <c r="P963" s="186">
        <f t="shared" si="47"/>
        <v>1660.5866692144791</v>
      </c>
      <c r="Q963" s="215">
        <f>IF(P963="-",0,P963/(1+'General inputs'!$H$30)^'MP Calculations'!$C$40)</f>
        <v>3688.642911122487</v>
      </c>
    </row>
    <row r="964" spans="3:17">
      <c r="C964" s="159"/>
      <c r="D964" s="165" t="s">
        <v>289</v>
      </c>
      <c r="E964" s="162">
        <v>33844</v>
      </c>
      <c r="F964" s="166" t="str">
        <f t="shared" si="45"/>
        <v>Date check - OK</v>
      </c>
      <c r="G964" s="68"/>
      <c r="H964" s="162" t="s">
        <v>280</v>
      </c>
      <c r="I964" s="173">
        <v>21853.086195380012</v>
      </c>
      <c r="J964" s="168">
        <f>IFERROR(MIN('MP Calculations'!$E$30/I964,1),"-")</f>
        <v>0.32927792945511891</v>
      </c>
      <c r="K964" s="12"/>
      <c r="L964" s="159">
        <v>16.650687999999999</v>
      </c>
      <c r="M964" s="187" t="s">
        <v>293</v>
      </c>
      <c r="N964" s="187">
        <v>421.28581700000001</v>
      </c>
      <c r="O964" s="186">
        <f t="shared" si="46"/>
        <v>7014.6986976920953</v>
      </c>
      <c r="P964" s="186">
        <f t="shared" si="47"/>
        <v>2309.7854629275721</v>
      </c>
      <c r="Q964" s="215">
        <f>IF(P964="-",0,P964/(1+'General inputs'!$H$30)^'MP Calculations'!$C$40)</f>
        <v>5130.7010540267884</v>
      </c>
    </row>
    <row r="965" spans="3:17">
      <c r="C965" s="159"/>
      <c r="D965" s="165" t="s">
        <v>289</v>
      </c>
      <c r="E965" s="162">
        <v>33844</v>
      </c>
      <c r="F965" s="166" t="str">
        <f t="shared" si="45"/>
        <v>Date check - OK</v>
      </c>
      <c r="G965" s="68"/>
      <c r="H965" s="162" t="s">
        <v>280</v>
      </c>
      <c r="I965" s="173">
        <v>21853.086195380012</v>
      </c>
      <c r="J965" s="168">
        <f>IFERROR(MIN('MP Calculations'!$E$30/I965,1),"-")</f>
        <v>0.32927792945511891</v>
      </c>
      <c r="K965" s="12"/>
      <c r="L965" s="159">
        <v>9.6779810000000008</v>
      </c>
      <c r="M965" s="187" t="s">
        <v>293</v>
      </c>
      <c r="N965" s="187">
        <v>421.28581700000001</v>
      </c>
      <c r="O965" s="186">
        <f t="shared" si="46"/>
        <v>4077.1961324954773</v>
      </c>
      <c r="P965" s="186">
        <f t="shared" si="47"/>
        <v>1342.5307004905294</v>
      </c>
      <c r="Q965" s="215">
        <f>IF(P965="-",0,P965/(1+'General inputs'!$H$30)^'MP Calculations'!$C$40)</f>
        <v>2982.1486846400126</v>
      </c>
    </row>
    <row r="966" spans="3:17">
      <c r="C966" s="159"/>
      <c r="D966" s="165" t="s">
        <v>289</v>
      </c>
      <c r="E966" s="162">
        <v>33844</v>
      </c>
      <c r="F966" s="166" t="str">
        <f t="shared" si="45"/>
        <v>Date check - OK</v>
      </c>
      <c r="G966" s="68"/>
      <c r="H966" s="162" t="s">
        <v>280</v>
      </c>
      <c r="I966" s="173">
        <v>21853.086195380012</v>
      </c>
      <c r="J966" s="168">
        <f>IFERROR(MIN('MP Calculations'!$E$30/I966,1),"-")</f>
        <v>0.32927792945511891</v>
      </c>
      <c r="K966" s="12"/>
      <c r="L966" s="159">
        <v>74.233458999999996</v>
      </c>
      <c r="M966" s="187" t="s">
        <v>293</v>
      </c>
      <c r="N966" s="187">
        <v>421.28581700000001</v>
      </c>
      <c r="O966" s="186">
        <f t="shared" si="46"/>
        <v>31273.503423551003</v>
      </c>
      <c r="P966" s="186">
        <f t="shared" si="47"/>
        <v>10297.674454114447</v>
      </c>
      <c r="Q966" s="215">
        <f>IF(P966="-",0,P966/(1+'General inputs'!$H$30)^'MP Calculations'!$C$40)</f>
        <v>22874.111047865073</v>
      </c>
    </row>
    <row r="967" spans="3:17">
      <c r="C967" s="159"/>
      <c r="D967" s="165" t="s">
        <v>289</v>
      </c>
      <c r="E967" s="162">
        <v>33844</v>
      </c>
      <c r="F967" s="166" t="str">
        <f t="shared" si="45"/>
        <v>Date check - OK</v>
      </c>
      <c r="G967" s="68"/>
      <c r="H967" s="162" t="s">
        <v>280</v>
      </c>
      <c r="I967" s="173">
        <v>21853.086195380012</v>
      </c>
      <c r="J967" s="168">
        <f>IFERROR(MIN('MP Calculations'!$E$30/I967,1),"-")</f>
        <v>0.32927792945511891</v>
      </c>
      <c r="K967" s="12"/>
      <c r="L967" s="159">
        <v>5.6371419999999999</v>
      </c>
      <c r="M967" s="187" t="s">
        <v>293</v>
      </c>
      <c r="N967" s="187">
        <v>421.28581700000001</v>
      </c>
      <c r="O967" s="186">
        <f t="shared" si="46"/>
        <v>2374.8479730150138</v>
      </c>
      <c r="P967" s="186">
        <f t="shared" si="47"/>
        <v>781.98502332506985</v>
      </c>
      <c r="Q967" s="215">
        <f>IF(P967="-",0,P967/(1+'General inputs'!$H$30)^'MP Calculations'!$C$40)</f>
        <v>1737.0147348324992</v>
      </c>
    </row>
    <row r="968" spans="3:17">
      <c r="C968" s="159"/>
      <c r="D968" s="165" t="s">
        <v>289</v>
      </c>
      <c r="E968" s="162">
        <v>33844</v>
      </c>
      <c r="F968" s="166" t="str">
        <f t="shared" si="45"/>
        <v>Date check - OK</v>
      </c>
      <c r="G968" s="68"/>
      <c r="H968" s="162" t="s">
        <v>280</v>
      </c>
      <c r="I968" s="173">
        <v>21853.086195380012</v>
      </c>
      <c r="J968" s="168">
        <f>IFERROR(MIN('MP Calculations'!$E$30/I968,1),"-")</f>
        <v>0.32927792945511891</v>
      </c>
      <c r="K968" s="12"/>
      <c r="L968" s="159">
        <v>22.391022</v>
      </c>
      <c r="M968" s="187" t="s">
        <v>293</v>
      </c>
      <c r="N968" s="187">
        <v>421.28581700000001</v>
      </c>
      <c r="O968" s="186">
        <f t="shared" si="46"/>
        <v>9433.0199967349745</v>
      </c>
      <c r="P968" s="186">
        <f t="shared" si="47"/>
        <v>3106.085293033625</v>
      </c>
      <c r="Q968" s="215">
        <f>IF(P968="-",0,P968/(1+'General inputs'!$H$30)^'MP Calculations'!$C$40)</f>
        <v>6899.513111778746</v>
      </c>
    </row>
    <row r="969" spans="3:17">
      <c r="C969" s="159"/>
      <c r="D969" s="165" t="s">
        <v>289</v>
      </c>
      <c r="E969" s="162">
        <v>33844</v>
      </c>
      <c r="F969" s="166" t="str">
        <f t="shared" si="45"/>
        <v>Date check - OK</v>
      </c>
      <c r="G969" s="68"/>
      <c r="H969" s="162" t="s">
        <v>280</v>
      </c>
      <c r="I969" s="173">
        <v>21853.086195380012</v>
      </c>
      <c r="J969" s="168">
        <f>IFERROR(MIN('MP Calculations'!$E$30/I969,1),"-")</f>
        <v>0.32927792945511891</v>
      </c>
      <c r="K969" s="12"/>
      <c r="L969" s="159">
        <v>13.38307</v>
      </c>
      <c r="M969" s="187" t="s">
        <v>293</v>
      </c>
      <c r="N969" s="187">
        <v>421.28581700000001</v>
      </c>
      <c r="O969" s="186">
        <f t="shared" si="46"/>
        <v>5638.0975789181903</v>
      </c>
      <c r="P969" s="186">
        <f t="shared" si="47"/>
        <v>1856.5010968521005</v>
      </c>
      <c r="Q969" s="215">
        <f>IF(P969="-",0,P969/(1+'General inputs'!$H$30)^'MP Calculations'!$C$40)</f>
        <v>4123.8254752665052</v>
      </c>
    </row>
    <row r="970" spans="3:17">
      <c r="C970" s="159"/>
      <c r="D970" s="165" t="s">
        <v>289</v>
      </c>
      <c r="E970" s="162">
        <v>33844</v>
      </c>
      <c r="F970" s="166" t="str">
        <f t="shared" si="45"/>
        <v>Date check - OK</v>
      </c>
      <c r="G970" s="68"/>
      <c r="H970" s="162" t="s">
        <v>280</v>
      </c>
      <c r="I970" s="173">
        <v>21853.086195380012</v>
      </c>
      <c r="J970" s="168">
        <f>IFERROR(MIN('MP Calculations'!$E$30/I970,1),"-")</f>
        <v>0.32927792945511891</v>
      </c>
      <c r="K970" s="12"/>
      <c r="L970" s="159">
        <v>13.508627000000001</v>
      </c>
      <c r="M970" s="187" t="s">
        <v>293</v>
      </c>
      <c r="N970" s="187">
        <v>421.28581700000001</v>
      </c>
      <c r="O970" s="186">
        <f t="shared" si="46"/>
        <v>5690.9929622432592</v>
      </c>
      <c r="P970" s="186">
        <f t="shared" si="47"/>
        <v>1873.9183791511141</v>
      </c>
      <c r="Q970" s="215">
        <f>IF(P970="-",0,P970/(1+'General inputs'!$H$30)^'MP Calculations'!$C$40)</f>
        <v>4162.5142929442163</v>
      </c>
    </row>
    <row r="971" spans="3:17">
      <c r="C971" s="159"/>
      <c r="D971" s="165" t="s">
        <v>289</v>
      </c>
      <c r="E971" s="162">
        <v>33844</v>
      </c>
      <c r="F971" s="166" t="str">
        <f t="shared" si="45"/>
        <v>Date check - OK</v>
      </c>
      <c r="G971" s="68"/>
      <c r="H971" s="162" t="s">
        <v>280</v>
      </c>
      <c r="I971" s="173">
        <v>21853.086195380012</v>
      </c>
      <c r="J971" s="168">
        <f>IFERROR(MIN('MP Calculations'!$E$30/I971,1),"-")</f>
        <v>0.32927792945511891</v>
      </c>
      <c r="K971" s="12"/>
      <c r="L971" s="159">
        <v>19.762495999999999</v>
      </c>
      <c r="M971" s="187" t="s">
        <v>293</v>
      </c>
      <c r="N971" s="187">
        <v>421.28581700000001</v>
      </c>
      <c r="O971" s="186">
        <f t="shared" si="46"/>
        <v>8325.6592733192319</v>
      </c>
      <c r="P971" s="186">
        <f t="shared" si="47"/>
        <v>2741.4558468673667</v>
      </c>
      <c r="Q971" s="215">
        <f>IF(P971="-",0,P971/(1+'General inputs'!$H$30)^'MP Calculations'!$C$40)</f>
        <v>6089.5657319025013</v>
      </c>
    </row>
    <row r="972" spans="3:17">
      <c r="C972" s="159"/>
      <c r="D972" s="165" t="s">
        <v>289</v>
      </c>
      <c r="E972" s="162">
        <v>33844</v>
      </c>
      <c r="F972" s="166" t="str">
        <f t="shared" si="45"/>
        <v>Date check - OK</v>
      </c>
      <c r="G972" s="68"/>
      <c r="H972" s="162" t="s">
        <v>280</v>
      </c>
      <c r="I972" s="173">
        <v>21853.086195380012</v>
      </c>
      <c r="J972" s="168">
        <f>IFERROR(MIN('MP Calculations'!$E$30/I972,1),"-")</f>
        <v>0.32927792945511891</v>
      </c>
      <c r="K972" s="12"/>
      <c r="L972" s="159">
        <v>53.440010999999998</v>
      </c>
      <c r="M972" s="187" t="s">
        <v>293</v>
      </c>
      <c r="N972" s="187">
        <v>421.28581700000001</v>
      </c>
      <c r="O972" s="186">
        <f t="shared" si="46"/>
        <v>22513.518694623988</v>
      </c>
      <c r="P972" s="186">
        <f t="shared" si="47"/>
        <v>7413.2048205148985</v>
      </c>
      <c r="Q972" s="215">
        <f>IF(P972="-",0,P972/(1+'General inputs'!$H$30)^'MP Calculations'!$C$40)</f>
        <v>16466.870363849423</v>
      </c>
    </row>
    <row r="973" spans="3:17">
      <c r="C973" s="159"/>
      <c r="D973" s="165" t="s">
        <v>289</v>
      </c>
      <c r="E973" s="162">
        <v>33844</v>
      </c>
      <c r="F973" s="166" t="str">
        <f t="shared" si="45"/>
        <v>Date check - OK</v>
      </c>
      <c r="G973" s="68"/>
      <c r="H973" s="162" t="s">
        <v>280</v>
      </c>
      <c r="I973" s="173">
        <v>21853.086195380012</v>
      </c>
      <c r="J973" s="168">
        <f>IFERROR(MIN('MP Calculations'!$E$30/I973,1),"-")</f>
        <v>0.32927792945511891</v>
      </c>
      <c r="K973" s="12"/>
      <c r="L973" s="159">
        <v>16.761431000000002</v>
      </c>
      <c r="M973" s="187" t="s">
        <v>293</v>
      </c>
      <c r="N973" s="187">
        <v>421.28581700000001</v>
      </c>
      <c r="O973" s="186">
        <f t="shared" si="46"/>
        <v>7061.3531529241282</v>
      </c>
      <c r="P973" s="186">
        <f t="shared" si="47"/>
        <v>2325.1477453462326</v>
      </c>
      <c r="Q973" s="215">
        <f>IF(P973="-",0,P973/(1+'General inputs'!$H$30)^'MP Calculations'!$C$40)</f>
        <v>5164.8251230638225</v>
      </c>
    </row>
    <row r="974" spans="3:17">
      <c r="C974" s="159"/>
      <c r="D974" s="165" t="s">
        <v>289</v>
      </c>
      <c r="E974" s="162">
        <v>33844</v>
      </c>
      <c r="F974" s="166" t="str">
        <f t="shared" si="45"/>
        <v>Date check - OK</v>
      </c>
      <c r="G974" s="68"/>
      <c r="H974" s="162" t="s">
        <v>280</v>
      </c>
      <c r="I974" s="173">
        <v>21853.086195380012</v>
      </c>
      <c r="J974" s="168">
        <f>IFERROR(MIN('MP Calculations'!$E$30/I974,1),"-")</f>
        <v>0.32927792945511891</v>
      </c>
      <c r="K974" s="12"/>
      <c r="L974" s="159">
        <v>41.317506000000002</v>
      </c>
      <c r="M974" s="187" t="s">
        <v>293</v>
      </c>
      <c r="N974" s="187">
        <v>421.28581700000001</v>
      </c>
      <c r="O974" s="186">
        <f t="shared" si="46"/>
        <v>17406.479271612403</v>
      </c>
      <c r="P974" s="186">
        <f t="shared" si="47"/>
        <v>5731.5694536599785</v>
      </c>
      <c r="Q974" s="215">
        <f>IF(P974="-",0,P974/(1+'General inputs'!$H$30)^'MP Calculations'!$C$40)</f>
        <v>12731.472212076653</v>
      </c>
    </row>
    <row r="975" spans="3:17">
      <c r="C975" s="159"/>
      <c r="D975" s="165" t="s">
        <v>289</v>
      </c>
      <c r="E975" s="162">
        <v>33844</v>
      </c>
      <c r="F975" s="166" t="str">
        <f t="shared" si="45"/>
        <v>Date check - OK</v>
      </c>
      <c r="G975" s="68"/>
      <c r="H975" s="162" t="s">
        <v>280</v>
      </c>
      <c r="I975" s="173">
        <v>21853.086195380012</v>
      </c>
      <c r="J975" s="168">
        <f>IFERROR(MIN('MP Calculations'!$E$30/I975,1),"-")</f>
        <v>0.32927792945511891</v>
      </c>
      <c r="K975" s="12"/>
      <c r="L975" s="159">
        <v>15.423463</v>
      </c>
      <c r="M975" s="187" t="s">
        <v>293</v>
      </c>
      <c r="N975" s="187">
        <v>421.28581700000001</v>
      </c>
      <c r="O975" s="186">
        <f t="shared" si="46"/>
        <v>6497.6862109242711</v>
      </c>
      <c r="P975" s="186">
        <f t="shared" si="47"/>
        <v>2139.5446617822208</v>
      </c>
      <c r="Q975" s="215">
        <f>IF(P975="-",0,P975/(1+'General inputs'!$H$30)^'MP Calculations'!$C$40)</f>
        <v>4752.5470341431637</v>
      </c>
    </row>
    <row r="976" spans="3:17">
      <c r="C976" s="159"/>
      <c r="D976" s="165" t="s">
        <v>289</v>
      </c>
      <c r="E976" s="162">
        <v>33844</v>
      </c>
      <c r="F976" s="166" t="str">
        <f t="shared" si="45"/>
        <v>Date check - OK</v>
      </c>
      <c r="G976" s="68"/>
      <c r="H976" s="162" t="s">
        <v>280</v>
      </c>
      <c r="I976" s="173">
        <v>21853.086195380012</v>
      </c>
      <c r="J976" s="168">
        <f>IFERROR(MIN('MP Calculations'!$E$30/I976,1),"-")</f>
        <v>0.32927792945511891</v>
      </c>
      <c r="K976" s="12"/>
      <c r="L976" s="159">
        <v>16.304608000000002</v>
      </c>
      <c r="M976" s="187" t="s">
        <v>293</v>
      </c>
      <c r="N976" s="187">
        <v>421.28581700000001</v>
      </c>
      <c r="O976" s="186">
        <f t="shared" si="46"/>
        <v>6868.9001021447366</v>
      </c>
      <c r="P976" s="186">
        <f t="shared" si="47"/>
        <v>2261.7772032682738</v>
      </c>
      <c r="Q976" s="215">
        <f>IF(P976="-",0,P976/(1+'General inputs'!$H$30)^'MP Calculations'!$C$40)</f>
        <v>5024.0608346690315</v>
      </c>
    </row>
    <row r="977" spans="3:17">
      <c r="C977" s="159"/>
      <c r="D977" s="165" t="s">
        <v>289</v>
      </c>
      <c r="E977" s="162">
        <v>33844</v>
      </c>
      <c r="F977" s="166" t="str">
        <f t="shared" si="45"/>
        <v>Date check - OK</v>
      </c>
      <c r="G977" s="68"/>
      <c r="H977" s="162" t="s">
        <v>280</v>
      </c>
      <c r="I977" s="173">
        <v>21853.086195380012</v>
      </c>
      <c r="J977" s="168">
        <f>IFERROR(MIN('MP Calculations'!$E$30/I977,1),"-")</f>
        <v>0.32927792945511891</v>
      </c>
      <c r="K977" s="12"/>
      <c r="L977" s="159">
        <v>10.900358000000001</v>
      </c>
      <c r="M977" s="187" t="s">
        <v>293</v>
      </c>
      <c r="N977" s="187">
        <v>421.28581700000001</v>
      </c>
      <c r="O977" s="186">
        <f t="shared" si="46"/>
        <v>4592.1662256224863</v>
      </c>
      <c r="P977" s="186">
        <f t="shared" si="47"/>
        <v>1512.0989864867008</v>
      </c>
      <c r="Q977" s="215">
        <f>IF(P977="-",0,P977/(1+'General inputs'!$H$30)^'MP Calculations'!$C$40)</f>
        <v>3358.8088540166837</v>
      </c>
    </row>
    <row r="978" spans="3:17">
      <c r="C978" s="159"/>
      <c r="D978" s="165" t="s">
        <v>289</v>
      </c>
      <c r="E978" s="162">
        <v>33844</v>
      </c>
      <c r="F978" s="166" t="str">
        <f t="shared" si="45"/>
        <v>Date check - OK</v>
      </c>
      <c r="G978" s="68"/>
      <c r="H978" s="162" t="s">
        <v>280</v>
      </c>
      <c r="I978" s="173">
        <v>21853.086195380012</v>
      </c>
      <c r="J978" s="168">
        <f>IFERROR(MIN('MP Calculations'!$E$30/I978,1),"-")</f>
        <v>0.32927792945511891</v>
      </c>
      <c r="K978" s="12"/>
      <c r="L978" s="159">
        <v>116.54644</v>
      </c>
      <c r="M978" s="187" t="s">
        <v>293</v>
      </c>
      <c r="N978" s="187">
        <v>421.28581700000001</v>
      </c>
      <c r="O978" s="186">
        <f t="shared" si="46"/>
        <v>49099.36219384148</v>
      </c>
      <c r="P978" s="186">
        <f t="shared" si="47"/>
        <v>16167.336320755066</v>
      </c>
      <c r="Q978" s="215">
        <f>IF(P978="-",0,P978/(1+'General inputs'!$H$30)^'MP Calculations'!$C$40)</f>
        <v>35912.326418648277</v>
      </c>
    </row>
    <row r="979" spans="3:17">
      <c r="C979" s="159"/>
      <c r="D979" s="165" t="s">
        <v>289</v>
      </c>
      <c r="E979" s="162">
        <v>33844</v>
      </c>
      <c r="F979" s="166" t="str">
        <f t="shared" si="45"/>
        <v>Date check - OK</v>
      </c>
      <c r="G979" s="68"/>
      <c r="H979" s="162" t="s">
        <v>280</v>
      </c>
      <c r="I979" s="173">
        <v>21853.086195380012</v>
      </c>
      <c r="J979" s="168">
        <f>IFERROR(MIN('MP Calculations'!$E$30/I979,1),"-")</f>
        <v>0.32927792945511891</v>
      </c>
      <c r="K979" s="12"/>
      <c r="L979" s="159">
        <v>10.451337000000001</v>
      </c>
      <c r="M979" s="187" t="s">
        <v>293</v>
      </c>
      <c r="N979" s="187">
        <v>421.28581700000001</v>
      </c>
      <c r="O979" s="186">
        <f t="shared" si="46"/>
        <v>4403.0000467873297</v>
      </c>
      <c r="P979" s="186">
        <f t="shared" si="47"/>
        <v>1449.8107387969237</v>
      </c>
      <c r="Q979" s="215">
        <f>IF(P979="-",0,P979/(1+'General inputs'!$H$30)^'MP Calculations'!$C$40)</f>
        <v>3220.4486542471514</v>
      </c>
    </row>
    <row r="980" spans="3:17">
      <c r="C980" s="159"/>
      <c r="D980" s="165" t="s">
        <v>289</v>
      </c>
      <c r="E980" s="162">
        <v>33844</v>
      </c>
      <c r="F980" s="166" t="str">
        <f t="shared" si="45"/>
        <v>Date check - OK</v>
      </c>
      <c r="G980" s="68"/>
      <c r="H980" s="162" t="s">
        <v>280</v>
      </c>
      <c r="I980" s="173">
        <v>21853.086195380012</v>
      </c>
      <c r="J980" s="168">
        <f>IFERROR(MIN('MP Calculations'!$E$30/I980,1),"-")</f>
        <v>0.32927792945511891</v>
      </c>
      <c r="K980" s="12"/>
      <c r="L980" s="159">
        <v>61.238990999999999</v>
      </c>
      <c r="M980" s="187" t="s">
        <v>293</v>
      </c>
      <c r="N980" s="187">
        <v>421.28581700000001</v>
      </c>
      <c r="O980" s="186">
        <f t="shared" si="46"/>
        <v>25799.118355690647</v>
      </c>
      <c r="P980" s="186">
        <f t="shared" si="47"/>
        <v>8495.0802739293686</v>
      </c>
      <c r="Q980" s="215">
        <f>IF(P980="-",0,P980/(1+'General inputs'!$H$30)^'MP Calculations'!$C$40)</f>
        <v>18870.02841391521</v>
      </c>
    </row>
    <row r="981" spans="3:17">
      <c r="C981" s="159"/>
      <c r="D981" s="165" t="s">
        <v>289</v>
      </c>
      <c r="E981" s="162">
        <v>33844</v>
      </c>
      <c r="F981" s="166" t="str">
        <f t="shared" si="45"/>
        <v>Date check - OK</v>
      </c>
      <c r="G981" s="68"/>
      <c r="H981" s="162" t="s">
        <v>280</v>
      </c>
      <c r="I981" s="173">
        <v>21853.086195380012</v>
      </c>
      <c r="J981" s="168">
        <f>IFERROR(MIN('MP Calculations'!$E$30/I981,1),"-")</f>
        <v>0.32927792945511891</v>
      </c>
      <c r="K981" s="12"/>
      <c r="L981" s="159">
        <v>17.862822999999999</v>
      </c>
      <c r="M981" s="187" t="s">
        <v>293</v>
      </c>
      <c r="N981" s="187">
        <v>421.28581700000001</v>
      </c>
      <c r="O981" s="186">
        <f t="shared" si="46"/>
        <v>7525.3539814813903</v>
      </c>
      <c r="P981" s="186">
        <f t="shared" si="47"/>
        <v>2477.9329774390276</v>
      </c>
      <c r="Q981" s="215">
        <f>IF(P981="-",0,P981/(1+'General inputs'!$H$30)^'MP Calculations'!$C$40)</f>
        <v>5504.2052793250323</v>
      </c>
    </row>
    <row r="982" spans="3:17">
      <c r="C982" s="159"/>
      <c r="D982" s="165" t="s">
        <v>289</v>
      </c>
      <c r="E982" s="162">
        <v>33844</v>
      </c>
      <c r="F982" s="166" t="str">
        <f t="shared" si="45"/>
        <v>Date check - OK</v>
      </c>
      <c r="G982" s="68"/>
      <c r="H982" s="162" t="s">
        <v>280</v>
      </c>
      <c r="I982" s="173">
        <v>21853.086195380012</v>
      </c>
      <c r="J982" s="168">
        <f>IFERROR(MIN('MP Calculations'!$E$30/I982,1),"-")</f>
        <v>0.32927792945511891</v>
      </c>
      <c r="K982" s="12"/>
      <c r="L982" s="159">
        <v>0.58866700000000005</v>
      </c>
      <c r="M982" s="187" t="s">
        <v>293</v>
      </c>
      <c r="N982" s="187">
        <v>421.28581700000001</v>
      </c>
      <c r="O982" s="186">
        <f t="shared" si="46"/>
        <v>247.99705803593903</v>
      </c>
      <c r="P982" s="186">
        <f t="shared" si="47"/>
        <v>81.659957781034961</v>
      </c>
      <c r="Q982" s="215">
        <f>IF(P982="-",0,P982/(1+'General inputs'!$H$30)^'MP Calculations'!$C$40)</f>
        <v>181.39036641433603</v>
      </c>
    </row>
    <row r="983" spans="3:17">
      <c r="C983" s="159"/>
      <c r="D983" s="165" t="s">
        <v>289</v>
      </c>
      <c r="E983" s="162">
        <v>33844</v>
      </c>
      <c r="F983" s="166" t="str">
        <f t="shared" ref="F983:F1046" si="48">IF(E983="","-",IF(OR(E983&lt;$E$15,E983&gt;$E$16),"ERROR - date outside of range","Date check - OK"))</f>
        <v>Date check - OK</v>
      </c>
      <c r="G983" s="68"/>
      <c r="H983" s="162" t="s">
        <v>280</v>
      </c>
      <c r="I983" s="173">
        <v>21853.086195380012</v>
      </c>
      <c r="J983" s="168">
        <f>IFERROR(MIN('MP Calculations'!$E$30/I983,1),"-")</f>
        <v>0.32927792945511891</v>
      </c>
      <c r="K983" s="12"/>
      <c r="L983" s="159">
        <v>21.594000000000001</v>
      </c>
      <c r="M983" s="187" t="s">
        <v>293</v>
      </c>
      <c r="N983" s="187">
        <v>421.28581700000001</v>
      </c>
      <c r="O983" s="186">
        <f t="shared" ref="O983:O1046" si="49">IF(N983="","-",L983*N983)</f>
        <v>9097.2459322980012</v>
      </c>
      <c r="P983" s="186">
        <f t="shared" ref="P983:P1046" si="50">IF(O983="-","-",IF(OR(E983&lt;$E$15,E983&gt;$E$16),0,O983*J983))</f>
        <v>2995.5223043310889</v>
      </c>
      <c r="Q983" s="215">
        <f>IF(P983="-",0,P983/(1+'General inputs'!$H$30)^'MP Calculations'!$C$40)</f>
        <v>6653.9207605508254</v>
      </c>
    </row>
    <row r="984" spans="3:17">
      <c r="C984" s="159"/>
      <c r="D984" s="165" t="s">
        <v>289</v>
      </c>
      <c r="E984" s="162">
        <v>33844</v>
      </c>
      <c r="F984" s="166" t="str">
        <f t="shared" si="48"/>
        <v>Date check - OK</v>
      </c>
      <c r="G984" s="68"/>
      <c r="H984" s="162" t="s">
        <v>280</v>
      </c>
      <c r="I984" s="173">
        <v>21853.086195380012</v>
      </c>
      <c r="J984" s="168">
        <f>IFERROR(MIN('MP Calculations'!$E$30/I984,1),"-")</f>
        <v>0.32927792945511891</v>
      </c>
      <c r="K984" s="12"/>
      <c r="L984" s="159">
        <v>25.720265999999999</v>
      </c>
      <c r="M984" s="187" t="s">
        <v>293</v>
      </c>
      <c r="N984" s="187">
        <v>421.28581700000001</v>
      </c>
      <c r="O984" s="186">
        <f t="shared" si="49"/>
        <v>10835.583275267321</v>
      </c>
      <c r="P984" s="186">
        <f t="shared" si="50"/>
        <v>3567.9184253185394</v>
      </c>
      <c r="Q984" s="215">
        <f>IF(P984="-",0,P984/(1+'General inputs'!$H$30)^'MP Calculations'!$C$40)</f>
        <v>7925.3779709312539</v>
      </c>
    </row>
    <row r="985" spans="3:17">
      <c r="C985" s="159"/>
      <c r="D985" s="165" t="s">
        <v>289</v>
      </c>
      <c r="E985" s="162">
        <v>33844</v>
      </c>
      <c r="F985" s="166" t="str">
        <f t="shared" si="48"/>
        <v>Date check - OK</v>
      </c>
      <c r="G985" s="68"/>
      <c r="H985" s="162" t="s">
        <v>280</v>
      </c>
      <c r="I985" s="173">
        <v>21853.086195380012</v>
      </c>
      <c r="J985" s="168">
        <f>IFERROR(MIN('MP Calculations'!$E$30/I985,1),"-")</f>
        <v>0.32927792945511891</v>
      </c>
      <c r="K985" s="12"/>
      <c r="L985" s="159">
        <v>21.870023</v>
      </c>
      <c r="M985" s="187" t="s">
        <v>293</v>
      </c>
      <c r="N985" s="187">
        <v>421.28581700000001</v>
      </c>
      <c r="O985" s="186">
        <f t="shared" si="49"/>
        <v>9213.5305073637919</v>
      </c>
      <c r="P985" s="186">
        <f t="shared" si="50"/>
        <v>3033.8122484363207</v>
      </c>
      <c r="Q985" s="215">
        <f>IF(P985="-",0,P985/(1+'General inputs'!$H$30)^'MP Calculations'!$C$40)</f>
        <v>6738.9737924156725</v>
      </c>
    </row>
    <row r="986" spans="3:17">
      <c r="C986" s="159"/>
      <c r="D986" s="165" t="s">
        <v>289</v>
      </c>
      <c r="E986" s="162">
        <v>33844</v>
      </c>
      <c r="F986" s="166" t="str">
        <f t="shared" si="48"/>
        <v>Date check - OK</v>
      </c>
      <c r="G986" s="68"/>
      <c r="H986" s="162" t="s">
        <v>280</v>
      </c>
      <c r="I986" s="173">
        <v>21853.086195380012</v>
      </c>
      <c r="J986" s="168">
        <f>IFERROR(MIN('MP Calculations'!$E$30/I986,1),"-")</f>
        <v>0.32927792945511891</v>
      </c>
      <c r="K986" s="12"/>
      <c r="L986" s="159">
        <v>24.412407000000002</v>
      </c>
      <c r="M986" s="187" t="s">
        <v>293</v>
      </c>
      <c r="N986" s="187">
        <v>421.28581700000001</v>
      </c>
      <c r="O986" s="186">
        <f t="shared" si="49"/>
        <v>10284.600827931519</v>
      </c>
      <c r="P986" s="186">
        <f t="shared" si="50"/>
        <v>3386.4920658936921</v>
      </c>
      <c r="Q986" s="215">
        <f>IF(P986="-",0,P986/(1+'General inputs'!$H$30)^'MP Calculations'!$C$40)</f>
        <v>7522.3775934202213</v>
      </c>
    </row>
    <row r="987" spans="3:17">
      <c r="C987" s="159"/>
      <c r="D987" s="165" t="s">
        <v>289</v>
      </c>
      <c r="E987" s="162">
        <v>33844</v>
      </c>
      <c r="F987" s="166" t="str">
        <f t="shared" si="48"/>
        <v>Date check - OK</v>
      </c>
      <c r="G987" s="68"/>
      <c r="H987" s="162" t="s">
        <v>280</v>
      </c>
      <c r="I987" s="173">
        <v>21853.086195380012</v>
      </c>
      <c r="J987" s="168">
        <f>IFERROR(MIN('MP Calculations'!$E$30/I987,1),"-")</f>
        <v>0.32927792945511891</v>
      </c>
      <c r="K987" s="12"/>
      <c r="L987" s="159">
        <v>17.902809000000001</v>
      </c>
      <c r="M987" s="187" t="s">
        <v>293</v>
      </c>
      <c r="N987" s="187">
        <v>421.28581700000001</v>
      </c>
      <c r="O987" s="186">
        <f t="shared" si="49"/>
        <v>7542.1995161599534</v>
      </c>
      <c r="P987" s="186">
        <f t="shared" si="50"/>
        <v>2483.4798402185493</v>
      </c>
      <c r="Q987" s="215">
        <f>IF(P987="-",0,P987/(1+'General inputs'!$H$30)^'MP Calculations'!$C$40)</f>
        <v>5516.5264646325904</v>
      </c>
    </row>
    <row r="988" spans="3:17">
      <c r="C988" s="159"/>
      <c r="D988" s="165" t="s">
        <v>289</v>
      </c>
      <c r="E988" s="162">
        <v>33844</v>
      </c>
      <c r="F988" s="166" t="str">
        <f t="shared" si="48"/>
        <v>Date check - OK</v>
      </c>
      <c r="G988" s="68"/>
      <c r="H988" s="162" t="s">
        <v>280</v>
      </c>
      <c r="I988" s="173">
        <v>21853.086195380012</v>
      </c>
      <c r="J988" s="168">
        <f>IFERROR(MIN('MP Calculations'!$E$30/I988,1),"-")</f>
        <v>0.32927792945511891</v>
      </c>
      <c r="K988" s="12"/>
      <c r="L988" s="159">
        <v>25.213574000000001</v>
      </c>
      <c r="M988" s="187" t="s">
        <v>293</v>
      </c>
      <c r="N988" s="187">
        <v>421.28581700000001</v>
      </c>
      <c r="O988" s="186">
        <f t="shared" si="49"/>
        <v>10622.12112207996</v>
      </c>
      <c r="P988" s="186">
        <f t="shared" si="50"/>
        <v>3497.6300494999737</v>
      </c>
      <c r="Q988" s="215">
        <f>IF(P988="-",0,P988/(1+'General inputs'!$H$30)^'MP Calculations'!$C$40)</f>
        <v>7769.2471745060902</v>
      </c>
    </row>
    <row r="989" spans="3:17">
      <c r="C989" s="159"/>
      <c r="D989" s="165" t="s">
        <v>289</v>
      </c>
      <c r="E989" s="162">
        <v>33844</v>
      </c>
      <c r="F989" s="166" t="str">
        <f t="shared" si="48"/>
        <v>Date check - OK</v>
      </c>
      <c r="G989" s="68"/>
      <c r="H989" s="162" t="s">
        <v>280</v>
      </c>
      <c r="I989" s="173">
        <v>21853.086195380012</v>
      </c>
      <c r="J989" s="168">
        <f>IFERROR(MIN('MP Calculations'!$E$30/I989,1),"-")</f>
        <v>0.32927792945511891</v>
      </c>
      <c r="K989" s="12"/>
      <c r="L989" s="159">
        <v>24.239830999999999</v>
      </c>
      <c r="M989" s="187" t="s">
        <v>293</v>
      </c>
      <c r="N989" s="187">
        <v>421.28581700000001</v>
      </c>
      <c r="O989" s="186">
        <f t="shared" si="49"/>
        <v>10211.897006776926</v>
      </c>
      <c r="P989" s="186">
        <f t="shared" si="50"/>
        <v>3362.5523022004327</v>
      </c>
      <c r="Q989" s="215">
        <f>IF(P989="-",0,P989/(1+'General inputs'!$H$30)^'MP Calculations'!$C$40)</f>
        <v>7469.2004595324361</v>
      </c>
    </row>
    <row r="990" spans="3:17">
      <c r="C990" s="159"/>
      <c r="D990" s="165" t="s">
        <v>289</v>
      </c>
      <c r="E990" s="162">
        <v>33844</v>
      </c>
      <c r="F990" s="166" t="str">
        <f t="shared" si="48"/>
        <v>Date check - OK</v>
      </c>
      <c r="G990" s="68"/>
      <c r="H990" s="162" t="s">
        <v>280</v>
      </c>
      <c r="I990" s="173">
        <v>21853.086195380012</v>
      </c>
      <c r="J990" s="168">
        <f>IFERROR(MIN('MP Calculations'!$E$30/I990,1),"-")</f>
        <v>0.32927792945511891</v>
      </c>
      <c r="K990" s="12"/>
      <c r="L990" s="159">
        <v>21.695367000000001</v>
      </c>
      <c r="M990" s="187" t="s">
        <v>293</v>
      </c>
      <c r="N990" s="187">
        <v>421.28581700000001</v>
      </c>
      <c r="O990" s="186">
        <f t="shared" si="49"/>
        <v>9139.9504117098404</v>
      </c>
      <c r="P990" s="186">
        <f t="shared" si="50"/>
        <v>3009.5839468902777</v>
      </c>
      <c r="Q990" s="215">
        <f>IF(P990="-",0,P990/(1+'General inputs'!$H$30)^'MP Calculations'!$C$40)</f>
        <v>6685.1557325678086</v>
      </c>
    </row>
    <row r="991" spans="3:17">
      <c r="C991" s="159"/>
      <c r="D991" s="165" t="s">
        <v>289</v>
      </c>
      <c r="E991" s="162">
        <v>33844</v>
      </c>
      <c r="F991" s="166" t="str">
        <f t="shared" si="48"/>
        <v>Date check - OK</v>
      </c>
      <c r="G991" s="68"/>
      <c r="H991" s="162" t="s">
        <v>280</v>
      </c>
      <c r="I991" s="173">
        <v>21853.086195380012</v>
      </c>
      <c r="J991" s="168">
        <f>IFERROR(MIN('MP Calculations'!$E$30/I991,1),"-")</f>
        <v>0.32927792945511891</v>
      </c>
      <c r="K991" s="12"/>
      <c r="L991" s="159">
        <v>2.7720150000000001</v>
      </c>
      <c r="M991" s="187" t="s">
        <v>293</v>
      </c>
      <c r="N991" s="187">
        <v>421.28581700000001</v>
      </c>
      <c r="O991" s="186">
        <f t="shared" si="49"/>
        <v>1167.810604011255</v>
      </c>
      <c r="P991" s="186">
        <f t="shared" si="50"/>
        <v>384.53425768455782</v>
      </c>
      <c r="Q991" s="215">
        <f>IF(P991="-",0,P991/(1+'General inputs'!$H$30)^'MP Calculations'!$C$40)</f>
        <v>854.1617188597894</v>
      </c>
    </row>
    <row r="992" spans="3:17">
      <c r="C992" s="159"/>
      <c r="D992" s="165" t="s">
        <v>289</v>
      </c>
      <c r="E992" s="162">
        <v>33844</v>
      </c>
      <c r="F992" s="166" t="str">
        <f t="shared" si="48"/>
        <v>Date check - OK</v>
      </c>
      <c r="G992" s="68"/>
      <c r="H992" s="162" t="s">
        <v>280</v>
      </c>
      <c r="I992" s="173">
        <v>21853.086195380012</v>
      </c>
      <c r="J992" s="168">
        <f>IFERROR(MIN('MP Calculations'!$E$30/I992,1),"-")</f>
        <v>0.32927792945511891</v>
      </c>
      <c r="K992" s="12"/>
      <c r="L992" s="159">
        <v>24.641314000000001</v>
      </c>
      <c r="M992" s="187" t="s">
        <v>293</v>
      </c>
      <c r="N992" s="187">
        <v>421.28581700000001</v>
      </c>
      <c r="O992" s="186">
        <f t="shared" si="49"/>
        <v>10381.036100443538</v>
      </c>
      <c r="P992" s="186">
        <f t="shared" si="50"/>
        <v>3418.2460727528901</v>
      </c>
      <c r="Q992" s="215">
        <f>IF(P992="-",0,P992/(1+'General inputs'!$H$30)^'MP Calculations'!$C$40)</f>
        <v>7592.9124197393567</v>
      </c>
    </row>
    <row r="993" spans="3:17">
      <c r="C993" s="159"/>
      <c r="D993" s="165" t="s">
        <v>289</v>
      </c>
      <c r="E993" s="162">
        <v>33844</v>
      </c>
      <c r="F993" s="166" t="str">
        <f t="shared" si="48"/>
        <v>Date check - OK</v>
      </c>
      <c r="G993" s="68"/>
      <c r="H993" s="162" t="s">
        <v>280</v>
      </c>
      <c r="I993" s="173">
        <v>21853.086195380012</v>
      </c>
      <c r="J993" s="168">
        <f>IFERROR(MIN('MP Calculations'!$E$30/I993,1),"-")</f>
        <v>0.32927792945511891</v>
      </c>
      <c r="K993" s="12"/>
      <c r="L993" s="159">
        <v>20.471874</v>
      </c>
      <c r="M993" s="187" t="s">
        <v>293</v>
      </c>
      <c r="N993" s="187">
        <v>421.28581700000001</v>
      </c>
      <c r="O993" s="186">
        <f t="shared" si="49"/>
        <v>8624.5101636110576</v>
      </c>
      <c r="P993" s="186">
        <f t="shared" si="50"/>
        <v>2839.8608492384778</v>
      </c>
      <c r="Q993" s="215">
        <f>IF(P993="-",0,P993/(1+'General inputs'!$H$30)^'MP Calculations'!$C$40)</f>
        <v>6308.1516817625561</v>
      </c>
    </row>
    <row r="994" spans="3:17">
      <c r="C994" s="159"/>
      <c r="D994" s="165" t="s">
        <v>289</v>
      </c>
      <c r="E994" s="162">
        <v>33844</v>
      </c>
      <c r="F994" s="166" t="str">
        <f t="shared" si="48"/>
        <v>Date check - OK</v>
      </c>
      <c r="G994" s="68"/>
      <c r="H994" s="162" t="s">
        <v>280</v>
      </c>
      <c r="I994" s="173">
        <v>21853.086195380012</v>
      </c>
      <c r="J994" s="168">
        <f>IFERROR(MIN('MP Calculations'!$E$30/I994,1),"-")</f>
        <v>0.32927792945511891</v>
      </c>
      <c r="K994" s="12"/>
      <c r="L994" s="159">
        <v>6.5647070000000003</v>
      </c>
      <c r="M994" s="187" t="s">
        <v>293</v>
      </c>
      <c r="N994" s="187">
        <v>421.28581700000001</v>
      </c>
      <c r="O994" s="186">
        <f t="shared" si="49"/>
        <v>2765.6179518606191</v>
      </c>
      <c r="P994" s="186">
        <f t="shared" si="50"/>
        <v>910.65695285257141</v>
      </c>
      <c r="Q994" s="215">
        <f>IF(P994="-",0,P994/(1+'General inputs'!$H$30)^'MP Calculations'!$C$40)</f>
        <v>2022.8322772174363</v>
      </c>
    </row>
    <row r="995" spans="3:17">
      <c r="C995" s="159"/>
      <c r="D995" s="165" t="s">
        <v>289</v>
      </c>
      <c r="E995" s="162">
        <v>33844</v>
      </c>
      <c r="F995" s="166" t="str">
        <f t="shared" si="48"/>
        <v>Date check - OK</v>
      </c>
      <c r="G995" s="68"/>
      <c r="H995" s="162" t="s">
        <v>280</v>
      </c>
      <c r="I995" s="173">
        <v>21853.086195380012</v>
      </c>
      <c r="J995" s="168">
        <f>IFERROR(MIN('MP Calculations'!$E$30/I995,1),"-")</f>
        <v>0.32927792945511891</v>
      </c>
      <c r="K995" s="12"/>
      <c r="L995" s="159">
        <v>18.450624999999999</v>
      </c>
      <c r="M995" s="187" t="s">
        <v>293</v>
      </c>
      <c r="N995" s="187">
        <v>421.28581700000001</v>
      </c>
      <c r="O995" s="186">
        <f t="shared" si="49"/>
        <v>7772.9866272856243</v>
      </c>
      <c r="P995" s="186">
        <f t="shared" si="50"/>
        <v>2559.4729423149383</v>
      </c>
      <c r="Q995" s="215">
        <f>IF(P995="-",0,P995/(1+'General inputs'!$H$30)^'MP Calculations'!$C$40)</f>
        <v>5685.3291068184699</v>
      </c>
    </row>
    <row r="996" spans="3:17">
      <c r="C996" s="159"/>
      <c r="D996" s="165" t="s">
        <v>289</v>
      </c>
      <c r="E996" s="162">
        <v>33844</v>
      </c>
      <c r="F996" s="166" t="str">
        <f t="shared" si="48"/>
        <v>Date check - OK</v>
      </c>
      <c r="G996" s="68"/>
      <c r="H996" s="162" t="s">
        <v>280</v>
      </c>
      <c r="I996" s="173">
        <v>21853.086195380012</v>
      </c>
      <c r="J996" s="168">
        <f>IFERROR(MIN('MP Calculations'!$E$30/I996,1),"-")</f>
        <v>0.32927792945511891</v>
      </c>
      <c r="K996" s="12"/>
      <c r="L996" s="159">
        <v>17.875717999999999</v>
      </c>
      <c r="M996" s="187" t="s">
        <v>293</v>
      </c>
      <c r="N996" s="187">
        <v>421.28581700000001</v>
      </c>
      <c r="O996" s="186">
        <f t="shared" si="49"/>
        <v>7530.7864620916062</v>
      </c>
      <c r="P996" s="186">
        <f t="shared" si="50"/>
        <v>2479.7217734061646</v>
      </c>
      <c r="Q996" s="215">
        <f>IF(P996="-",0,P996/(1+'General inputs'!$H$30)^'MP Calculations'!$C$40)</f>
        <v>5508.1787121400421</v>
      </c>
    </row>
    <row r="997" spans="3:17">
      <c r="C997" s="159"/>
      <c r="D997" s="165" t="s">
        <v>289</v>
      </c>
      <c r="E997" s="162">
        <v>33844</v>
      </c>
      <c r="F997" s="166" t="str">
        <f t="shared" si="48"/>
        <v>Date check - OK</v>
      </c>
      <c r="G997" s="68"/>
      <c r="H997" s="162" t="s">
        <v>280</v>
      </c>
      <c r="I997" s="173">
        <v>21853.086195380012</v>
      </c>
      <c r="J997" s="168">
        <f>IFERROR(MIN('MP Calculations'!$E$30/I997,1),"-")</f>
        <v>0.32927792945511891</v>
      </c>
      <c r="K997" s="12"/>
      <c r="L997" s="159">
        <v>23.139842000000002</v>
      </c>
      <c r="M997" s="187" t="s">
        <v>293</v>
      </c>
      <c r="N997" s="187">
        <v>421.28581700000001</v>
      </c>
      <c r="O997" s="186">
        <f t="shared" si="49"/>
        <v>9748.4872422209155</v>
      </c>
      <c r="P997" s="186">
        <f t="shared" si="50"/>
        <v>3209.9616944381455</v>
      </c>
      <c r="Q997" s="215">
        <f>IF(P997="-",0,P997/(1+'General inputs'!$H$30)^'MP Calculations'!$C$40)</f>
        <v>7130.2526201567998</v>
      </c>
    </row>
    <row r="998" spans="3:17">
      <c r="C998" s="159"/>
      <c r="D998" s="165" t="s">
        <v>289</v>
      </c>
      <c r="E998" s="162">
        <v>33844</v>
      </c>
      <c r="F998" s="166" t="str">
        <f t="shared" si="48"/>
        <v>Date check - OK</v>
      </c>
      <c r="G998" s="68"/>
      <c r="H998" s="162" t="s">
        <v>280</v>
      </c>
      <c r="I998" s="173">
        <v>21853.086195380012</v>
      </c>
      <c r="J998" s="168">
        <f>IFERROR(MIN('MP Calculations'!$E$30/I998,1),"-")</f>
        <v>0.32927792945511891</v>
      </c>
      <c r="K998" s="12"/>
      <c r="L998" s="159">
        <v>16.948558999999999</v>
      </c>
      <c r="M998" s="187" t="s">
        <v>293</v>
      </c>
      <c r="N998" s="187">
        <v>421.28581700000001</v>
      </c>
      <c r="O998" s="186">
        <f t="shared" si="49"/>
        <v>7140.1875252877026</v>
      </c>
      <c r="P998" s="186">
        <f t="shared" si="50"/>
        <v>2351.106164248004</v>
      </c>
      <c r="Q998" s="215">
        <f>IF(P998="-",0,P998/(1+'General inputs'!$H$30)^'MP Calculations'!$C$40)</f>
        <v>5222.4862735723118</v>
      </c>
    </row>
    <row r="999" spans="3:17">
      <c r="C999" s="159"/>
      <c r="D999" s="165" t="s">
        <v>289</v>
      </c>
      <c r="E999" s="162">
        <v>33844</v>
      </c>
      <c r="F999" s="166" t="str">
        <f t="shared" si="48"/>
        <v>Date check - OK</v>
      </c>
      <c r="G999" s="68"/>
      <c r="H999" s="162" t="s">
        <v>280</v>
      </c>
      <c r="I999" s="173">
        <v>21853.086195380012</v>
      </c>
      <c r="J999" s="168">
        <f>IFERROR(MIN('MP Calculations'!$E$30/I999,1),"-")</f>
        <v>0.32927792945511891</v>
      </c>
      <c r="K999" s="12"/>
      <c r="L999" s="159">
        <v>22.629452000000001</v>
      </c>
      <c r="M999" s="187" t="s">
        <v>293</v>
      </c>
      <c r="N999" s="187">
        <v>421.28581700000001</v>
      </c>
      <c r="O999" s="186">
        <f t="shared" si="49"/>
        <v>9533.4671740822851</v>
      </c>
      <c r="P999" s="186">
        <f t="shared" si="50"/>
        <v>3139.1603316101587</v>
      </c>
      <c r="Q999" s="215">
        <f>IF(P999="-",0,P999/(1+'General inputs'!$H$30)^'MP Calculations'!$C$40)</f>
        <v>6972.9823313276092</v>
      </c>
    </row>
    <row r="1000" spans="3:17">
      <c r="C1000" s="159"/>
      <c r="D1000" s="165" t="s">
        <v>289</v>
      </c>
      <c r="E1000" s="162">
        <v>33844</v>
      </c>
      <c r="F1000" s="166" t="str">
        <f t="shared" si="48"/>
        <v>Date check - OK</v>
      </c>
      <c r="G1000" s="68"/>
      <c r="H1000" s="162" t="s">
        <v>280</v>
      </c>
      <c r="I1000" s="173">
        <v>21853.086195380012</v>
      </c>
      <c r="J1000" s="168">
        <f>IFERROR(MIN('MP Calculations'!$E$30/I1000,1),"-")</f>
        <v>0.32927792945511891</v>
      </c>
      <c r="K1000" s="12"/>
      <c r="L1000" s="159">
        <v>22.701574000000001</v>
      </c>
      <c r="M1000" s="187" t="s">
        <v>293</v>
      </c>
      <c r="N1000" s="187">
        <v>421.28581700000001</v>
      </c>
      <c r="O1000" s="186">
        <f t="shared" si="49"/>
        <v>9563.8511497759591</v>
      </c>
      <c r="P1000" s="186">
        <f t="shared" si="50"/>
        <v>3149.1651042151861</v>
      </c>
      <c r="Q1000" s="215">
        <f>IF(P1000="-",0,P1000/(1+'General inputs'!$H$30)^'MP Calculations'!$C$40)</f>
        <v>6995.2058227183861</v>
      </c>
    </row>
    <row r="1001" spans="3:17">
      <c r="C1001" s="159"/>
      <c r="D1001" s="165" t="s">
        <v>289</v>
      </c>
      <c r="E1001" s="162">
        <v>33844</v>
      </c>
      <c r="F1001" s="166" t="str">
        <f t="shared" si="48"/>
        <v>Date check - OK</v>
      </c>
      <c r="G1001" s="68"/>
      <c r="H1001" s="162" t="s">
        <v>280</v>
      </c>
      <c r="I1001" s="173">
        <v>21853.086195380012</v>
      </c>
      <c r="J1001" s="168">
        <f>IFERROR(MIN('MP Calculations'!$E$30/I1001,1),"-")</f>
        <v>0.32927792945511891</v>
      </c>
      <c r="K1001" s="12"/>
      <c r="L1001" s="159">
        <v>19.083456999999999</v>
      </c>
      <c r="M1001" s="187" t="s">
        <v>293</v>
      </c>
      <c r="N1001" s="187">
        <v>421.28581700000001</v>
      </c>
      <c r="O1001" s="186">
        <f t="shared" si="49"/>
        <v>8039.5897734293685</v>
      </c>
      <c r="P1001" s="186">
        <f t="shared" si="50"/>
        <v>2647.259474263371</v>
      </c>
      <c r="Q1001" s="215">
        <f>IF(P1001="-",0,P1001/(1+'General inputs'!$H$30)^'MP Calculations'!$C$40)</f>
        <v>5880.3283650726562</v>
      </c>
    </row>
    <row r="1002" spans="3:17">
      <c r="C1002" s="159"/>
      <c r="D1002" s="165" t="s">
        <v>289</v>
      </c>
      <c r="E1002" s="162">
        <v>33844</v>
      </c>
      <c r="F1002" s="166" t="str">
        <f t="shared" si="48"/>
        <v>Date check - OK</v>
      </c>
      <c r="G1002" s="68"/>
      <c r="H1002" s="162" t="s">
        <v>280</v>
      </c>
      <c r="I1002" s="173">
        <v>21853.086195380012</v>
      </c>
      <c r="J1002" s="168">
        <f>IFERROR(MIN('MP Calculations'!$E$30/I1002,1),"-")</f>
        <v>0.32927792945511891</v>
      </c>
      <c r="K1002" s="12"/>
      <c r="L1002" s="159">
        <v>16.688482</v>
      </c>
      <c r="M1002" s="187" t="s">
        <v>293</v>
      </c>
      <c r="N1002" s="187">
        <v>421.28581700000001</v>
      </c>
      <c r="O1002" s="186">
        <f t="shared" si="49"/>
        <v>7030.6207738597941</v>
      </c>
      <c r="P1002" s="186">
        <f t="shared" si="50"/>
        <v>2315.0282512006988</v>
      </c>
      <c r="Q1002" s="215">
        <f>IF(P1002="-",0,P1002/(1+'General inputs'!$H$30)^'MP Calculations'!$C$40)</f>
        <v>5142.3468019764168</v>
      </c>
    </row>
    <row r="1003" spans="3:17">
      <c r="C1003" s="159"/>
      <c r="D1003" s="165" t="s">
        <v>289</v>
      </c>
      <c r="E1003" s="162">
        <v>33844</v>
      </c>
      <c r="F1003" s="166" t="str">
        <f t="shared" si="48"/>
        <v>Date check - OK</v>
      </c>
      <c r="G1003" s="68"/>
      <c r="H1003" s="162" t="s">
        <v>280</v>
      </c>
      <c r="I1003" s="173">
        <v>21853.086195380012</v>
      </c>
      <c r="J1003" s="168">
        <f>IFERROR(MIN('MP Calculations'!$E$30/I1003,1),"-")</f>
        <v>0.32927792945511891</v>
      </c>
      <c r="K1003" s="12"/>
      <c r="L1003" s="159">
        <v>23.073319000000001</v>
      </c>
      <c r="M1003" s="187" t="s">
        <v>293</v>
      </c>
      <c r="N1003" s="187">
        <v>421.28581700000001</v>
      </c>
      <c r="O1003" s="186">
        <f t="shared" si="49"/>
        <v>9720.4620458166246</v>
      </c>
      <c r="P1003" s="186">
        <f t="shared" si="50"/>
        <v>3200.7336157935674</v>
      </c>
      <c r="Q1003" s="215">
        <f>IF(P1003="-",0,P1003/(1+'General inputs'!$H$30)^'MP Calculations'!$C$40)</f>
        <v>7109.7543905210614</v>
      </c>
    </row>
    <row r="1004" spans="3:17">
      <c r="C1004" s="159"/>
      <c r="D1004" s="165" t="s">
        <v>289</v>
      </c>
      <c r="E1004" s="162">
        <v>33844</v>
      </c>
      <c r="F1004" s="166" t="str">
        <f t="shared" si="48"/>
        <v>Date check - OK</v>
      </c>
      <c r="G1004" s="68"/>
      <c r="H1004" s="162" t="s">
        <v>280</v>
      </c>
      <c r="I1004" s="173">
        <v>21853.086195380012</v>
      </c>
      <c r="J1004" s="168">
        <f>IFERROR(MIN('MP Calculations'!$E$30/I1004,1),"-")</f>
        <v>0.32927792945511891</v>
      </c>
      <c r="K1004" s="12"/>
      <c r="L1004" s="159">
        <v>20.378343000000001</v>
      </c>
      <c r="M1004" s="187" t="s">
        <v>293</v>
      </c>
      <c r="N1004" s="187">
        <v>421.28581700000001</v>
      </c>
      <c r="O1004" s="186">
        <f t="shared" si="49"/>
        <v>8585.1068798612323</v>
      </c>
      <c r="P1004" s="186">
        <f t="shared" si="50"/>
        <v>2826.8862175516028</v>
      </c>
      <c r="Q1004" s="215">
        <f>IF(P1004="-",0,P1004/(1+'General inputs'!$H$30)^'MP Calculations'!$C$40)</f>
        <v>6279.3312750451787</v>
      </c>
    </row>
    <row r="1005" spans="3:17">
      <c r="C1005" s="159"/>
      <c r="D1005" s="165" t="s">
        <v>289</v>
      </c>
      <c r="E1005" s="162">
        <v>33844</v>
      </c>
      <c r="F1005" s="166" t="str">
        <f t="shared" si="48"/>
        <v>Date check - OK</v>
      </c>
      <c r="G1005" s="68"/>
      <c r="H1005" s="162" t="s">
        <v>280</v>
      </c>
      <c r="I1005" s="173">
        <v>21853.086195380012</v>
      </c>
      <c r="J1005" s="168">
        <f>IFERROR(MIN('MP Calculations'!$E$30/I1005,1),"-")</f>
        <v>0.32927792945511891</v>
      </c>
      <c r="K1005" s="12"/>
      <c r="L1005" s="159">
        <v>21.9619</v>
      </c>
      <c r="M1005" s="187" t="s">
        <v>293</v>
      </c>
      <c r="N1005" s="187">
        <v>421.28581700000001</v>
      </c>
      <c r="O1005" s="186">
        <f t="shared" si="49"/>
        <v>9252.2369843723009</v>
      </c>
      <c r="P1005" s="186">
        <f t="shared" si="50"/>
        <v>3046.5574370421846</v>
      </c>
      <c r="Q1005" s="215">
        <f>IF(P1005="-",0,P1005/(1+'General inputs'!$H$30)^'MP Calculations'!$C$40)</f>
        <v>6767.2845397397959</v>
      </c>
    </row>
    <row r="1006" spans="3:17">
      <c r="C1006" s="159"/>
      <c r="D1006" s="165" t="s">
        <v>289</v>
      </c>
      <c r="E1006" s="162">
        <v>33844</v>
      </c>
      <c r="F1006" s="166" t="str">
        <f t="shared" si="48"/>
        <v>Date check - OK</v>
      </c>
      <c r="G1006" s="68"/>
      <c r="H1006" s="162" t="s">
        <v>280</v>
      </c>
      <c r="I1006" s="173">
        <v>21853.086195380012</v>
      </c>
      <c r="J1006" s="168">
        <f>IFERROR(MIN('MP Calculations'!$E$30/I1006,1),"-")</f>
        <v>0.32927792945511891</v>
      </c>
      <c r="K1006" s="12"/>
      <c r="L1006" s="159">
        <v>5.3566469999999997</v>
      </c>
      <c r="M1006" s="187" t="s">
        <v>293</v>
      </c>
      <c r="N1006" s="187">
        <v>421.28581700000001</v>
      </c>
      <c r="O1006" s="186">
        <f t="shared" si="49"/>
        <v>2256.679407775599</v>
      </c>
      <c r="P1006" s="186">
        <f t="shared" si="50"/>
        <v>743.0747228363532</v>
      </c>
      <c r="Q1006" s="215">
        <f>IF(P1006="-",0,P1006/(1+'General inputs'!$H$30)^'MP Calculations'!$C$40)</f>
        <v>1650.5837121534819</v>
      </c>
    </row>
    <row r="1007" spans="3:17">
      <c r="C1007" s="159"/>
      <c r="D1007" s="165" t="s">
        <v>289</v>
      </c>
      <c r="E1007" s="162">
        <v>33844</v>
      </c>
      <c r="F1007" s="166" t="str">
        <f t="shared" si="48"/>
        <v>Date check - OK</v>
      </c>
      <c r="G1007" s="68"/>
      <c r="H1007" s="162" t="s">
        <v>280</v>
      </c>
      <c r="I1007" s="173">
        <v>21853.086195380012</v>
      </c>
      <c r="J1007" s="168">
        <f>IFERROR(MIN('MP Calculations'!$E$30/I1007,1),"-")</f>
        <v>0.32927792945511891</v>
      </c>
      <c r="K1007" s="12"/>
      <c r="L1007" s="159">
        <v>11.048949</v>
      </c>
      <c r="M1007" s="187" t="s">
        <v>293</v>
      </c>
      <c r="N1007" s="187">
        <v>421.28581700000001</v>
      </c>
      <c r="O1007" s="186">
        <f t="shared" si="49"/>
        <v>4654.7655064563332</v>
      </c>
      <c r="P1007" s="186">
        <f t="shared" si="50"/>
        <v>1532.7115480650493</v>
      </c>
      <c r="Q1007" s="215">
        <f>IF(P1007="-",0,P1007/(1+'General inputs'!$H$30)^'MP Calculations'!$C$40)</f>
        <v>3404.5953104273071</v>
      </c>
    </row>
    <row r="1008" spans="3:17">
      <c r="C1008" s="159"/>
      <c r="D1008" s="165" t="s">
        <v>289</v>
      </c>
      <c r="E1008" s="162">
        <v>33844</v>
      </c>
      <c r="F1008" s="166" t="str">
        <f t="shared" si="48"/>
        <v>Date check - OK</v>
      </c>
      <c r="G1008" s="68"/>
      <c r="H1008" s="162" t="s">
        <v>280</v>
      </c>
      <c r="I1008" s="173">
        <v>21853.086195380012</v>
      </c>
      <c r="J1008" s="168">
        <f>IFERROR(MIN('MP Calculations'!$E$30/I1008,1),"-")</f>
        <v>0.32927792945511891</v>
      </c>
      <c r="K1008" s="12"/>
      <c r="L1008" s="159">
        <v>46.343076000000003</v>
      </c>
      <c r="M1008" s="187" t="s">
        <v>293</v>
      </c>
      <c r="N1008" s="187">
        <v>421.28581700000001</v>
      </c>
      <c r="O1008" s="186">
        <f t="shared" si="49"/>
        <v>19523.680634953093</v>
      </c>
      <c r="P1008" s="186">
        <f t="shared" si="50"/>
        <v>6428.7171348203556</v>
      </c>
      <c r="Q1008" s="215">
        <f>IF(P1008="-",0,P1008/(1+'General inputs'!$H$30)^'MP Calculations'!$C$40)</f>
        <v>14280.038691496928</v>
      </c>
    </row>
    <row r="1009" spans="3:17">
      <c r="C1009" s="159"/>
      <c r="D1009" s="165" t="s">
        <v>289</v>
      </c>
      <c r="E1009" s="162">
        <v>33844</v>
      </c>
      <c r="F1009" s="166" t="str">
        <f t="shared" si="48"/>
        <v>Date check - OK</v>
      </c>
      <c r="G1009" s="68"/>
      <c r="H1009" s="162" t="s">
        <v>280</v>
      </c>
      <c r="I1009" s="173">
        <v>21853.086195380012</v>
      </c>
      <c r="J1009" s="168">
        <f>IFERROR(MIN('MP Calculations'!$E$30/I1009,1),"-")</f>
        <v>0.32927792945511891</v>
      </c>
      <c r="K1009" s="12"/>
      <c r="L1009" s="159">
        <v>27.124950999999999</v>
      </c>
      <c r="M1009" s="187" t="s">
        <v>293</v>
      </c>
      <c r="N1009" s="187">
        <v>421.28581700000001</v>
      </c>
      <c r="O1009" s="186">
        <f t="shared" si="49"/>
        <v>11427.357143119967</v>
      </c>
      <c r="P1009" s="186">
        <f t="shared" si="50"/>
        <v>3762.7764992307057</v>
      </c>
      <c r="Q1009" s="215">
        <f>IF(P1009="-",0,P1009/(1+'General inputs'!$H$30)^'MP Calculations'!$C$40)</f>
        <v>8358.2140681589244</v>
      </c>
    </row>
    <row r="1010" spans="3:17">
      <c r="C1010" s="159"/>
      <c r="D1010" s="165" t="s">
        <v>289</v>
      </c>
      <c r="E1010" s="162">
        <v>33844</v>
      </c>
      <c r="F1010" s="166" t="str">
        <f t="shared" si="48"/>
        <v>Date check - OK</v>
      </c>
      <c r="G1010" s="68"/>
      <c r="H1010" s="162" t="s">
        <v>280</v>
      </c>
      <c r="I1010" s="173">
        <v>21853.086195380012</v>
      </c>
      <c r="J1010" s="168">
        <f>IFERROR(MIN('MP Calculations'!$E$30/I1010,1),"-")</f>
        <v>0.32927792945511891</v>
      </c>
      <c r="K1010" s="12"/>
      <c r="L1010" s="159">
        <v>13.234557000000001</v>
      </c>
      <c r="M1010" s="187" t="s">
        <v>293</v>
      </c>
      <c r="N1010" s="187">
        <v>421.28581700000001</v>
      </c>
      <c r="O1010" s="186">
        <f t="shared" si="49"/>
        <v>5575.5311583780694</v>
      </c>
      <c r="P1010" s="186">
        <f t="shared" si="50"/>
        <v>1835.8993554432313</v>
      </c>
      <c r="Q1010" s="215">
        <f>IF(P1010="-",0,P1010/(1+'General inputs'!$H$30)^'MP Calculations'!$C$40)</f>
        <v>4078.0630535793848</v>
      </c>
    </row>
    <row r="1011" spans="3:17">
      <c r="C1011" s="159"/>
      <c r="D1011" s="165" t="s">
        <v>289</v>
      </c>
      <c r="E1011" s="162">
        <v>33844</v>
      </c>
      <c r="F1011" s="166" t="str">
        <f t="shared" si="48"/>
        <v>Date check - OK</v>
      </c>
      <c r="G1011" s="68"/>
      <c r="H1011" s="162" t="s">
        <v>280</v>
      </c>
      <c r="I1011" s="173">
        <v>21853.086195380012</v>
      </c>
      <c r="J1011" s="168">
        <f>IFERROR(MIN('MP Calculations'!$E$30/I1011,1),"-")</f>
        <v>0.32927792945511891</v>
      </c>
      <c r="K1011" s="12"/>
      <c r="L1011" s="159">
        <v>24.203112000000001</v>
      </c>
      <c r="M1011" s="187" t="s">
        <v>293</v>
      </c>
      <c r="N1011" s="187">
        <v>421.28581700000001</v>
      </c>
      <c r="O1011" s="186">
        <f t="shared" si="49"/>
        <v>10196.427812862505</v>
      </c>
      <c r="P1011" s="186">
        <f t="shared" si="50"/>
        <v>3357.4586380579522</v>
      </c>
      <c r="Q1011" s="215">
        <f>IF(P1011="-",0,P1011/(1+'General inputs'!$H$30)^'MP Calculations'!$C$40)</f>
        <v>7457.8859593746774</v>
      </c>
    </row>
    <row r="1012" spans="3:17">
      <c r="C1012" s="159"/>
      <c r="D1012" s="165" t="s">
        <v>289</v>
      </c>
      <c r="E1012" s="162">
        <v>33844</v>
      </c>
      <c r="F1012" s="166" t="str">
        <f t="shared" si="48"/>
        <v>Date check - OK</v>
      </c>
      <c r="G1012" s="68"/>
      <c r="H1012" s="162" t="s">
        <v>280</v>
      </c>
      <c r="I1012" s="173">
        <v>21853.086195380012</v>
      </c>
      <c r="J1012" s="168">
        <f>IFERROR(MIN('MP Calculations'!$E$30/I1012,1),"-")</f>
        <v>0.32927792945511891</v>
      </c>
      <c r="K1012" s="12"/>
      <c r="L1012" s="159">
        <v>0.61387100000000006</v>
      </c>
      <c r="M1012" s="187" t="s">
        <v>293</v>
      </c>
      <c r="N1012" s="187">
        <v>421.28581700000001</v>
      </c>
      <c r="O1012" s="186">
        <f t="shared" si="49"/>
        <v>258.61514576760703</v>
      </c>
      <c r="P1012" s="186">
        <f t="shared" si="50"/>
        <v>85.156259724091399</v>
      </c>
      <c r="Q1012" s="215">
        <f>IF(P1012="-",0,P1012/(1+'General inputs'!$H$30)^'MP Calculations'!$C$40)</f>
        <v>189.15666348060088</v>
      </c>
    </row>
    <row r="1013" spans="3:17">
      <c r="C1013" s="159"/>
      <c r="D1013" s="165" t="s">
        <v>289</v>
      </c>
      <c r="E1013" s="162">
        <v>33844</v>
      </c>
      <c r="F1013" s="166" t="str">
        <f t="shared" si="48"/>
        <v>Date check - OK</v>
      </c>
      <c r="G1013" s="68"/>
      <c r="H1013" s="162" t="s">
        <v>280</v>
      </c>
      <c r="I1013" s="173">
        <v>21853.086195380012</v>
      </c>
      <c r="J1013" s="168">
        <f>IFERROR(MIN('MP Calculations'!$E$30/I1013,1),"-")</f>
        <v>0.32927792945511891</v>
      </c>
      <c r="K1013" s="12"/>
      <c r="L1013" s="159">
        <v>24.057371</v>
      </c>
      <c r="M1013" s="187" t="s">
        <v>293</v>
      </c>
      <c r="N1013" s="187">
        <v>421.28581700000001</v>
      </c>
      <c r="O1013" s="186">
        <f t="shared" si="49"/>
        <v>10135.029196607107</v>
      </c>
      <c r="P1013" s="186">
        <f t="shared" si="50"/>
        <v>3337.2414288259656</v>
      </c>
      <c r="Q1013" s="215">
        <f>IF(P1013="-",0,P1013/(1+'General inputs'!$H$30)^'MP Calculations'!$C$40)</f>
        <v>7412.9776947843538</v>
      </c>
    </row>
    <row r="1014" spans="3:17">
      <c r="C1014" s="159"/>
      <c r="D1014" s="165" t="s">
        <v>289</v>
      </c>
      <c r="E1014" s="162">
        <v>33844</v>
      </c>
      <c r="F1014" s="166" t="str">
        <f t="shared" si="48"/>
        <v>Date check - OK</v>
      </c>
      <c r="G1014" s="68"/>
      <c r="H1014" s="162" t="s">
        <v>280</v>
      </c>
      <c r="I1014" s="173">
        <v>21853.086195380012</v>
      </c>
      <c r="J1014" s="168">
        <f>IFERROR(MIN('MP Calculations'!$E$30/I1014,1),"-")</f>
        <v>0.32927792945511891</v>
      </c>
      <c r="K1014" s="12"/>
      <c r="L1014" s="159">
        <v>24.321285</v>
      </c>
      <c r="M1014" s="187" t="s">
        <v>293</v>
      </c>
      <c r="N1014" s="187">
        <v>421.28581700000001</v>
      </c>
      <c r="O1014" s="186">
        <f t="shared" si="49"/>
        <v>10246.212421714845</v>
      </c>
      <c r="P1014" s="186">
        <f t="shared" si="50"/>
        <v>3373.8516109795837</v>
      </c>
      <c r="Q1014" s="215">
        <f>IF(P1014="-",0,P1014/(1+'General inputs'!$H$30)^'MP Calculations'!$C$40)</f>
        <v>7494.299489894107</v>
      </c>
    </row>
    <row r="1015" spans="3:17">
      <c r="C1015" s="159"/>
      <c r="D1015" s="165" t="s">
        <v>289</v>
      </c>
      <c r="E1015" s="162">
        <v>33844</v>
      </c>
      <c r="F1015" s="166" t="str">
        <f t="shared" si="48"/>
        <v>Date check - OK</v>
      </c>
      <c r="G1015" s="68"/>
      <c r="H1015" s="162" t="s">
        <v>280</v>
      </c>
      <c r="I1015" s="173">
        <v>21853.086195380012</v>
      </c>
      <c r="J1015" s="168">
        <f>IFERROR(MIN('MP Calculations'!$E$30/I1015,1),"-")</f>
        <v>0.32927792945511891</v>
      </c>
      <c r="K1015" s="12"/>
      <c r="L1015" s="159">
        <v>7.4529100000000001</v>
      </c>
      <c r="M1015" s="187" t="s">
        <v>293</v>
      </c>
      <c r="N1015" s="187">
        <v>421.28581700000001</v>
      </c>
      <c r="O1015" s="186">
        <f t="shared" si="49"/>
        <v>3139.8052783774701</v>
      </c>
      <c r="P1015" s="186">
        <f t="shared" si="50"/>
        <v>1033.8685809563865</v>
      </c>
      <c r="Q1015" s="215">
        <f>IF(P1015="-",0,P1015/(1+'General inputs'!$H$30)^'MP Calculations'!$C$40)</f>
        <v>2296.5209120828395</v>
      </c>
    </row>
    <row r="1016" spans="3:17">
      <c r="C1016" s="159"/>
      <c r="D1016" s="165" t="s">
        <v>289</v>
      </c>
      <c r="E1016" s="162">
        <v>33844</v>
      </c>
      <c r="F1016" s="166" t="str">
        <f t="shared" si="48"/>
        <v>Date check - OK</v>
      </c>
      <c r="G1016" s="68"/>
      <c r="H1016" s="162" t="s">
        <v>280</v>
      </c>
      <c r="I1016" s="173">
        <v>21853.086195380012</v>
      </c>
      <c r="J1016" s="168">
        <f>IFERROR(MIN('MP Calculations'!$E$30/I1016,1),"-")</f>
        <v>0.32927792945511891</v>
      </c>
      <c r="K1016" s="12"/>
      <c r="L1016" s="159">
        <v>22.672001000000002</v>
      </c>
      <c r="M1016" s="187" t="s">
        <v>293</v>
      </c>
      <c r="N1016" s="187">
        <v>421.28581700000001</v>
      </c>
      <c r="O1016" s="186">
        <f t="shared" si="49"/>
        <v>9551.392464309818</v>
      </c>
      <c r="P1016" s="186">
        <f t="shared" si="50"/>
        <v>3145.0627340611627</v>
      </c>
      <c r="Q1016" s="215">
        <f>IF(P1016="-",0,P1016/(1+'General inputs'!$H$30)^'MP Calculations'!$C$40)</f>
        <v>6986.0932729984743</v>
      </c>
    </row>
    <row r="1017" spans="3:17">
      <c r="C1017" s="159"/>
      <c r="D1017" s="165" t="s">
        <v>289</v>
      </c>
      <c r="E1017" s="162">
        <v>33844</v>
      </c>
      <c r="F1017" s="166" t="str">
        <f t="shared" si="48"/>
        <v>Date check - OK</v>
      </c>
      <c r="G1017" s="68"/>
      <c r="H1017" s="162" t="s">
        <v>280</v>
      </c>
      <c r="I1017" s="173">
        <v>21853.086195380012</v>
      </c>
      <c r="J1017" s="168">
        <f>IFERROR(MIN('MP Calculations'!$E$30/I1017,1),"-")</f>
        <v>0.32927792945511891</v>
      </c>
      <c r="K1017" s="12"/>
      <c r="L1017" s="159">
        <v>21.961051000000001</v>
      </c>
      <c r="M1017" s="187" t="s">
        <v>293</v>
      </c>
      <c r="N1017" s="187">
        <v>421.28581700000001</v>
      </c>
      <c r="O1017" s="186">
        <f t="shared" si="49"/>
        <v>9251.8793127136669</v>
      </c>
      <c r="P1017" s="186">
        <f t="shared" si="50"/>
        <v>3046.439663659005</v>
      </c>
      <c r="Q1017" s="215">
        <f>IF(P1017="-",0,P1017/(1+'General inputs'!$H$30)^'MP Calculations'!$C$40)</f>
        <v>6767.0229310185905</v>
      </c>
    </row>
    <row r="1018" spans="3:17">
      <c r="C1018" s="159"/>
      <c r="D1018" s="165" t="s">
        <v>289</v>
      </c>
      <c r="E1018" s="162">
        <v>33844</v>
      </c>
      <c r="F1018" s="166" t="str">
        <f t="shared" si="48"/>
        <v>Date check - OK</v>
      </c>
      <c r="G1018" s="68"/>
      <c r="H1018" s="162" t="s">
        <v>280</v>
      </c>
      <c r="I1018" s="173">
        <v>21853.086195380012</v>
      </c>
      <c r="J1018" s="168">
        <f>IFERROR(MIN('MP Calculations'!$E$30/I1018,1),"-")</f>
        <v>0.32927792945511891</v>
      </c>
      <c r="K1018" s="12"/>
      <c r="L1018" s="159">
        <v>19.480001999999999</v>
      </c>
      <c r="M1018" s="187" t="s">
        <v>293</v>
      </c>
      <c r="N1018" s="187">
        <v>421.28581700000001</v>
      </c>
      <c r="O1018" s="186">
        <f t="shared" si="49"/>
        <v>8206.6485577316344</v>
      </c>
      <c r="P1018" s="186">
        <f t="shared" si="50"/>
        <v>2702.2682448557102</v>
      </c>
      <c r="Q1018" s="215">
        <f>IF(P1018="-",0,P1018/(1+'General inputs'!$H$30)^'MP Calculations'!$C$40)</f>
        <v>6002.5187423993502</v>
      </c>
    </row>
    <row r="1019" spans="3:17">
      <c r="C1019" s="159"/>
      <c r="D1019" s="165" t="s">
        <v>289</v>
      </c>
      <c r="E1019" s="162">
        <v>33844</v>
      </c>
      <c r="F1019" s="166" t="str">
        <f t="shared" si="48"/>
        <v>Date check - OK</v>
      </c>
      <c r="G1019" s="68"/>
      <c r="H1019" s="162" t="s">
        <v>280</v>
      </c>
      <c r="I1019" s="173">
        <v>21853.086195380012</v>
      </c>
      <c r="J1019" s="168">
        <f>IFERROR(MIN('MP Calculations'!$E$30/I1019,1),"-")</f>
        <v>0.32927792945511891</v>
      </c>
      <c r="K1019" s="12"/>
      <c r="L1019" s="159">
        <v>28.071406</v>
      </c>
      <c r="M1019" s="187" t="s">
        <v>293</v>
      </c>
      <c r="N1019" s="187">
        <v>421.28581700000001</v>
      </c>
      <c r="O1019" s="186">
        <f t="shared" si="49"/>
        <v>11826.085211048701</v>
      </c>
      <c r="P1019" s="186">
        <f t="shared" si="50"/>
        <v>3894.0688518539191</v>
      </c>
      <c r="Q1019" s="215">
        <f>IF(P1019="-",0,P1019/(1+'General inputs'!$H$30)^'MP Calculations'!$C$40)</f>
        <v>8649.8523275563093</v>
      </c>
    </row>
    <row r="1020" spans="3:17">
      <c r="C1020" s="159"/>
      <c r="D1020" s="165" t="s">
        <v>289</v>
      </c>
      <c r="E1020" s="162">
        <v>33844</v>
      </c>
      <c r="F1020" s="166" t="str">
        <f t="shared" si="48"/>
        <v>Date check - OK</v>
      </c>
      <c r="G1020" s="68"/>
      <c r="H1020" s="162" t="s">
        <v>280</v>
      </c>
      <c r="I1020" s="173">
        <v>21853.086195380012</v>
      </c>
      <c r="J1020" s="168">
        <f>IFERROR(MIN('MP Calculations'!$E$30/I1020,1),"-")</f>
        <v>0.32927792945511891</v>
      </c>
      <c r="K1020" s="12"/>
      <c r="L1020" s="159">
        <v>8.6909550000000007</v>
      </c>
      <c r="M1020" s="187" t="s">
        <v>293</v>
      </c>
      <c r="N1020" s="187">
        <v>421.28581700000001</v>
      </c>
      <c r="O1020" s="186">
        <f t="shared" si="49"/>
        <v>3661.3760776852355</v>
      </c>
      <c r="P1020" s="186">
        <f t="shared" si="50"/>
        <v>1205.610333816699</v>
      </c>
      <c r="Q1020" s="215">
        <f>IF(P1020="-",0,P1020/(1+'General inputs'!$H$30)^'MP Calculations'!$C$40)</f>
        <v>2678.0089795087988</v>
      </c>
    </row>
    <row r="1021" spans="3:17">
      <c r="C1021" s="159"/>
      <c r="D1021" s="165" t="s">
        <v>289</v>
      </c>
      <c r="E1021" s="162">
        <v>33844</v>
      </c>
      <c r="F1021" s="166" t="str">
        <f t="shared" si="48"/>
        <v>Date check - OK</v>
      </c>
      <c r="G1021" s="68"/>
      <c r="H1021" s="162" t="s">
        <v>280</v>
      </c>
      <c r="I1021" s="173">
        <v>21853.086195380012</v>
      </c>
      <c r="J1021" s="168">
        <f>IFERROR(MIN('MP Calculations'!$E$30/I1021,1),"-")</f>
        <v>0.32927792945511891</v>
      </c>
      <c r="K1021" s="12"/>
      <c r="L1021" s="159">
        <v>5.3127170000000001</v>
      </c>
      <c r="M1021" s="187" t="s">
        <v>293</v>
      </c>
      <c r="N1021" s="187">
        <v>421.28581700000001</v>
      </c>
      <c r="O1021" s="186">
        <f t="shared" si="49"/>
        <v>2238.1723218347893</v>
      </c>
      <c r="P1021" s="186">
        <f t="shared" si="50"/>
        <v>736.98074789751547</v>
      </c>
      <c r="Q1021" s="215">
        <f>IF(P1021="-",0,P1021/(1+'General inputs'!$H$30)^'MP Calculations'!$C$40)</f>
        <v>1637.0472326216216</v>
      </c>
    </row>
    <row r="1022" spans="3:17">
      <c r="C1022" s="159"/>
      <c r="D1022" s="165" t="s">
        <v>289</v>
      </c>
      <c r="E1022" s="162">
        <v>33844</v>
      </c>
      <c r="F1022" s="166" t="str">
        <f t="shared" si="48"/>
        <v>Date check - OK</v>
      </c>
      <c r="G1022" s="68"/>
      <c r="H1022" s="162" t="s">
        <v>280</v>
      </c>
      <c r="I1022" s="173">
        <v>21853.086195380012</v>
      </c>
      <c r="J1022" s="168">
        <f>IFERROR(MIN('MP Calculations'!$E$30/I1022,1),"-")</f>
        <v>0.32927792945511891</v>
      </c>
      <c r="K1022" s="12"/>
      <c r="L1022" s="159">
        <v>19.788394</v>
      </c>
      <c r="M1022" s="187" t="s">
        <v>293</v>
      </c>
      <c r="N1022" s="187">
        <v>421.28581700000001</v>
      </c>
      <c r="O1022" s="186">
        <f t="shared" si="49"/>
        <v>8336.5697334078977</v>
      </c>
      <c r="P1022" s="186">
        <f t="shared" si="50"/>
        <v>2745.0484205747653</v>
      </c>
      <c r="Q1022" s="215">
        <f>IF(P1022="-",0,P1022/(1+'General inputs'!$H$30)^'MP Calculations'!$C$40)</f>
        <v>6097.5458763804463</v>
      </c>
    </row>
    <row r="1023" spans="3:17">
      <c r="C1023" s="159"/>
      <c r="D1023" s="165" t="s">
        <v>289</v>
      </c>
      <c r="E1023" s="162">
        <v>33844</v>
      </c>
      <c r="F1023" s="166" t="str">
        <f t="shared" si="48"/>
        <v>Date check - OK</v>
      </c>
      <c r="G1023" s="68"/>
      <c r="H1023" s="162" t="s">
        <v>280</v>
      </c>
      <c r="I1023" s="173">
        <v>21853.086195380012</v>
      </c>
      <c r="J1023" s="168">
        <f>IFERROR(MIN('MP Calculations'!$E$30/I1023,1),"-")</f>
        <v>0.32927792945511891</v>
      </c>
      <c r="K1023" s="12"/>
      <c r="L1023" s="159">
        <v>20.245868000000002</v>
      </c>
      <c r="M1023" s="187" t="s">
        <v>293</v>
      </c>
      <c r="N1023" s="187">
        <v>421.28581700000001</v>
      </c>
      <c r="O1023" s="186">
        <f t="shared" si="49"/>
        <v>8529.2970412541563</v>
      </c>
      <c r="P1023" s="186">
        <f t="shared" si="50"/>
        <v>2808.5092694518407</v>
      </c>
      <c r="Q1023" s="215">
        <f>IF(P1023="-",0,P1023/(1+'General inputs'!$H$30)^'MP Calculations'!$C$40)</f>
        <v>6238.510762275243</v>
      </c>
    </row>
    <row r="1024" spans="3:17">
      <c r="C1024" s="159"/>
      <c r="D1024" s="165" t="s">
        <v>289</v>
      </c>
      <c r="E1024" s="162">
        <v>33844</v>
      </c>
      <c r="F1024" s="166" t="str">
        <f t="shared" si="48"/>
        <v>Date check - OK</v>
      </c>
      <c r="G1024" s="68"/>
      <c r="H1024" s="162" t="s">
        <v>280</v>
      </c>
      <c r="I1024" s="173">
        <v>21853.086195380012</v>
      </c>
      <c r="J1024" s="168">
        <f>IFERROR(MIN('MP Calculations'!$E$30/I1024,1),"-")</f>
        <v>0.32927792945511891</v>
      </c>
      <c r="K1024" s="12"/>
      <c r="L1024" s="159">
        <v>18.521795999999998</v>
      </c>
      <c r="M1024" s="187" t="s">
        <v>293</v>
      </c>
      <c r="N1024" s="187">
        <v>421.28581700000001</v>
      </c>
      <c r="O1024" s="186">
        <f t="shared" si="49"/>
        <v>7802.9699601673319</v>
      </c>
      <c r="P1024" s="186">
        <f t="shared" si="50"/>
        <v>2569.3457920843907</v>
      </c>
      <c r="Q1024" s="215">
        <f>IF(P1024="-",0,P1024/(1+'General inputs'!$H$30)^'MP Calculations'!$C$40)</f>
        <v>5707.2595594650002</v>
      </c>
    </row>
    <row r="1025" spans="3:17">
      <c r="C1025" s="159"/>
      <c r="D1025" s="165" t="s">
        <v>289</v>
      </c>
      <c r="E1025" s="162">
        <v>33844</v>
      </c>
      <c r="F1025" s="166" t="str">
        <f t="shared" si="48"/>
        <v>Date check - OK</v>
      </c>
      <c r="G1025" s="68"/>
      <c r="H1025" s="162" t="s">
        <v>280</v>
      </c>
      <c r="I1025" s="173">
        <v>21853.086195380012</v>
      </c>
      <c r="J1025" s="168">
        <f>IFERROR(MIN('MP Calculations'!$E$30/I1025,1),"-")</f>
        <v>0.32927792945511891</v>
      </c>
      <c r="K1025" s="12"/>
      <c r="L1025" s="159">
        <v>43.855570999999998</v>
      </c>
      <c r="M1025" s="187" t="s">
        <v>293</v>
      </c>
      <c r="N1025" s="187">
        <v>421.28581700000001</v>
      </c>
      <c r="O1025" s="186">
        <f t="shared" si="49"/>
        <v>18475.730058736506</v>
      </c>
      <c r="P1025" s="186">
        <f t="shared" si="50"/>
        <v>6083.6501389124596</v>
      </c>
      <c r="Q1025" s="215">
        <f>IF(P1025="-",0,P1025/(1+'General inputs'!$H$30)^'MP Calculations'!$C$40)</f>
        <v>13513.545167301596</v>
      </c>
    </row>
    <row r="1026" spans="3:17">
      <c r="C1026" s="159"/>
      <c r="D1026" s="165" t="s">
        <v>289</v>
      </c>
      <c r="E1026" s="162">
        <v>33844</v>
      </c>
      <c r="F1026" s="166" t="str">
        <f t="shared" si="48"/>
        <v>Date check - OK</v>
      </c>
      <c r="G1026" s="68"/>
      <c r="H1026" s="162" t="s">
        <v>280</v>
      </c>
      <c r="I1026" s="173">
        <v>21853.086195380012</v>
      </c>
      <c r="J1026" s="168">
        <f>IFERROR(MIN('MP Calculations'!$E$30/I1026,1),"-")</f>
        <v>0.32927792945511891</v>
      </c>
      <c r="K1026" s="12"/>
      <c r="L1026" s="159">
        <v>18.495861999999999</v>
      </c>
      <c r="M1026" s="187" t="s">
        <v>293</v>
      </c>
      <c r="N1026" s="187">
        <v>421.28581700000001</v>
      </c>
      <c r="O1026" s="186">
        <f t="shared" si="49"/>
        <v>7792.0443337892539</v>
      </c>
      <c r="P1026" s="186">
        <f t="shared" si="50"/>
        <v>2565.7482244526168</v>
      </c>
      <c r="Q1026" s="215">
        <f>IF(P1026="-",0,P1026/(1+'General inputs'!$H$30)^'MP Calculations'!$C$40)</f>
        <v>5699.2683220377457</v>
      </c>
    </row>
    <row r="1027" spans="3:17">
      <c r="C1027" s="159"/>
      <c r="D1027" s="165" t="s">
        <v>289</v>
      </c>
      <c r="E1027" s="162">
        <v>33844</v>
      </c>
      <c r="F1027" s="166" t="str">
        <f t="shared" si="48"/>
        <v>Date check - OK</v>
      </c>
      <c r="G1027" s="68"/>
      <c r="H1027" s="162" t="s">
        <v>280</v>
      </c>
      <c r="I1027" s="173">
        <v>21853.086195380012</v>
      </c>
      <c r="J1027" s="168">
        <f>IFERROR(MIN('MP Calculations'!$E$30/I1027,1),"-")</f>
        <v>0.32927792945511891</v>
      </c>
      <c r="K1027" s="12"/>
      <c r="L1027" s="159">
        <v>17.455166999999999</v>
      </c>
      <c r="M1027" s="187" t="s">
        <v>293</v>
      </c>
      <c r="N1027" s="187">
        <v>421.28581700000001</v>
      </c>
      <c r="O1027" s="186">
        <f t="shared" si="49"/>
        <v>7353.6142904664393</v>
      </c>
      <c r="P1027" s="186">
        <f t="shared" si="50"/>
        <v>2421.3828875763625</v>
      </c>
      <c r="Q1027" s="215">
        <f>IF(P1027="-",0,P1027/(1+'General inputs'!$H$30)^'MP Calculations'!$C$40)</f>
        <v>5378.5911864490899</v>
      </c>
    </row>
    <row r="1028" spans="3:17">
      <c r="C1028" s="159"/>
      <c r="D1028" s="165" t="s">
        <v>289</v>
      </c>
      <c r="E1028" s="162">
        <v>33844</v>
      </c>
      <c r="F1028" s="166" t="str">
        <f t="shared" si="48"/>
        <v>Date check - OK</v>
      </c>
      <c r="G1028" s="68"/>
      <c r="H1028" s="162" t="s">
        <v>280</v>
      </c>
      <c r="I1028" s="173">
        <v>21853.086195380012</v>
      </c>
      <c r="J1028" s="168">
        <f>IFERROR(MIN('MP Calculations'!$E$30/I1028,1),"-")</f>
        <v>0.32927792945511891</v>
      </c>
      <c r="K1028" s="12"/>
      <c r="L1028" s="159">
        <v>28.261519</v>
      </c>
      <c r="M1028" s="187" t="s">
        <v>293</v>
      </c>
      <c r="N1028" s="187">
        <v>421.28581700000001</v>
      </c>
      <c r="O1028" s="186">
        <f t="shared" si="49"/>
        <v>11906.177121576024</v>
      </c>
      <c r="P1028" s="186">
        <f t="shared" si="50"/>
        <v>3920.4413503184605</v>
      </c>
      <c r="Q1028" s="215">
        <f>IF(P1028="-",0,P1028/(1+'General inputs'!$H$30)^'MP Calculations'!$C$40)</f>
        <v>8708.433268445011</v>
      </c>
    </row>
    <row r="1029" spans="3:17">
      <c r="C1029" s="159"/>
      <c r="D1029" s="165" t="s">
        <v>289</v>
      </c>
      <c r="E1029" s="162">
        <v>33844</v>
      </c>
      <c r="F1029" s="166" t="str">
        <f t="shared" si="48"/>
        <v>Date check - OK</v>
      </c>
      <c r="G1029" s="68"/>
      <c r="H1029" s="162" t="s">
        <v>280</v>
      </c>
      <c r="I1029" s="173">
        <v>21853.086195380012</v>
      </c>
      <c r="J1029" s="168">
        <f>IFERROR(MIN('MP Calculations'!$E$30/I1029,1),"-")</f>
        <v>0.32927792945511891</v>
      </c>
      <c r="K1029" s="12"/>
      <c r="L1029" s="159">
        <v>30.485862999999998</v>
      </c>
      <c r="M1029" s="187" t="s">
        <v>293</v>
      </c>
      <c r="N1029" s="187">
        <v>421.28581700000001</v>
      </c>
      <c r="O1029" s="186">
        <f t="shared" si="49"/>
        <v>12843.26170090507</v>
      </c>
      <c r="P1029" s="186">
        <f t="shared" si="50"/>
        <v>4229.0026203242505</v>
      </c>
      <c r="Q1029" s="215">
        <f>IF(P1029="-",0,P1029/(1+'General inputs'!$H$30)^'MP Calculations'!$C$40)</f>
        <v>9393.8370250536373</v>
      </c>
    </row>
    <row r="1030" spans="3:17">
      <c r="C1030" s="159"/>
      <c r="D1030" s="165" t="s">
        <v>289</v>
      </c>
      <c r="E1030" s="162">
        <v>33844</v>
      </c>
      <c r="F1030" s="166" t="str">
        <f t="shared" si="48"/>
        <v>Date check - OK</v>
      </c>
      <c r="G1030" s="68"/>
      <c r="H1030" s="162" t="s">
        <v>280</v>
      </c>
      <c r="I1030" s="173">
        <v>21853.086195380012</v>
      </c>
      <c r="J1030" s="168">
        <f>IFERROR(MIN('MP Calculations'!$E$30/I1030,1),"-")</f>
        <v>0.32927792945511891</v>
      </c>
      <c r="K1030" s="12"/>
      <c r="L1030" s="159">
        <v>19.939741999999999</v>
      </c>
      <c r="M1030" s="187" t="s">
        <v>293</v>
      </c>
      <c r="N1030" s="187">
        <v>421.28581700000001</v>
      </c>
      <c r="O1030" s="186">
        <f t="shared" si="49"/>
        <v>8400.3304992392132</v>
      </c>
      <c r="P1030" s="186">
        <f t="shared" si="50"/>
        <v>2766.0434335281734</v>
      </c>
      <c r="Q1030" s="215">
        <f>IF(P1030="-",0,P1030/(1+'General inputs'!$H$30)^'MP Calculations'!$C$40)</f>
        <v>6144.181867825655</v>
      </c>
    </row>
    <row r="1031" spans="3:17">
      <c r="C1031" s="159"/>
      <c r="D1031" s="165" t="s">
        <v>289</v>
      </c>
      <c r="E1031" s="162">
        <v>33844</v>
      </c>
      <c r="F1031" s="166" t="str">
        <f t="shared" si="48"/>
        <v>Date check - OK</v>
      </c>
      <c r="G1031" s="68"/>
      <c r="H1031" s="162" t="s">
        <v>280</v>
      </c>
      <c r="I1031" s="173">
        <v>21853.086195380012</v>
      </c>
      <c r="J1031" s="168">
        <f>IFERROR(MIN('MP Calculations'!$E$30/I1031,1),"-")</f>
        <v>0.32927792945511891</v>
      </c>
      <c r="K1031" s="12"/>
      <c r="L1031" s="159">
        <v>21.655504000000001</v>
      </c>
      <c r="M1031" s="187" t="s">
        <v>293</v>
      </c>
      <c r="N1031" s="187">
        <v>421.28581700000001</v>
      </c>
      <c r="O1031" s="186">
        <f t="shared" si="49"/>
        <v>9123.156695186768</v>
      </c>
      <c r="P1031" s="186">
        <f t="shared" si="50"/>
        <v>3004.0541466857044</v>
      </c>
      <c r="Q1031" s="215">
        <f>IF(P1031="-",0,P1031/(1+'General inputs'!$H$30)^'MP Calculations'!$C$40)</f>
        <v>6672.8724481703903</v>
      </c>
    </row>
    <row r="1032" spans="3:17">
      <c r="C1032" s="159"/>
      <c r="D1032" s="165" t="s">
        <v>289</v>
      </c>
      <c r="E1032" s="162">
        <v>33844</v>
      </c>
      <c r="F1032" s="166" t="str">
        <f t="shared" si="48"/>
        <v>Date check - OK</v>
      </c>
      <c r="G1032" s="68"/>
      <c r="H1032" s="162" t="s">
        <v>280</v>
      </c>
      <c r="I1032" s="173">
        <v>21853.086195380012</v>
      </c>
      <c r="J1032" s="168">
        <f>IFERROR(MIN('MP Calculations'!$E$30/I1032,1),"-")</f>
        <v>0.32927792945511891</v>
      </c>
      <c r="K1032" s="12"/>
      <c r="L1032" s="159">
        <v>16.892565000000001</v>
      </c>
      <c r="M1032" s="187" t="s">
        <v>293</v>
      </c>
      <c r="N1032" s="187">
        <v>421.28581700000001</v>
      </c>
      <c r="O1032" s="186">
        <f t="shared" si="49"/>
        <v>7116.5980472506053</v>
      </c>
      <c r="P1032" s="186">
        <f t="shared" si="50"/>
        <v>2343.3386697630217</v>
      </c>
      <c r="Q1032" s="215">
        <f>IF(P1032="-",0,P1032/(1+'General inputs'!$H$30)^'MP Calculations'!$C$40)</f>
        <v>5205.2324234719936</v>
      </c>
    </row>
    <row r="1033" spans="3:17">
      <c r="C1033" s="159"/>
      <c r="D1033" s="165" t="s">
        <v>289</v>
      </c>
      <c r="E1033" s="162">
        <v>33844</v>
      </c>
      <c r="F1033" s="166" t="str">
        <f t="shared" si="48"/>
        <v>Date check - OK</v>
      </c>
      <c r="G1033" s="68"/>
      <c r="H1033" s="162" t="s">
        <v>280</v>
      </c>
      <c r="I1033" s="173">
        <v>21853.086195380012</v>
      </c>
      <c r="J1033" s="168">
        <f>IFERROR(MIN('MP Calculations'!$E$30/I1033,1),"-")</f>
        <v>0.32927792945511891</v>
      </c>
      <c r="K1033" s="12"/>
      <c r="L1033" s="159">
        <v>32.456068999999999</v>
      </c>
      <c r="M1033" s="187" t="s">
        <v>293</v>
      </c>
      <c r="N1033" s="187">
        <v>421.28581700000001</v>
      </c>
      <c r="O1033" s="186">
        <f t="shared" si="49"/>
        <v>13673.281545273374</v>
      </c>
      <c r="P1033" s="186">
        <f t="shared" si="50"/>
        <v>4502.3098360845052</v>
      </c>
      <c r="Q1033" s="215">
        <f>IF(P1033="-",0,P1033/(1+'General inputs'!$H$30)^'MP Calculations'!$C$40)</f>
        <v>10000.93133856488</v>
      </c>
    </row>
    <row r="1034" spans="3:17">
      <c r="C1034" s="159"/>
      <c r="D1034" s="165" t="s">
        <v>289</v>
      </c>
      <c r="E1034" s="162">
        <v>33844</v>
      </c>
      <c r="F1034" s="166" t="str">
        <f t="shared" si="48"/>
        <v>Date check - OK</v>
      </c>
      <c r="G1034" s="68"/>
      <c r="H1034" s="162" t="s">
        <v>280</v>
      </c>
      <c r="I1034" s="173">
        <v>21853.086195380012</v>
      </c>
      <c r="J1034" s="168">
        <f>IFERROR(MIN('MP Calculations'!$E$30/I1034,1),"-")</f>
        <v>0.32927792945511891</v>
      </c>
      <c r="K1034" s="12"/>
      <c r="L1034" s="159">
        <v>17.771957</v>
      </c>
      <c r="M1034" s="187" t="s">
        <v>293</v>
      </c>
      <c r="N1034" s="187">
        <v>421.28581700000001</v>
      </c>
      <c r="O1034" s="186">
        <f t="shared" si="49"/>
        <v>7487.0734244338691</v>
      </c>
      <c r="P1034" s="186">
        <f t="shared" si="50"/>
        <v>2465.3280348760313</v>
      </c>
      <c r="Q1034" s="215">
        <f>IF(P1034="-",0,P1034/(1+'General inputs'!$H$30)^'MP Calculations'!$C$40)</f>
        <v>5476.2060589940056</v>
      </c>
    </row>
    <row r="1035" spans="3:17">
      <c r="C1035" s="159"/>
      <c r="D1035" s="165" t="s">
        <v>289</v>
      </c>
      <c r="E1035" s="162">
        <v>33844</v>
      </c>
      <c r="F1035" s="166" t="str">
        <f t="shared" si="48"/>
        <v>Date check - OK</v>
      </c>
      <c r="G1035" s="68"/>
      <c r="H1035" s="162" t="s">
        <v>280</v>
      </c>
      <c r="I1035" s="173">
        <v>21853.086195380012</v>
      </c>
      <c r="J1035" s="168">
        <f>IFERROR(MIN('MP Calculations'!$E$30/I1035,1),"-")</f>
        <v>0.32927792945511891</v>
      </c>
      <c r="K1035" s="12"/>
      <c r="L1035" s="159">
        <v>9.6414779999999993</v>
      </c>
      <c r="M1035" s="187" t="s">
        <v>293</v>
      </c>
      <c r="N1035" s="187">
        <v>421.28581700000001</v>
      </c>
      <c r="O1035" s="186">
        <f t="shared" si="49"/>
        <v>4061.8179363175259</v>
      </c>
      <c r="P1035" s="186">
        <f t="shared" si="50"/>
        <v>1337.4669998942991</v>
      </c>
      <c r="Q1035" s="215">
        <f>IF(P1035="-",0,P1035/(1+'General inputs'!$H$30)^'MP Calculations'!$C$40)</f>
        <v>2970.9007421781071</v>
      </c>
    </row>
    <row r="1036" spans="3:17">
      <c r="C1036" s="159"/>
      <c r="D1036" s="165" t="s">
        <v>289</v>
      </c>
      <c r="E1036" s="162">
        <v>33844</v>
      </c>
      <c r="F1036" s="166" t="str">
        <f t="shared" si="48"/>
        <v>Date check - OK</v>
      </c>
      <c r="G1036" s="68"/>
      <c r="H1036" s="162" t="s">
        <v>280</v>
      </c>
      <c r="I1036" s="173">
        <v>21853.086195380012</v>
      </c>
      <c r="J1036" s="168">
        <f>IFERROR(MIN('MP Calculations'!$E$30/I1036,1),"-")</f>
        <v>0.32927792945511891</v>
      </c>
      <c r="K1036" s="12"/>
      <c r="L1036" s="159">
        <v>32.261654</v>
      </c>
      <c r="M1036" s="187" t="s">
        <v>293</v>
      </c>
      <c r="N1036" s="187">
        <v>421.28581700000001</v>
      </c>
      <c r="O1036" s="186">
        <f t="shared" si="49"/>
        <v>13591.377263161319</v>
      </c>
      <c r="P1036" s="186">
        <f t="shared" si="50"/>
        <v>4475.3405636571397</v>
      </c>
      <c r="Q1036" s="215">
        <f>IF(P1036="-",0,P1036/(1+'General inputs'!$H$30)^'MP Calculations'!$C$40)</f>
        <v>9941.0247902337469</v>
      </c>
    </row>
    <row r="1037" spans="3:17">
      <c r="C1037" s="159"/>
      <c r="D1037" s="165" t="s">
        <v>289</v>
      </c>
      <c r="E1037" s="162">
        <v>33844</v>
      </c>
      <c r="F1037" s="166" t="str">
        <f t="shared" si="48"/>
        <v>Date check - OK</v>
      </c>
      <c r="G1037" s="68"/>
      <c r="H1037" s="162" t="s">
        <v>280</v>
      </c>
      <c r="I1037" s="173">
        <v>21853.086195380012</v>
      </c>
      <c r="J1037" s="168">
        <f>IFERROR(MIN('MP Calculations'!$E$30/I1037,1),"-")</f>
        <v>0.32927792945511891</v>
      </c>
      <c r="K1037" s="12"/>
      <c r="L1037" s="159">
        <v>54.565427999999997</v>
      </c>
      <c r="M1037" s="187" t="s">
        <v>293</v>
      </c>
      <c r="N1037" s="187">
        <v>421.28581700000001</v>
      </c>
      <c r="O1037" s="186">
        <f t="shared" si="49"/>
        <v>22987.640914934676</v>
      </c>
      <c r="P1037" s="186">
        <f t="shared" si="50"/>
        <v>7569.3228035274651</v>
      </c>
      <c r="Q1037" s="215">
        <f>IF(P1037="-",0,P1037/(1+'General inputs'!$H$30)^'MP Calculations'!$C$40)</f>
        <v>16813.653523087025</v>
      </c>
    </row>
    <row r="1038" spans="3:17">
      <c r="C1038" s="159"/>
      <c r="D1038" s="165" t="s">
        <v>289</v>
      </c>
      <c r="E1038" s="162">
        <v>33844</v>
      </c>
      <c r="F1038" s="166" t="str">
        <f t="shared" si="48"/>
        <v>Date check - OK</v>
      </c>
      <c r="G1038" s="68"/>
      <c r="H1038" s="162" t="s">
        <v>280</v>
      </c>
      <c r="I1038" s="173">
        <v>21853.086195380012</v>
      </c>
      <c r="J1038" s="168">
        <f>IFERROR(MIN('MP Calculations'!$E$30/I1038,1),"-")</f>
        <v>0.32927792945511891</v>
      </c>
      <c r="K1038" s="12"/>
      <c r="L1038" s="159">
        <v>22.457415999999998</v>
      </c>
      <c r="M1038" s="187" t="s">
        <v>293</v>
      </c>
      <c r="N1038" s="187">
        <v>421.28581700000001</v>
      </c>
      <c r="O1038" s="186">
        <f t="shared" si="49"/>
        <v>9460.9908472688712</v>
      </c>
      <c r="P1038" s="186">
        <f t="shared" si="50"/>
        <v>3115.2954767825249</v>
      </c>
      <c r="Q1038" s="215">
        <f>IF(P1038="-",0,P1038/(1+'General inputs'!$H$30)^'MP Calculations'!$C$40)</f>
        <v>6919.9715916794585</v>
      </c>
    </row>
    <row r="1039" spans="3:17">
      <c r="C1039" s="159"/>
      <c r="D1039" s="165" t="s">
        <v>289</v>
      </c>
      <c r="E1039" s="162">
        <v>33844</v>
      </c>
      <c r="F1039" s="166" t="str">
        <f t="shared" si="48"/>
        <v>Date check - OK</v>
      </c>
      <c r="G1039" s="68"/>
      <c r="H1039" s="162" t="s">
        <v>280</v>
      </c>
      <c r="I1039" s="173">
        <v>21853.086195380012</v>
      </c>
      <c r="J1039" s="168">
        <f>IFERROR(MIN('MP Calculations'!$E$30/I1039,1),"-")</f>
        <v>0.32927792945511891</v>
      </c>
      <c r="K1039" s="12"/>
      <c r="L1039" s="159">
        <v>41.979621999999999</v>
      </c>
      <c r="M1039" s="187" t="s">
        <v>293</v>
      </c>
      <c r="N1039" s="187">
        <v>421.28581700000001</v>
      </c>
      <c r="O1039" s="186">
        <f t="shared" si="49"/>
        <v>17685.419351621174</v>
      </c>
      <c r="P1039" s="186">
        <f t="shared" si="50"/>
        <v>5823.4182656473122</v>
      </c>
      <c r="Q1039" s="215">
        <f>IF(P1039="-",0,P1039/(1+'General inputs'!$H$30)^'MP Calculations'!$C$40)</f>
        <v>12935.494968318799</v>
      </c>
    </row>
    <row r="1040" spans="3:17">
      <c r="C1040" s="159"/>
      <c r="D1040" s="165" t="s">
        <v>289</v>
      </c>
      <c r="E1040" s="162">
        <v>33844</v>
      </c>
      <c r="F1040" s="166" t="str">
        <f t="shared" si="48"/>
        <v>Date check - OK</v>
      </c>
      <c r="G1040" s="68"/>
      <c r="H1040" s="162" t="s">
        <v>280</v>
      </c>
      <c r="I1040" s="173">
        <v>21853.086195380012</v>
      </c>
      <c r="J1040" s="168">
        <f>IFERROR(MIN('MP Calculations'!$E$30/I1040,1),"-")</f>
        <v>0.32927792945511891</v>
      </c>
      <c r="K1040" s="12"/>
      <c r="L1040" s="159">
        <v>12.398858000000001</v>
      </c>
      <c r="M1040" s="187" t="s">
        <v>293</v>
      </c>
      <c r="N1040" s="187">
        <v>421.28581700000001</v>
      </c>
      <c r="O1040" s="186">
        <f t="shared" si="49"/>
        <v>5223.4630223969862</v>
      </c>
      <c r="P1040" s="186">
        <f t="shared" si="50"/>
        <v>1719.971088600257</v>
      </c>
      <c r="Q1040" s="215">
        <f>IF(P1040="-",0,P1040/(1+'General inputs'!$H$30)^'MP Calculations'!$C$40)</f>
        <v>3820.5528690062829</v>
      </c>
    </row>
    <row r="1041" spans="3:17">
      <c r="C1041" s="159"/>
      <c r="D1041" s="165" t="s">
        <v>289</v>
      </c>
      <c r="E1041" s="162">
        <v>33844</v>
      </c>
      <c r="F1041" s="166" t="str">
        <f t="shared" si="48"/>
        <v>Date check - OK</v>
      </c>
      <c r="G1041" s="68"/>
      <c r="H1041" s="162" t="s">
        <v>280</v>
      </c>
      <c r="I1041" s="173">
        <v>21853.086195380012</v>
      </c>
      <c r="J1041" s="168">
        <f>IFERROR(MIN('MP Calculations'!$E$30/I1041,1),"-")</f>
        <v>0.32927792945511891</v>
      </c>
      <c r="K1041" s="12"/>
      <c r="L1041" s="159">
        <v>18.570408</v>
      </c>
      <c r="M1041" s="187" t="s">
        <v>293</v>
      </c>
      <c r="N1041" s="187">
        <v>421.28581700000001</v>
      </c>
      <c r="O1041" s="186">
        <f t="shared" si="49"/>
        <v>7823.4495063033364</v>
      </c>
      <c r="P1041" s="186">
        <f t="shared" si="50"/>
        <v>2576.0892546322348</v>
      </c>
      <c r="Q1041" s="215">
        <f>IF(P1041="-",0,P1041/(1+'General inputs'!$H$30)^'MP Calculations'!$C$40)</f>
        <v>5722.2387386820001</v>
      </c>
    </row>
    <row r="1042" spans="3:17">
      <c r="C1042" s="159"/>
      <c r="D1042" s="165" t="s">
        <v>289</v>
      </c>
      <c r="E1042" s="162">
        <v>33844</v>
      </c>
      <c r="F1042" s="166" t="str">
        <f t="shared" si="48"/>
        <v>Date check - OK</v>
      </c>
      <c r="G1042" s="68"/>
      <c r="H1042" s="162" t="s">
        <v>280</v>
      </c>
      <c r="I1042" s="173">
        <v>21853.086195380012</v>
      </c>
      <c r="J1042" s="168">
        <f>IFERROR(MIN('MP Calculations'!$E$30/I1042,1),"-")</f>
        <v>0.32927792945511891</v>
      </c>
      <c r="K1042" s="12"/>
      <c r="L1042" s="159">
        <v>22.481134999999998</v>
      </c>
      <c r="M1042" s="187" t="s">
        <v>293</v>
      </c>
      <c r="N1042" s="187">
        <v>421.28581700000001</v>
      </c>
      <c r="O1042" s="186">
        <f t="shared" si="49"/>
        <v>9470.9833255622943</v>
      </c>
      <c r="P1042" s="186">
        <f t="shared" si="50"/>
        <v>3118.5857793451087</v>
      </c>
      <c r="Q1042" s="215">
        <f>IF(P1042="-",0,P1042/(1+'General inputs'!$H$30)^'MP Calculations'!$C$40)</f>
        <v>6927.2803045867249</v>
      </c>
    </row>
    <row r="1043" spans="3:17">
      <c r="C1043" s="159"/>
      <c r="D1043" s="165" t="s">
        <v>289</v>
      </c>
      <c r="E1043" s="162">
        <v>33844</v>
      </c>
      <c r="F1043" s="166" t="str">
        <f t="shared" si="48"/>
        <v>Date check - OK</v>
      </c>
      <c r="G1043" s="68"/>
      <c r="H1043" s="162" t="s">
        <v>280</v>
      </c>
      <c r="I1043" s="173">
        <v>21853.086195380012</v>
      </c>
      <c r="J1043" s="168">
        <f>IFERROR(MIN('MP Calculations'!$E$30/I1043,1),"-")</f>
        <v>0.32927792945511891</v>
      </c>
      <c r="K1043" s="12"/>
      <c r="L1043" s="159">
        <v>25.058581</v>
      </c>
      <c r="M1043" s="187" t="s">
        <v>293</v>
      </c>
      <c r="N1043" s="187">
        <v>421.28581700000001</v>
      </c>
      <c r="O1043" s="186">
        <f t="shared" si="49"/>
        <v>10556.824769445677</v>
      </c>
      <c r="P1043" s="186">
        <f t="shared" si="50"/>
        <v>3476.1294017035857</v>
      </c>
      <c r="Q1043" s="215">
        <f>IF(P1043="-",0,P1043/(1+'General inputs'!$H$30)^'MP Calculations'!$C$40)</f>
        <v>7721.488021943338</v>
      </c>
    </row>
    <row r="1044" spans="3:17">
      <c r="C1044" s="159"/>
      <c r="D1044" s="165" t="s">
        <v>289</v>
      </c>
      <c r="E1044" s="162">
        <v>33844</v>
      </c>
      <c r="F1044" s="166" t="str">
        <f t="shared" si="48"/>
        <v>Date check - OK</v>
      </c>
      <c r="G1044" s="68"/>
      <c r="H1044" s="162" t="s">
        <v>280</v>
      </c>
      <c r="I1044" s="173">
        <v>21853.086195380012</v>
      </c>
      <c r="J1044" s="168">
        <f>IFERROR(MIN('MP Calculations'!$E$30/I1044,1),"-")</f>
        <v>0.32927792945511891</v>
      </c>
      <c r="K1044" s="12"/>
      <c r="L1044" s="159">
        <v>27.516515999999999</v>
      </c>
      <c r="M1044" s="187" t="s">
        <v>293</v>
      </c>
      <c r="N1044" s="187">
        <v>421.28581700000001</v>
      </c>
      <c r="O1044" s="186">
        <f t="shared" si="49"/>
        <v>11592.317924053572</v>
      </c>
      <c r="P1044" s="186">
        <f t="shared" si="50"/>
        <v>3817.0944436178224</v>
      </c>
      <c r="Q1044" s="215">
        <f>IF(P1044="-",0,P1044/(1+'General inputs'!$H$30)^'MP Calculations'!$C$40)</f>
        <v>8478.8699208311991</v>
      </c>
    </row>
    <row r="1045" spans="3:17">
      <c r="C1045" s="159"/>
      <c r="D1045" s="165" t="s">
        <v>289</v>
      </c>
      <c r="E1045" s="162">
        <v>33844</v>
      </c>
      <c r="F1045" s="166" t="str">
        <f t="shared" si="48"/>
        <v>Date check - OK</v>
      </c>
      <c r="G1045" s="68"/>
      <c r="H1045" s="162" t="s">
        <v>280</v>
      </c>
      <c r="I1045" s="173">
        <v>21853.086195380012</v>
      </c>
      <c r="J1045" s="168">
        <f>IFERROR(MIN('MP Calculations'!$E$30/I1045,1),"-")</f>
        <v>0.32927792945511891</v>
      </c>
      <c r="K1045" s="12"/>
      <c r="L1045" s="159">
        <v>1.688286</v>
      </c>
      <c r="M1045" s="187" t="s">
        <v>293</v>
      </c>
      <c r="N1045" s="187">
        <v>421.28581700000001</v>
      </c>
      <c r="O1045" s="186">
        <f t="shared" si="49"/>
        <v>711.25094683966199</v>
      </c>
      <c r="P1045" s="186">
        <f t="shared" si="50"/>
        <v>234.19923909835674</v>
      </c>
      <c r="Q1045" s="215">
        <f>IF(P1045="-",0,P1045/(1+'General inputs'!$H$30)^'MP Calculations'!$C$40)</f>
        <v>520.22419492207598</v>
      </c>
    </row>
    <row r="1046" spans="3:17">
      <c r="C1046" s="159"/>
      <c r="D1046" s="165" t="s">
        <v>289</v>
      </c>
      <c r="E1046" s="162">
        <v>33844</v>
      </c>
      <c r="F1046" s="166" t="str">
        <f t="shared" si="48"/>
        <v>Date check - OK</v>
      </c>
      <c r="G1046" s="68"/>
      <c r="H1046" s="162" t="s">
        <v>280</v>
      </c>
      <c r="I1046" s="173">
        <v>21853.086195380012</v>
      </c>
      <c r="J1046" s="168">
        <f>IFERROR(MIN('MP Calculations'!$E$30/I1046,1),"-")</f>
        <v>0.32927792945511891</v>
      </c>
      <c r="K1046" s="12"/>
      <c r="L1046" s="159">
        <v>1.5771520000000001</v>
      </c>
      <c r="M1046" s="187" t="s">
        <v>293</v>
      </c>
      <c r="N1046" s="187">
        <v>421.28581700000001</v>
      </c>
      <c r="O1046" s="186">
        <f t="shared" si="49"/>
        <v>664.43176885318405</v>
      </c>
      <c r="P1046" s="186">
        <f t="shared" si="50"/>
        <v>218.7827171121786</v>
      </c>
      <c r="Q1046" s="215">
        <f>IF(P1046="-",0,P1046/(1+'General inputs'!$H$30)^'MP Calculations'!$C$40)</f>
        <v>485.97964413004786</v>
      </c>
    </row>
    <row r="1047" spans="3:17">
      <c r="C1047" s="159"/>
      <c r="D1047" s="165" t="s">
        <v>289</v>
      </c>
      <c r="E1047" s="162">
        <v>33844</v>
      </c>
      <c r="F1047" s="166" t="str">
        <f t="shared" ref="F1047:F1110" si="51">IF(E1047="","-",IF(OR(E1047&lt;$E$15,E1047&gt;$E$16),"ERROR - date outside of range","Date check - OK"))</f>
        <v>Date check - OK</v>
      </c>
      <c r="G1047" s="68"/>
      <c r="H1047" s="162" t="s">
        <v>280</v>
      </c>
      <c r="I1047" s="173">
        <v>21853.086195380012</v>
      </c>
      <c r="J1047" s="168">
        <f>IFERROR(MIN('MP Calculations'!$E$30/I1047,1),"-")</f>
        <v>0.32927792945511891</v>
      </c>
      <c r="K1047" s="12"/>
      <c r="L1047" s="159">
        <v>1.422863</v>
      </c>
      <c r="M1047" s="187" t="s">
        <v>293</v>
      </c>
      <c r="N1047" s="187">
        <v>421.28581700000001</v>
      </c>
      <c r="O1047" s="186">
        <f t="shared" ref="O1047:O1110" si="52">IF(N1047="","-",L1047*N1047)</f>
        <v>599.43200143407103</v>
      </c>
      <c r="P1047" s="186">
        <f t="shared" ref="P1047:P1110" si="53">IF(O1047="-","-",IF(OR(E1047&lt;$E$15,E1047&gt;$E$16),0,O1047*J1047))</f>
        <v>197.37972828134878</v>
      </c>
      <c r="Q1047" s="215">
        <f>IF(P1047="-",0,P1047/(1+'General inputs'!$H$30)^'MP Calculations'!$C$40)</f>
        <v>438.43742035378472</v>
      </c>
    </row>
    <row r="1048" spans="3:17">
      <c r="C1048" s="159"/>
      <c r="D1048" s="165" t="s">
        <v>289</v>
      </c>
      <c r="E1048" s="162">
        <v>33844</v>
      </c>
      <c r="F1048" s="166" t="str">
        <f t="shared" si="51"/>
        <v>Date check - OK</v>
      </c>
      <c r="G1048" s="68"/>
      <c r="H1048" s="162" t="s">
        <v>280</v>
      </c>
      <c r="I1048" s="173">
        <v>21853.086195380012</v>
      </c>
      <c r="J1048" s="168">
        <f>IFERROR(MIN('MP Calculations'!$E$30/I1048,1),"-")</f>
        <v>0.32927792945511891</v>
      </c>
      <c r="K1048" s="12"/>
      <c r="L1048" s="159">
        <v>1.6034930000000001</v>
      </c>
      <c r="M1048" s="187" t="s">
        <v>293</v>
      </c>
      <c r="N1048" s="187">
        <v>421.28581700000001</v>
      </c>
      <c r="O1048" s="186">
        <f t="shared" si="52"/>
        <v>675.52885855878105</v>
      </c>
      <c r="P1048" s="186">
        <f t="shared" si="53"/>
        <v>222.43674383341531</v>
      </c>
      <c r="Q1048" s="215">
        <f>IF(P1048="-",0,P1048/(1+'General inputs'!$H$30)^'MP Calculations'!$C$40)</f>
        <v>494.0962935119905</v>
      </c>
    </row>
    <row r="1049" spans="3:17">
      <c r="C1049" s="159"/>
      <c r="D1049" s="165" t="s">
        <v>282</v>
      </c>
      <c r="E1049" s="162">
        <v>33889</v>
      </c>
      <c r="F1049" s="166" t="str">
        <f t="shared" si="51"/>
        <v>Date check - OK</v>
      </c>
      <c r="G1049" s="68"/>
      <c r="H1049" s="162" t="s">
        <v>280</v>
      </c>
      <c r="I1049" s="173">
        <v>21853.086195380012</v>
      </c>
      <c r="J1049" s="168">
        <f>IFERROR(MIN('MP Calculations'!$E$30/I1049,1),"-")</f>
        <v>0.32927792945511891</v>
      </c>
      <c r="K1049" s="12"/>
      <c r="L1049" s="159">
        <v>5.8663109999999996</v>
      </c>
      <c r="M1049" s="187" t="s">
        <v>293</v>
      </c>
      <c r="N1049" s="187">
        <v>237.97403299999999</v>
      </c>
      <c r="O1049" s="186">
        <f t="shared" si="52"/>
        <v>1396.029687502263</v>
      </c>
      <c r="P1049" s="186">
        <f t="shared" si="53"/>
        <v>459.68176495862184</v>
      </c>
      <c r="Q1049" s="215">
        <f>IF(P1049="-",0,P1049/(1+'General inputs'!$H$30)^'MP Calculations'!$C$40)</f>
        <v>1021.0860505636711</v>
      </c>
    </row>
    <row r="1050" spans="3:17">
      <c r="C1050" s="159"/>
      <c r="D1050" s="165" t="s">
        <v>282</v>
      </c>
      <c r="E1050" s="162">
        <v>33889</v>
      </c>
      <c r="F1050" s="166" t="str">
        <f t="shared" si="51"/>
        <v>Date check - OK</v>
      </c>
      <c r="G1050" s="68"/>
      <c r="H1050" s="162" t="s">
        <v>280</v>
      </c>
      <c r="I1050" s="173">
        <v>21853.086195380012</v>
      </c>
      <c r="J1050" s="168">
        <f>IFERROR(MIN('MP Calculations'!$E$30/I1050,1),"-")</f>
        <v>0.32927792945511891</v>
      </c>
      <c r="K1050" s="12"/>
      <c r="L1050" s="159">
        <v>3.2596270000000001</v>
      </c>
      <c r="M1050" s="187" t="s">
        <v>293</v>
      </c>
      <c r="N1050" s="187">
        <v>237.97403299999999</v>
      </c>
      <c r="O1050" s="186">
        <f t="shared" si="52"/>
        <v>775.70658326569094</v>
      </c>
      <c r="P1050" s="186">
        <f t="shared" si="53"/>
        <v>255.4230576024315</v>
      </c>
      <c r="Q1050" s="215">
        <f>IF(P1050="-",0,P1050/(1+'General inputs'!$H$30)^'MP Calculations'!$C$40)</f>
        <v>567.3684296213936</v>
      </c>
    </row>
    <row r="1051" spans="3:17">
      <c r="C1051" s="159"/>
      <c r="D1051" s="165" t="s">
        <v>289</v>
      </c>
      <c r="E1051" s="162">
        <v>33889</v>
      </c>
      <c r="F1051" s="166" t="str">
        <f t="shared" si="51"/>
        <v>Date check - OK</v>
      </c>
      <c r="G1051" s="68"/>
      <c r="H1051" s="162" t="s">
        <v>280</v>
      </c>
      <c r="I1051" s="173">
        <v>21853.086195380012</v>
      </c>
      <c r="J1051" s="168">
        <f>IFERROR(MIN('MP Calculations'!$E$30/I1051,1),"-")</f>
        <v>0.32927792945511891</v>
      </c>
      <c r="K1051" s="12"/>
      <c r="L1051" s="159">
        <v>1.837216</v>
      </c>
      <c r="M1051" s="187" t="s">
        <v>293</v>
      </c>
      <c r="N1051" s="187">
        <v>421.28581700000001</v>
      </c>
      <c r="O1051" s="186">
        <f t="shared" si="52"/>
        <v>773.99304356547202</v>
      </c>
      <c r="P1051" s="186">
        <f t="shared" si="53"/>
        <v>254.85882679790427</v>
      </c>
      <c r="Q1051" s="215">
        <f>IF(P1051="-",0,P1051/(1+'General inputs'!$H$30)^'MP Calculations'!$C$40)</f>
        <v>566.11510993869331</v>
      </c>
    </row>
    <row r="1052" spans="3:17">
      <c r="C1052" s="159"/>
      <c r="D1052" s="165" t="s">
        <v>282</v>
      </c>
      <c r="E1052" s="162">
        <v>33889</v>
      </c>
      <c r="F1052" s="166" t="str">
        <f t="shared" si="51"/>
        <v>Date check - OK</v>
      </c>
      <c r="G1052" s="68"/>
      <c r="H1052" s="162" t="s">
        <v>280</v>
      </c>
      <c r="I1052" s="173">
        <v>21853.086195380012</v>
      </c>
      <c r="J1052" s="168">
        <f>IFERROR(MIN('MP Calculations'!$E$30/I1052,1),"-")</f>
        <v>0.32927792945511891</v>
      </c>
      <c r="K1052" s="12"/>
      <c r="L1052" s="159">
        <v>4.4584650000000003</v>
      </c>
      <c r="M1052" s="187" t="s">
        <v>293</v>
      </c>
      <c r="N1052" s="187">
        <v>237.97403299999999</v>
      </c>
      <c r="O1052" s="186">
        <f t="shared" si="52"/>
        <v>1060.9988970393451</v>
      </c>
      <c r="P1052" s="186">
        <f t="shared" si="53"/>
        <v>349.36351997128048</v>
      </c>
      <c r="Q1052" s="215">
        <f>IF(P1052="-",0,P1052/(1+'General inputs'!$H$30)^'MP Calculations'!$C$40)</f>
        <v>776.03734585949485</v>
      </c>
    </row>
    <row r="1053" spans="3:17">
      <c r="C1053" s="159"/>
      <c r="D1053" s="165" t="s">
        <v>289</v>
      </c>
      <c r="E1053" s="162">
        <v>33889</v>
      </c>
      <c r="F1053" s="166" t="str">
        <f t="shared" si="51"/>
        <v>Date check - OK</v>
      </c>
      <c r="G1053" s="68"/>
      <c r="H1053" s="162" t="s">
        <v>280</v>
      </c>
      <c r="I1053" s="173">
        <v>21853.086195380012</v>
      </c>
      <c r="J1053" s="168">
        <f>IFERROR(MIN('MP Calculations'!$E$30/I1053,1),"-")</f>
        <v>0.32927792945511891</v>
      </c>
      <c r="K1053" s="12"/>
      <c r="L1053" s="159">
        <v>1.837216</v>
      </c>
      <c r="M1053" s="187" t="s">
        <v>293</v>
      </c>
      <c r="N1053" s="187">
        <v>421.28581700000001</v>
      </c>
      <c r="O1053" s="186">
        <f t="shared" si="52"/>
        <v>773.99304356547202</v>
      </c>
      <c r="P1053" s="186">
        <f t="shared" si="53"/>
        <v>254.85882679790427</v>
      </c>
      <c r="Q1053" s="215">
        <f>IF(P1053="-",0,P1053/(1+'General inputs'!$H$30)^'MP Calculations'!$C$40)</f>
        <v>566.11510993869331</v>
      </c>
    </row>
    <row r="1054" spans="3:17">
      <c r="C1054" s="159"/>
      <c r="D1054" s="165" t="s">
        <v>289</v>
      </c>
      <c r="E1054" s="162">
        <v>33889</v>
      </c>
      <c r="F1054" s="166" t="str">
        <f t="shared" si="51"/>
        <v>Date check - OK</v>
      </c>
      <c r="G1054" s="68"/>
      <c r="H1054" s="162" t="s">
        <v>280</v>
      </c>
      <c r="I1054" s="173">
        <v>21853.086195380012</v>
      </c>
      <c r="J1054" s="168">
        <f>IFERROR(MIN('MP Calculations'!$E$30/I1054,1),"-")</f>
        <v>0.32927792945511891</v>
      </c>
      <c r="K1054" s="12"/>
      <c r="L1054" s="159">
        <v>10.041247</v>
      </c>
      <c r="M1054" s="187" t="s">
        <v>293</v>
      </c>
      <c r="N1054" s="187">
        <v>421.28581700000001</v>
      </c>
      <c r="O1054" s="186">
        <f t="shared" si="52"/>
        <v>4230.2349460937994</v>
      </c>
      <c r="P1054" s="186">
        <f t="shared" si="53"/>
        <v>1392.9230041584528</v>
      </c>
      <c r="Q1054" s="215">
        <f>IF(P1054="-",0,P1054/(1+'General inputs'!$H$30)^'MP Calculations'!$C$40)</f>
        <v>3094.0845547429235</v>
      </c>
    </row>
    <row r="1055" spans="3:17">
      <c r="C1055" s="159"/>
      <c r="D1055" s="165" t="s">
        <v>289</v>
      </c>
      <c r="E1055" s="162">
        <v>33889</v>
      </c>
      <c r="F1055" s="166" t="str">
        <f t="shared" si="51"/>
        <v>Date check - OK</v>
      </c>
      <c r="G1055" s="68"/>
      <c r="H1055" s="162" t="s">
        <v>280</v>
      </c>
      <c r="I1055" s="173">
        <v>21853.086195380012</v>
      </c>
      <c r="J1055" s="168">
        <f>IFERROR(MIN('MP Calculations'!$E$30/I1055,1),"-")</f>
        <v>0.32927792945511891</v>
      </c>
      <c r="K1055" s="12"/>
      <c r="L1055" s="159">
        <v>4.5854540000000004</v>
      </c>
      <c r="M1055" s="187" t="s">
        <v>293</v>
      </c>
      <c r="N1055" s="187">
        <v>421.28581700000001</v>
      </c>
      <c r="O1055" s="186">
        <f t="shared" si="52"/>
        <v>1931.7867347059182</v>
      </c>
      <c r="P1055" s="186">
        <f t="shared" si="53"/>
        <v>636.0947361528298</v>
      </c>
      <c r="Q1055" s="215">
        <f>IF(P1055="-",0,P1055/(1+'General inputs'!$H$30)^'MP Calculations'!$C$40)</f>
        <v>1412.9502439173298</v>
      </c>
    </row>
    <row r="1056" spans="3:17">
      <c r="C1056" s="159"/>
      <c r="D1056" s="165" t="s">
        <v>289</v>
      </c>
      <c r="E1056" s="162">
        <v>33889</v>
      </c>
      <c r="F1056" s="166" t="str">
        <f t="shared" si="51"/>
        <v>Date check - OK</v>
      </c>
      <c r="G1056" s="68"/>
      <c r="H1056" s="162" t="s">
        <v>280</v>
      </c>
      <c r="I1056" s="173">
        <v>21853.086195380012</v>
      </c>
      <c r="J1056" s="168">
        <f>IFERROR(MIN('MP Calculations'!$E$30/I1056,1),"-")</f>
        <v>0.32927792945511891</v>
      </c>
      <c r="K1056" s="12"/>
      <c r="L1056" s="159">
        <v>1.9989140000000001</v>
      </c>
      <c r="M1056" s="187" t="s">
        <v>293</v>
      </c>
      <c r="N1056" s="187">
        <v>421.28581700000001</v>
      </c>
      <c r="O1056" s="186">
        <f t="shared" si="52"/>
        <v>842.11411760273802</v>
      </c>
      <c r="P1056" s="186">
        <f t="shared" si="53"/>
        <v>277.28959300915409</v>
      </c>
      <c r="Q1056" s="215">
        <f>IF(P1056="-",0,P1056/(1+'General inputs'!$H$30)^'MP Calculations'!$C$40)</f>
        <v>615.94032431025698</v>
      </c>
    </row>
    <row r="1057" spans="3:17">
      <c r="C1057" s="159"/>
      <c r="D1057" s="165" t="s">
        <v>289</v>
      </c>
      <c r="E1057" s="162">
        <v>33889</v>
      </c>
      <c r="F1057" s="166" t="str">
        <f t="shared" si="51"/>
        <v>Date check - OK</v>
      </c>
      <c r="G1057" s="68"/>
      <c r="H1057" s="162" t="s">
        <v>280</v>
      </c>
      <c r="I1057" s="173">
        <v>21853.086195380012</v>
      </c>
      <c r="J1057" s="168">
        <f>IFERROR(MIN('MP Calculations'!$E$30/I1057,1),"-")</f>
        <v>0.32927792945511891</v>
      </c>
      <c r="K1057" s="12"/>
      <c r="L1057" s="159">
        <v>0.95147599999999999</v>
      </c>
      <c r="M1057" s="187" t="s">
        <v>293</v>
      </c>
      <c r="N1057" s="187">
        <v>421.28581700000001</v>
      </c>
      <c r="O1057" s="186">
        <f t="shared" si="52"/>
        <v>400.843344015892</v>
      </c>
      <c r="P1057" s="186">
        <f t="shared" si="53"/>
        <v>131.98886635341884</v>
      </c>
      <c r="Q1057" s="215">
        <f>IF(P1057="-",0,P1057/(1+'General inputs'!$H$30)^'MP Calculations'!$C$40)</f>
        <v>293.18541768851793</v>
      </c>
    </row>
    <row r="1058" spans="3:17">
      <c r="C1058" s="159"/>
      <c r="D1058" s="165" t="s">
        <v>289</v>
      </c>
      <c r="E1058" s="162">
        <v>33889</v>
      </c>
      <c r="F1058" s="166" t="str">
        <f t="shared" si="51"/>
        <v>Date check - OK</v>
      </c>
      <c r="G1058" s="68"/>
      <c r="H1058" s="162" t="s">
        <v>280</v>
      </c>
      <c r="I1058" s="173">
        <v>21853.086195380012</v>
      </c>
      <c r="J1058" s="168">
        <f>IFERROR(MIN('MP Calculations'!$E$30/I1058,1),"-")</f>
        <v>0.32927792945511891</v>
      </c>
      <c r="K1058" s="12"/>
      <c r="L1058" s="159">
        <v>10.024070999999999</v>
      </c>
      <c r="M1058" s="187" t="s">
        <v>293</v>
      </c>
      <c r="N1058" s="187">
        <v>421.28581700000001</v>
      </c>
      <c r="O1058" s="186">
        <f t="shared" si="52"/>
        <v>4222.9989409010068</v>
      </c>
      <c r="P1058" s="186">
        <f t="shared" si="53"/>
        <v>1390.5403473510437</v>
      </c>
      <c r="Q1058" s="215">
        <f>IF(P1058="-",0,P1058/(1+'General inputs'!$H$30)^'MP Calculations'!$C$40)</f>
        <v>3088.7919853725784</v>
      </c>
    </row>
    <row r="1059" spans="3:17">
      <c r="C1059" s="159"/>
      <c r="D1059" s="165" t="s">
        <v>289</v>
      </c>
      <c r="E1059" s="162">
        <v>33932</v>
      </c>
      <c r="F1059" s="166" t="str">
        <f t="shared" si="51"/>
        <v>Date check - OK</v>
      </c>
      <c r="G1059" s="68"/>
      <c r="H1059" s="162" t="s">
        <v>280</v>
      </c>
      <c r="I1059" s="173">
        <v>21853.086195380012</v>
      </c>
      <c r="J1059" s="168">
        <f>IFERROR(MIN('MP Calculations'!$E$30/I1059,1),"-")</f>
        <v>0.32927792945511891</v>
      </c>
      <c r="K1059" s="12"/>
      <c r="L1059" s="159">
        <v>78.467529999999996</v>
      </c>
      <c r="M1059" s="187" t="s">
        <v>293</v>
      </c>
      <c r="N1059" s="187">
        <v>421.28581700000001</v>
      </c>
      <c r="O1059" s="186">
        <f t="shared" si="52"/>
        <v>33057.257484022011</v>
      </c>
      <c r="P1059" s="186">
        <f t="shared" si="53"/>
        <v>10885.025297803502</v>
      </c>
      <c r="Q1059" s="215">
        <f>IF(P1059="-",0,P1059/(1+'General inputs'!$H$30)^'MP Calculations'!$C$40)</f>
        <v>24178.787019363928</v>
      </c>
    </row>
    <row r="1060" spans="3:17">
      <c r="C1060" s="159"/>
      <c r="D1060" s="165" t="s">
        <v>282</v>
      </c>
      <c r="E1060" s="162">
        <v>33932</v>
      </c>
      <c r="F1060" s="166" t="str">
        <f t="shared" si="51"/>
        <v>Date check - OK</v>
      </c>
      <c r="G1060" s="68"/>
      <c r="H1060" s="162" t="s">
        <v>280</v>
      </c>
      <c r="I1060" s="173">
        <v>21853.086195380012</v>
      </c>
      <c r="J1060" s="168">
        <f>IFERROR(MIN('MP Calculations'!$E$30/I1060,1),"-")</f>
        <v>0.32927792945511891</v>
      </c>
      <c r="K1060" s="12"/>
      <c r="L1060" s="159">
        <v>6.0126939999999998</v>
      </c>
      <c r="M1060" s="187" t="s">
        <v>293</v>
      </c>
      <c r="N1060" s="187">
        <v>237.97403299999999</v>
      </c>
      <c r="O1060" s="186">
        <f t="shared" si="52"/>
        <v>1430.8650403749018</v>
      </c>
      <c r="P1060" s="186">
        <f t="shared" si="53"/>
        <v>471.15227782436278</v>
      </c>
      <c r="Q1060" s="215">
        <f>IF(P1060="-",0,P1060/(1+'General inputs'!$H$30)^'MP Calculations'!$C$40)</f>
        <v>1046.5653746805924</v>
      </c>
    </row>
    <row r="1061" spans="3:17">
      <c r="C1061" s="159"/>
      <c r="D1061" s="165" t="s">
        <v>289</v>
      </c>
      <c r="E1061" s="162">
        <v>33932</v>
      </c>
      <c r="F1061" s="166" t="str">
        <f t="shared" si="51"/>
        <v>Date check - OK</v>
      </c>
      <c r="G1061" s="68"/>
      <c r="H1061" s="162" t="s">
        <v>280</v>
      </c>
      <c r="I1061" s="173">
        <v>21853.086195380012</v>
      </c>
      <c r="J1061" s="168">
        <f>IFERROR(MIN('MP Calculations'!$E$30/I1061,1),"-")</f>
        <v>0.32927792945511891</v>
      </c>
      <c r="K1061" s="12"/>
      <c r="L1061" s="159">
        <v>56.670921</v>
      </c>
      <c r="M1061" s="187" t="s">
        <v>293</v>
      </c>
      <c r="N1061" s="187">
        <v>421.28581700000001</v>
      </c>
      <c r="O1061" s="186">
        <f t="shared" si="52"/>
        <v>23874.655253627458</v>
      </c>
      <c r="P1061" s="186">
        <f t="shared" si="53"/>
        <v>7861.3970483692265</v>
      </c>
      <c r="Q1061" s="215">
        <f>IF(P1061="-",0,P1061/(1+'General inputs'!$H$30)^'MP Calculations'!$C$40)</f>
        <v>17462.434831964234</v>
      </c>
    </row>
    <row r="1062" spans="3:17">
      <c r="C1062" s="159"/>
      <c r="D1062" s="165" t="s">
        <v>289</v>
      </c>
      <c r="E1062" s="162">
        <v>33932</v>
      </c>
      <c r="F1062" s="166" t="str">
        <f t="shared" si="51"/>
        <v>Date check - OK</v>
      </c>
      <c r="G1062" s="68"/>
      <c r="H1062" s="162" t="s">
        <v>280</v>
      </c>
      <c r="I1062" s="173">
        <v>21853.086195380012</v>
      </c>
      <c r="J1062" s="168">
        <f>IFERROR(MIN('MP Calculations'!$E$30/I1062,1),"-")</f>
        <v>0.32927792945511891</v>
      </c>
      <c r="K1062" s="12"/>
      <c r="L1062" s="159">
        <v>23.105152</v>
      </c>
      <c r="M1062" s="187" t="s">
        <v>293</v>
      </c>
      <c r="N1062" s="187">
        <v>421.28581700000001</v>
      </c>
      <c r="O1062" s="186">
        <f t="shared" si="52"/>
        <v>9733.8728372291844</v>
      </c>
      <c r="P1062" s="186">
        <f t="shared" si="53"/>
        <v>3205.1494934222496</v>
      </c>
      <c r="Q1062" s="215">
        <f>IF(P1062="-",0,P1062/(1+'General inputs'!$H$30)^'MP Calculations'!$C$40)</f>
        <v>7119.563330947597</v>
      </c>
    </row>
    <row r="1063" spans="3:17">
      <c r="C1063" s="159"/>
      <c r="D1063" s="165" t="s">
        <v>289</v>
      </c>
      <c r="E1063" s="162">
        <v>33932</v>
      </c>
      <c r="F1063" s="166" t="str">
        <f t="shared" si="51"/>
        <v>Date check - OK</v>
      </c>
      <c r="G1063" s="68"/>
      <c r="H1063" s="162" t="s">
        <v>280</v>
      </c>
      <c r="I1063" s="173">
        <v>21853.086195380012</v>
      </c>
      <c r="J1063" s="168">
        <f>IFERROR(MIN('MP Calculations'!$E$30/I1063,1),"-")</f>
        <v>0.32927792945511891</v>
      </c>
      <c r="K1063" s="12"/>
      <c r="L1063" s="159">
        <v>6.3014349999999997</v>
      </c>
      <c r="M1063" s="187" t="s">
        <v>293</v>
      </c>
      <c r="N1063" s="187">
        <v>421.28581700000001</v>
      </c>
      <c r="O1063" s="186">
        <f t="shared" si="52"/>
        <v>2654.7051922473947</v>
      </c>
      <c r="P1063" s="186">
        <f t="shared" si="53"/>
        <v>874.13582901697555</v>
      </c>
      <c r="Q1063" s="215">
        <f>IF(P1063="-",0,P1063/(1+'General inputs'!$H$30)^'MP Calculations'!$C$40)</f>
        <v>1941.7083063703612</v>
      </c>
    </row>
    <row r="1064" spans="3:17">
      <c r="C1064" s="159"/>
      <c r="D1064" s="165" t="s">
        <v>289</v>
      </c>
      <c r="E1064" s="162">
        <v>33932</v>
      </c>
      <c r="F1064" s="166" t="str">
        <f t="shared" si="51"/>
        <v>Date check - OK</v>
      </c>
      <c r="G1064" s="68"/>
      <c r="H1064" s="162" t="s">
        <v>280</v>
      </c>
      <c r="I1064" s="173">
        <v>21853.086195380012</v>
      </c>
      <c r="J1064" s="168">
        <f>IFERROR(MIN('MP Calculations'!$E$30/I1064,1),"-")</f>
        <v>0.32927792945511891</v>
      </c>
      <c r="K1064" s="12"/>
      <c r="L1064" s="159">
        <v>0.55915099999999995</v>
      </c>
      <c r="M1064" s="187" t="s">
        <v>293</v>
      </c>
      <c r="N1064" s="187">
        <v>421.28581700000001</v>
      </c>
      <c r="O1064" s="186">
        <f t="shared" si="52"/>
        <v>235.56238586136698</v>
      </c>
      <c r="P1064" s="186">
        <f t="shared" si="53"/>
        <v>77.565494673938701</v>
      </c>
      <c r="Q1064" s="215">
        <f>IF(P1064="-",0,P1064/(1+'General inputs'!$H$30)^'MP Calculations'!$C$40)</f>
        <v>172.2953805308305</v>
      </c>
    </row>
    <row r="1065" spans="3:17">
      <c r="C1065" s="159"/>
      <c r="D1065" s="165" t="s">
        <v>289</v>
      </c>
      <c r="E1065" s="162">
        <v>33932</v>
      </c>
      <c r="F1065" s="166" t="str">
        <f t="shared" si="51"/>
        <v>Date check - OK</v>
      </c>
      <c r="G1065" s="68"/>
      <c r="H1065" s="162" t="s">
        <v>280</v>
      </c>
      <c r="I1065" s="173">
        <v>21853.086195380012</v>
      </c>
      <c r="J1065" s="168">
        <f>IFERROR(MIN('MP Calculations'!$E$30/I1065,1),"-")</f>
        <v>0.32927792945511891</v>
      </c>
      <c r="K1065" s="12"/>
      <c r="L1065" s="159">
        <v>5.742775</v>
      </c>
      <c r="M1065" s="187" t="s">
        <v>293</v>
      </c>
      <c r="N1065" s="187">
        <v>421.28581700000001</v>
      </c>
      <c r="O1065" s="186">
        <f t="shared" si="52"/>
        <v>2419.3496577221749</v>
      </c>
      <c r="P1065" s="186">
        <f t="shared" si="53"/>
        <v>796.63844592270846</v>
      </c>
      <c r="Q1065" s="215">
        <f>IF(P1065="-",0,P1065/(1+'General inputs'!$H$30)^'MP Calculations'!$C$40)</f>
        <v>1769.5642213426072</v>
      </c>
    </row>
    <row r="1066" spans="3:17">
      <c r="C1066" s="159"/>
      <c r="D1066" s="165" t="s">
        <v>289</v>
      </c>
      <c r="E1066" s="162">
        <v>33932</v>
      </c>
      <c r="F1066" s="166" t="str">
        <f t="shared" si="51"/>
        <v>Date check - OK</v>
      </c>
      <c r="G1066" s="68"/>
      <c r="H1066" s="162" t="s">
        <v>280</v>
      </c>
      <c r="I1066" s="173">
        <v>21853.086195380012</v>
      </c>
      <c r="J1066" s="168">
        <f>IFERROR(MIN('MP Calculations'!$E$30/I1066,1),"-")</f>
        <v>0.32927792945511891</v>
      </c>
      <c r="K1066" s="12"/>
      <c r="L1066" s="159">
        <v>16.325545000000002</v>
      </c>
      <c r="M1066" s="187" t="s">
        <v>293</v>
      </c>
      <c r="N1066" s="187">
        <v>421.28581700000001</v>
      </c>
      <c r="O1066" s="186">
        <f t="shared" si="52"/>
        <v>6877.7205632952655</v>
      </c>
      <c r="P1066" s="186">
        <f t="shared" si="53"/>
        <v>2264.6815864527593</v>
      </c>
      <c r="Q1066" s="215">
        <f>IF(P1066="-",0,P1066/(1+'General inputs'!$H$30)^'MP Calculations'!$C$40)</f>
        <v>5030.5123091046917</v>
      </c>
    </row>
    <row r="1067" spans="3:17">
      <c r="C1067" s="159"/>
      <c r="D1067" s="165" t="s">
        <v>289</v>
      </c>
      <c r="E1067" s="162">
        <v>33932</v>
      </c>
      <c r="F1067" s="166" t="str">
        <f t="shared" si="51"/>
        <v>Date check - OK</v>
      </c>
      <c r="G1067" s="68"/>
      <c r="H1067" s="162" t="s">
        <v>280</v>
      </c>
      <c r="I1067" s="173">
        <v>21853.086195380012</v>
      </c>
      <c r="J1067" s="168">
        <f>IFERROR(MIN('MP Calculations'!$E$30/I1067,1),"-")</f>
        <v>0.32927792945511891</v>
      </c>
      <c r="K1067" s="12"/>
      <c r="L1067" s="159">
        <v>33.913628000000003</v>
      </c>
      <c r="M1067" s="187" t="s">
        <v>293</v>
      </c>
      <c r="N1067" s="187">
        <v>421.28581700000001</v>
      </c>
      <c r="O1067" s="186">
        <f t="shared" si="52"/>
        <v>14287.330479414077</v>
      </c>
      <c r="P1067" s="186">
        <f t="shared" si="53"/>
        <v>4704.5025977024789</v>
      </c>
      <c r="Q1067" s="215">
        <f>IF(P1067="-",0,P1067/(1+'General inputs'!$H$30)^'MP Calculations'!$C$40)</f>
        <v>10450.059896952753</v>
      </c>
    </row>
    <row r="1068" spans="3:17">
      <c r="C1068" s="159"/>
      <c r="D1068" s="165" t="s">
        <v>289</v>
      </c>
      <c r="E1068" s="162">
        <v>33932</v>
      </c>
      <c r="F1068" s="166" t="str">
        <f t="shared" si="51"/>
        <v>Date check - OK</v>
      </c>
      <c r="G1068" s="68"/>
      <c r="H1068" s="162" t="s">
        <v>280</v>
      </c>
      <c r="I1068" s="173">
        <v>21853.086195380012</v>
      </c>
      <c r="J1068" s="168">
        <f>IFERROR(MIN('MP Calculations'!$E$30/I1068,1),"-")</f>
        <v>0.32927792945511891</v>
      </c>
      <c r="K1068" s="12"/>
      <c r="L1068" s="159">
        <v>46.862957000000002</v>
      </c>
      <c r="M1068" s="187" t="s">
        <v>293</v>
      </c>
      <c r="N1068" s="187">
        <v>421.28581700000001</v>
      </c>
      <c r="O1068" s="186">
        <f t="shared" si="52"/>
        <v>19742.69912678087</v>
      </c>
      <c r="P1068" s="186">
        <f t="shared" si="53"/>
        <v>6500.8350903217888</v>
      </c>
      <c r="Q1068" s="215">
        <f>IF(P1068="-",0,P1068/(1+'General inputs'!$H$30)^'MP Calculations'!$C$40)</f>
        <v>14440.233513156458</v>
      </c>
    </row>
    <row r="1069" spans="3:17">
      <c r="C1069" s="159"/>
      <c r="D1069" s="165" t="s">
        <v>289</v>
      </c>
      <c r="E1069" s="162">
        <v>33932</v>
      </c>
      <c r="F1069" s="166" t="str">
        <f t="shared" si="51"/>
        <v>Date check - OK</v>
      </c>
      <c r="G1069" s="68"/>
      <c r="H1069" s="162" t="s">
        <v>280</v>
      </c>
      <c r="I1069" s="173">
        <v>21853.086195380012</v>
      </c>
      <c r="J1069" s="168">
        <f>IFERROR(MIN('MP Calculations'!$E$30/I1069,1),"-")</f>
        <v>0.32927792945511891</v>
      </c>
      <c r="K1069" s="12"/>
      <c r="L1069" s="159">
        <v>12.676518</v>
      </c>
      <c r="M1069" s="187" t="s">
        <v>293</v>
      </c>
      <c r="N1069" s="187">
        <v>421.28581700000001</v>
      </c>
      <c r="O1069" s="186">
        <f t="shared" si="52"/>
        <v>5340.437242345206</v>
      </c>
      <c r="P1069" s="186">
        <f t="shared" si="53"/>
        <v>1758.4881175444345</v>
      </c>
      <c r="Q1069" s="215">
        <f>IF(P1069="-",0,P1069/(1+'General inputs'!$H$30)^'MP Calculations'!$C$40)</f>
        <v>3906.1103219272118</v>
      </c>
    </row>
    <row r="1070" spans="3:17">
      <c r="C1070" s="159"/>
      <c r="D1070" s="165" t="s">
        <v>289</v>
      </c>
      <c r="E1070" s="162">
        <v>33932</v>
      </c>
      <c r="F1070" s="166" t="str">
        <f t="shared" si="51"/>
        <v>Date check - OK</v>
      </c>
      <c r="G1070" s="68"/>
      <c r="H1070" s="162" t="s">
        <v>280</v>
      </c>
      <c r="I1070" s="173">
        <v>21853.086195380012</v>
      </c>
      <c r="J1070" s="168">
        <f>IFERROR(MIN('MP Calculations'!$E$30/I1070,1),"-")</f>
        <v>0.32927792945511891</v>
      </c>
      <c r="K1070" s="12"/>
      <c r="L1070" s="159">
        <v>55.818465000000003</v>
      </c>
      <c r="M1070" s="187" t="s">
        <v>293</v>
      </c>
      <c r="N1070" s="187">
        <v>421.28581700000001</v>
      </c>
      <c r="O1070" s="186">
        <f t="shared" si="52"/>
        <v>23515.527631210905</v>
      </c>
      <c r="P1070" s="186">
        <f t="shared" si="53"/>
        <v>7743.1442484497638</v>
      </c>
      <c r="Q1070" s="215">
        <f>IF(P1070="-",0,P1070/(1+'General inputs'!$H$30)^'MP Calculations'!$C$40)</f>
        <v>17199.761187625245</v>
      </c>
    </row>
    <row r="1071" spans="3:17">
      <c r="C1071" s="159"/>
      <c r="D1071" s="165" t="s">
        <v>282</v>
      </c>
      <c r="E1071" s="162">
        <v>33932</v>
      </c>
      <c r="F1071" s="166" t="str">
        <f t="shared" si="51"/>
        <v>Date check - OK</v>
      </c>
      <c r="G1071" s="68"/>
      <c r="H1071" s="162" t="s">
        <v>280</v>
      </c>
      <c r="I1071" s="173">
        <v>21853.086195380012</v>
      </c>
      <c r="J1071" s="168">
        <f>IFERROR(MIN('MP Calculations'!$E$30/I1071,1),"-")</f>
        <v>0.32927792945511891</v>
      </c>
      <c r="K1071" s="12"/>
      <c r="L1071" s="159">
        <v>1.2353639999999999</v>
      </c>
      <c r="M1071" s="187" t="s">
        <v>293</v>
      </c>
      <c r="N1071" s="187">
        <v>237.97403299999999</v>
      </c>
      <c r="O1071" s="186">
        <f t="shared" si="52"/>
        <v>293.98455330301198</v>
      </c>
      <c r="P1071" s="186">
        <f t="shared" si="53"/>
        <v>96.802625003403818</v>
      </c>
      <c r="Q1071" s="215">
        <f>IF(P1071="-",0,P1071/(1+'General inputs'!$H$30)^'MP Calculations'!$C$40)</f>
        <v>215.02660663039154</v>
      </c>
    </row>
    <row r="1072" spans="3:17">
      <c r="C1072" s="159"/>
      <c r="D1072" s="165" t="s">
        <v>289</v>
      </c>
      <c r="E1072" s="162">
        <v>33932</v>
      </c>
      <c r="F1072" s="166" t="str">
        <f t="shared" si="51"/>
        <v>Date check - OK</v>
      </c>
      <c r="G1072" s="68"/>
      <c r="H1072" s="162" t="s">
        <v>280</v>
      </c>
      <c r="I1072" s="173">
        <v>21853.086195380012</v>
      </c>
      <c r="J1072" s="168">
        <f>IFERROR(MIN('MP Calculations'!$E$30/I1072,1),"-")</f>
        <v>0.32927792945511891</v>
      </c>
      <c r="K1072" s="12"/>
      <c r="L1072" s="159">
        <v>201.83555000000001</v>
      </c>
      <c r="M1072" s="187" t="s">
        <v>293</v>
      </c>
      <c r="N1072" s="187">
        <v>421.28581700000001</v>
      </c>
      <c r="O1072" s="186">
        <f t="shared" si="52"/>
        <v>85030.454581394355</v>
      </c>
      <c r="P1072" s="186">
        <f t="shared" si="53"/>
        <v>27998.652025189062</v>
      </c>
      <c r="Q1072" s="215">
        <f>IF(P1072="-",0,P1072/(1+'General inputs'!$H$30)^'MP Calculations'!$C$40)</f>
        <v>62193.097914337035</v>
      </c>
    </row>
    <row r="1073" spans="3:17">
      <c r="C1073" s="159"/>
      <c r="D1073" s="165" t="s">
        <v>289</v>
      </c>
      <c r="E1073" s="162">
        <v>33932</v>
      </c>
      <c r="F1073" s="166" t="str">
        <f t="shared" si="51"/>
        <v>Date check - OK</v>
      </c>
      <c r="G1073" s="68"/>
      <c r="H1073" s="162" t="s">
        <v>280</v>
      </c>
      <c r="I1073" s="173">
        <v>21853.086195380012</v>
      </c>
      <c r="J1073" s="168">
        <f>IFERROR(MIN('MP Calculations'!$E$30/I1073,1),"-")</f>
        <v>0.32927792945511891</v>
      </c>
      <c r="K1073" s="12"/>
      <c r="L1073" s="159">
        <v>9.8637820000000005</v>
      </c>
      <c r="M1073" s="187" t="s">
        <v>293</v>
      </c>
      <c r="N1073" s="187">
        <v>421.28581700000001</v>
      </c>
      <c r="O1073" s="186">
        <f t="shared" si="52"/>
        <v>4155.4714585798947</v>
      </c>
      <c r="P1073" s="186">
        <f t="shared" si="53"/>
        <v>1368.3050377910306</v>
      </c>
      <c r="Q1073" s="215">
        <f>IF(P1073="-",0,P1073/(1+'General inputs'!$H$30)^'MP Calculations'!$C$40)</f>
        <v>3039.4009367114722</v>
      </c>
    </row>
    <row r="1074" spans="3:17">
      <c r="C1074" s="159"/>
      <c r="D1074" s="165" t="s">
        <v>289</v>
      </c>
      <c r="E1074" s="162">
        <v>33932</v>
      </c>
      <c r="F1074" s="166" t="str">
        <f t="shared" si="51"/>
        <v>Date check - OK</v>
      </c>
      <c r="G1074" s="68"/>
      <c r="H1074" s="162" t="s">
        <v>280</v>
      </c>
      <c r="I1074" s="173">
        <v>21853.086195380012</v>
      </c>
      <c r="J1074" s="168">
        <f>IFERROR(MIN('MP Calculations'!$E$30/I1074,1),"-")</f>
        <v>0.32927792945511891</v>
      </c>
      <c r="K1074" s="12"/>
      <c r="L1074" s="159">
        <v>31.643484999999998</v>
      </c>
      <c r="M1074" s="187" t="s">
        <v>293</v>
      </c>
      <c r="N1074" s="187">
        <v>421.28581700000001</v>
      </c>
      <c r="O1074" s="186">
        <f t="shared" si="52"/>
        <v>13330.951430952244</v>
      </c>
      <c r="P1074" s="186">
        <f t="shared" si="53"/>
        <v>4389.5880848507095</v>
      </c>
      <c r="Q1074" s="215">
        <f>IF(P1074="-",0,P1074/(1+'General inputs'!$H$30)^'MP Calculations'!$C$40)</f>
        <v>9750.5437518606359</v>
      </c>
    </row>
    <row r="1075" spans="3:17">
      <c r="C1075" s="159"/>
      <c r="D1075" s="165" t="s">
        <v>289</v>
      </c>
      <c r="E1075" s="162">
        <v>33932</v>
      </c>
      <c r="F1075" s="166" t="str">
        <f t="shared" si="51"/>
        <v>Date check - OK</v>
      </c>
      <c r="G1075" s="68"/>
      <c r="H1075" s="162" t="s">
        <v>280</v>
      </c>
      <c r="I1075" s="173">
        <v>21853.086195380012</v>
      </c>
      <c r="J1075" s="168">
        <f>IFERROR(MIN('MP Calculations'!$E$30/I1075,1),"-")</f>
        <v>0.32927792945511891</v>
      </c>
      <c r="K1075" s="12"/>
      <c r="L1075" s="159">
        <v>52.461159000000002</v>
      </c>
      <c r="M1075" s="187" t="s">
        <v>293</v>
      </c>
      <c r="N1075" s="187">
        <v>421.28581700000001</v>
      </c>
      <c r="O1075" s="186">
        <f t="shared" si="52"/>
        <v>22101.142230081903</v>
      </c>
      <c r="P1075" s="186">
        <f t="shared" si="53"/>
        <v>7277.4183521144587</v>
      </c>
      <c r="Q1075" s="215">
        <f>IF(P1075="-",0,P1075/(1+'General inputs'!$H$30)^'MP Calculations'!$C$40)</f>
        <v>16165.249374486326</v>
      </c>
    </row>
    <row r="1076" spans="3:17">
      <c r="C1076" s="159"/>
      <c r="D1076" s="165" t="s">
        <v>289</v>
      </c>
      <c r="E1076" s="162">
        <v>33932</v>
      </c>
      <c r="F1076" s="166" t="str">
        <f t="shared" si="51"/>
        <v>Date check - OK</v>
      </c>
      <c r="G1076" s="68"/>
      <c r="H1076" s="162" t="s">
        <v>280</v>
      </c>
      <c r="I1076" s="173">
        <v>21853.086195380012</v>
      </c>
      <c r="J1076" s="168">
        <f>IFERROR(MIN('MP Calculations'!$E$30/I1076,1),"-")</f>
        <v>0.32927792945511891</v>
      </c>
      <c r="K1076" s="12"/>
      <c r="L1076" s="159">
        <v>0.71764700000000003</v>
      </c>
      <c r="M1076" s="187" t="s">
        <v>293</v>
      </c>
      <c r="N1076" s="187">
        <v>421.28581700000001</v>
      </c>
      <c r="O1076" s="186">
        <f t="shared" si="52"/>
        <v>302.33450271259903</v>
      </c>
      <c r="P1076" s="186">
        <f t="shared" si="53"/>
        <v>99.552079056047646</v>
      </c>
      <c r="Q1076" s="215">
        <f>IF(P1076="-",0,P1076/(1+'General inputs'!$H$30)^'MP Calculations'!$C$40)</f>
        <v>221.13393868884958</v>
      </c>
    </row>
    <row r="1077" spans="3:17">
      <c r="C1077" s="159"/>
      <c r="D1077" s="165" t="s">
        <v>289</v>
      </c>
      <c r="E1077" s="162">
        <v>33932</v>
      </c>
      <c r="F1077" s="166" t="str">
        <f t="shared" si="51"/>
        <v>Date check - OK</v>
      </c>
      <c r="G1077" s="68"/>
      <c r="H1077" s="162" t="s">
        <v>280</v>
      </c>
      <c r="I1077" s="173">
        <v>21853.086195380012</v>
      </c>
      <c r="J1077" s="168">
        <f>IFERROR(MIN('MP Calculations'!$E$30/I1077,1),"-")</f>
        <v>0.32927792945511891</v>
      </c>
      <c r="K1077" s="12"/>
      <c r="L1077" s="159">
        <v>25.024294999999999</v>
      </c>
      <c r="M1077" s="187" t="s">
        <v>293</v>
      </c>
      <c r="N1077" s="187">
        <v>421.28581700000001</v>
      </c>
      <c r="O1077" s="186">
        <f t="shared" si="52"/>
        <v>10542.380563924014</v>
      </c>
      <c r="P1077" s="186">
        <f t="shared" si="53"/>
        <v>3471.3732436167884</v>
      </c>
      <c r="Q1077" s="215">
        <f>IF(P1077="-",0,P1077/(1+'General inputs'!$H$30)^'MP Calculations'!$C$40)</f>
        <v>7710.9232202763815</v>
      </c>
    </row>
    <row r="1078" spans="3:17">
      <c r="C1078" s="159"/>
      <c r="D1078" s="165" t="s">
        <v>289</v>
      </c>
      <c r="E1078" s="162">
        <v>33932</v>
      </c>
      <c r="F1078" s="166" t="str">
        <f t="shared" si="51"/>
        <v>Date check - OK</v>
      </c>
      <c r="G1078" s="68"/>
      <c r="H1078" s="162" t="s">
        <v>280</v>
      </c>
      <c r="I1078" s="173">
        <v>21853.086195380012</v>
      </c>
      <c r="J1078" s="168">
        <f>IFERROR(MIN('MP Calculations'!$E$30/I1078,1),"-")</f>
        <v>0.32927792945511891</v>
      </c>
      <c r="K1078" s="12"/>
      <c r="L1078" s="159">
        <v>47.769542000000001</v>
      </c>
      <c r="M1078" s="187" t="s">
        <v>293</v>
      </c>
      <c r="N1078" s="187">
        <v>421.28581700000001</v>
      </c>
      <c r="O1078" s="186">
        <f t="shared" si="52"/>
        <v>20124.630529185815</v>
      </c>
      <c r="P1078" s="186">
        <f t="shared" si="53"/>
        <v>6626.596671699579</v>
      </c>
      <c r="Q1078" s="215">
        <f>IF(P1078="-",0,P1078/(1+'General inputs'!$H$30)^'MP Calculations'!$C$40)</f>
        <v>14719.586331194061</v>
      </c>
    </row>
    <row r="1079" spans="3:17">
      <c r="C1079" s="159"/>
      <c r="D1079" s="165" t="s">
        <v>289</v>
      </c>
      <c r="E1079" s="162">
        <v>33932</v>
      </c>
      <c r="F1079" s="166" t="str">
        <f t="shared" si="51"/>
        <v>Date check - OK</v>
      </c>
      <c r="G1079" s="68"/>
      <c r="H1079" s="162" t="s">
        <v>280</v>
      </c>
      <c r="I1079" s="173">
        <v>21853.086195380012</v>
      </c>
      <c r="J1079" s="168">
        <f>IFERROR(MIN('MP Calculations'!$E$30/I1079,1),"-")</f>
        <v>0.32927792945511891</v>
      </c>
      <c r="K1079" s="12"/>
      <c r="L1079" s="159">
        <v>6.0158440000000004</v>
      </c>
      <c r="M1079" s="187" t="s">
        <v>293</v>
      </c>
      <c r="N1079" s="187">
        <v>421.28581700000001</v>
      </c>
      <c r="O1079" s="186">
        <f t="shared" si="52"/>
        <v>2534.3897544845481</v>
      </c>
      <c r="P1079" s="186">
        <f t="shared" si="53"/>
        <v>834.51861078893921</v>
      </c>
      <c r="Q1079" s="215">
        <f>IF(P1079="-",0,P1079/(1+'General inputs'!$H$30)^'MP Calculations'!$C$40)</f>
        <v>1853.7070150891504</v>
      </c>
    </row>
    <row r="1080" spans="3:17">
      <c r="C1080" s="159"/>
      <c r="D1080" s="165" t="s">
        <v>289</v>
      </c>
      <c r="E1080" s="162">
        <v>33932</v>
      </c>
      <c r="F1080" s="166" t="str">
        <f t="shared" si="51"/>
        <v>Date check - OK</v>
      </c>
      <c r="G1080" s="68"/>
      <c r="H1080" s="162" t="s">
        <v>280</v>
      </c>
      <c r="I1080" s="173">
        <v>21853.086195380012</v>
      </c>
      <c r="J1080" s="168">
        <f>IFERROR(MIN('MP Calculations'!$E$30/I1080,1),"-")</f>
        <v>0.32927792945511891</v>
      </c>
      <c r="K1080" s="12"/>
      <c r="L1080" s="159">
        <v>45.351362000000002</v>
      </c>
      <c r="M1080" s="187" t="s">
        <v>293</v>
      </c>
      <c r="N1080" s="187">
        <v>421.28581700000001</v>
      </c>
      <c r="O1080" s="186">
        <f t="shared" si="52"/>
        <v>19105.885592232757</v>
      </c>
      <c r="P1080" s="186">
        <f t="shared" si="53"/>
        <v>6291.1464482167903</v>
      </c>
      <c r="Q1080" s="215">
        <f>IF(P1080="-",0,P1080/(1+'General inputs'!$H$30)^'MP Calculations'!$C$40)</f>
        <v>13974.454437855689</v>
      </c>
    </row>
    <row r="1081" spans="3:17">
      <c r="C1081" s="159"/>
      <c r="D1081" s="165" t="s">
        <v>282</v>
      </c>
      <c r="E1081" s="162">
        <v>33932</v>
      </c>
      <c r="F1081" s="166" t="str">
        <f t="shared" si="51"/>
        <v>Date check - OK</v>
      </c>
      <c r="G1081" s="68"/>
      <c r="H1081" s="162" t="s">
        <v>280</v>
      </c>
      <c r="I1081" s="173">
        <v>21853.086195380012</v>
      </c>
      <c r="J1081" s="168">
        <f>IFERROR(MIN('MP Calculations'!$E$30/I1081,1),"-")</f>
        <v>0.32927792945511891</v>
      </c>
      <c r="K1081" s="12"/>
      <c r="L1081" s="159">
        <v>0.79696699999999998</v>
      </c>
      <c r="M1081" s="187" t="s">
        <v>293</v>
      </c>
      <c r="N1081" s="187">
        <v>237.97403299999999</v>
      </c>
      <c r="O1081" s="186">
        <f t="shared" si="52"/>
        <v>189.657451157911</v>
      </c>
      <c r="P1081" s="186">
        <f t="shared" si="53"/>
        <v>62.45001282301228</v>
      </c>
      <c r="Q1081" s="215">
        <f>IF(P1081="-",0,P1081/(1+'General inputs'!$H$30)^'MP Calculations'!$C$40)</f>
        <v>138.7195268814724</v>
      </c>
    </row>
    <row r="1082" spans="3:17">
      <c r="C1082" s="159"/>
      <c r="D1082" s="165" t="s">
        <v>289</v>
      </c>
      <c r="E1082" s="162">
        <v>33932</v>
      </c>
      <c r="F1082" s="166" t="str">
        <f t="shared" si="51"/>
        <v>Date check - OK</v>
      </c>
      <c r="G1082" s="68"/>
      <c r="H1082" s="162" t="s">
        <v>280</v>
      </c>
      <c r="I1082" s="173">
        <v>21853.086195380012</v>
      </c>
      <c r="J1082" s="168">
        <f>IFERROR(MIN('MP Calculations'!$E$30/I1082,1),"-")</f>
        <v>0.32927792945511891</v>
      </c>
      <c r="K1082" s="12"/>
      <c r="L1082" s="159">
        <v>0.972055</v>
      </c>
      <c r="M1082" s="187" t="s">
        <v>293</v>
      </c>
      <c r="N1082" s="187">
        <v>421.28581700000001</v>
      </c>
      <c r="O1082" s="186">
        <f t="shared" si="52"/>
        <v>409.51298484393499</v>
      </c>
      <c r="P1082" s="186">
        <f t="shared" si="53"/>
        <v>134.84358773439641</v>
      </c>
      <c r="Q1082" s="215">
        <f>IF(P1082="-",0,P1082/(1+'General inputs'!$H$30)^'MP Calculations'!$C$40)</f>
        <v>299.52657890604939</v>
      </c>
    </row>
    <row r="1083" spans="3:17">
      <c r="C1083" s="159"/>
      <c r="D1083" s="165" t="s">
        <v>289</v>
      </c>
      <c r="E1083" s="162">
        <v>33932</v>
      </c>
      <c r="F1083" s="166" t="str">
        <f t="shared" si="51"/>
        <v>Date check - OK</v>
      </c>
      <c r="G1083" s="68"/>
      <c r="H1083" s="162" t="s">
        <v>280</v>
      </c>
      <c r="I1083" s="173">
        <v>21853.086195380012</v>
      </c>
      <c r="J1083" s="168">
        <f>IFERROR(MIN('MP Calculations'!$E$30/I1083,1),"-")</f>
        <v>0.32927792945511891</v>
      </c>
      <c r="K1083" s="12"/>
      <c r="L1083" s="159">
        <v>85.652135999999999</v>
      </c>
      <c r="M1083" s="187" t="s">
        <v>293</v>
      </c>
      <c r="N1083" s="187">
        <v>421.28581700000001</v>
      </c>
      <c r="O1083" s="186">
        <f t="shared" si="52"/>
        <v>36084.030092555113</v>
      </c>
      <c r="P1083" s="186">
        <f t="shared" si="53"/>
        <v>11881.674715272751</v>
      </c>
      <c r="Q1083" s="215">
        <f>IF(P1083="-",0,P1083/(1+'General inputs'!$H$30)^'MP Calculations'!$C$40)</f>
        <v>26392.633412796269</v>
      </c>
    </row>
    <row r="1084" spans="3:17">
      <c r="C1084" s="159"/>
      <c r="D1084" s="165" t="s">
        <v>289</v>
      </c>
      <c r="E1084" s="162">
        <v>33932</v>
      </c>
      <c r="F1084" s="166" t="str">
        <f t="shared" si="51"/>
        <v>Date check - OK</v>
      </c>
      <c r="G1084" s="68"/>
      <c r="H1084" s="162" t="s">
        <v>280</v>
      </c>
      <c r="I1084" s="173">
        <v>21853.086195380012</v>
      </c>
      <c r="J1084" s="168">
        <f>IFERROR(MIN('MP Calculations'!$E$30/I1084,1),"-")</f>
        <v>0.32927792945511891</v>
      </c>
      <c r="K1084" s="12"/>
      <c r="L1084" s="159">
        <v>22.364084999999999</v>
      </c>
      <c r="M1084" s="187" t="s">
        <v>293</v>
      </c>
      <c r="N1084" s="187">
        <v>421.28581700000001</v>
      </c>
      <c r="O1084" s="186">
        <f t="shared" si="52"/>
        <v>9421.6718206824444</v>
      </c>
      <c r="P1084" s="186">
        <f t="shared" si="53"/>
        <v>3102.3485891199557</v>
      </c>
      <c r="Q1084" s="215">
        <f>IF(P1084="-",0,P1084/(1+'General inputs'!$H$30)^'MP Calculations'!$C$40)</f>
        <v>6891.2128124582414</v>
      </c>
    </row>
    <row r="1085" spans="3:17">
      <c r="C1085" s="159"/>
      <c r="D1085" s="165" t="s">
        <v>289</v>
      </c>
      <c r="E1085" s="162">
        <v>33932</v>
      </c>
      <c r="F1085" s="166" t="str">
        <f t="shared" si="51"/>
        <v>Date check - OK</v>
      </c>
      <c r="G1085" s="68"/>
      <c r="H1085" s="162" t="s">
        <v>280</v>
      </c>
      <c r="I1085" s="173">
        <v>21853.086195380012</v>
      </c>
      <c r="J1085" s="168">
        <f>IFERROR(MIN('MP Calculations'!$E$30/I1085,1),"-")</f>
        <v>0.32927792945511891</v>
      </c>
      <c r="K1085" s="12"/>
      <c r="L1085" s="159">
        <v>4.3065300000000004</v>
      </c>
      <c r="M1085" s="187" t="s">
        <v>293</v>
      </c>
      <c r="N1085" s="187">
        <v>421.28581700000001</v>
      </c>
      <c r="O1085" s="186">
        <f t="shared" si="52"/>
        <v>1814.2800094850102</v>
      </c>
      <c r="P1085" s="186">
        <f t="shared" si="53"/>
        <v>597.4023649750377</v>
      </c>
      <c r="Q1085" s="215">
        <f>IF(P1085="-",0,P1085/(1+'General inputs'!$H$30)^'MP Calculations'!$C$40)</f>
        <v>1327.0033052206606</v>
      </c>
    </row>
    <row r="1086" spans="3:17">
      <c r="C1086" s="159"/>
      <c r="D1086" s="165" t="s">
        <v>282</v>
      </c>
      <c r="E1086" s="162">
        <v>34047</v>
      </c>
      <c r="F1086" s="166" t="str">
        <f t="shared" si="51"/>
        <v>Date check - OK</v>
      </c>
      <c r="G1086" s="68"/>
      <c r="H1086" s="162" t="s">
        <v>280</v>
      </c>
      <c r="I1086" s="173">
        <v>21853.086195380012</v>
      </c>
      <c r="J1086" s="168">
        <f>IFERROR(MIN('MP Calculations'!$E$30/I1086,1),"-")</f>
        <v>0.32927792945511891</v>
      </c>
      <c r="K1086" s="12"/>
      <c r="L1086" s="159">
        <v>68.393947999999995</v>
      </c>
      <c r="M1086" s="187" t="s">
        <v>293</v>
      </c>
      <c r="N1086" s="187">
        <v>237.97403299999999</v>
      </c>
      <c r="O1086" s="186">
        <f t="shared" si="52"/>
        <v>16275.983638352282</v>
      </c>
      <c r="P1086" s="186">
        <f t="shared" si="53"/>
        <v>5359.3221922820321</v>
      </c>
      <c r="Q1086" s="215">
        <f>IF(P1086="-",0,P1086/(1+'General inputs'!$H$30)^'MP Calculations'!$C$40)</f>
        <v>11904.603463024221</v>
      </c>
    </row>
    <row r="1087" spans="3:17">
      <c r="C1087" s="159"/>
      <c r="D1087" s="165" t="s">
        <v>282</v>
      </c>
      <c r="E1087" s="162">
        <v>34047</v>
      </c>
      <c r="F1087" s="166" t="str">
        <f t="shared" si="51"/>
        <v>Date check - OK</v>
      </c>
      <c r="G1087" s="68"/>
      <c r="H1087" s="162" t="s">
        <v>280</v>
      </c>
      <c r="I1087" s="173">
        <v>21853.086195380012</v>
      </c>
      <c r="J1087" s="168">
        <f>IFERROR(MIN('MP Calculations'!$E$30/I1087,1),"-")</f>
        <v>0.32927792945511891</v>
      </c>
      <c r="K1087" s="12"/>
      <c r="L1087" s="159">
        <v>58.601959000000001</v>
      </c>
      <c r="M1087" s="187" t="s">
        <v>293</v>
      </c>
      <c r="N1087" s="187">
        <v>237.97403299999999</v>
      </c>
      <c r="O1087" s="186">
        <f t="shared" si="52"/>
        <v>13945.744524930647</v>
      </c>
      <c r="P1087" s="186">
        <f t="shared" si="53"/>
        <v>4592.0258818792245</v>
      </c>
      <c r="Q1087" s="215">
        <f>IF(P1087="-",0,P1087/(1+'General inputs'!$H$30)^'MP Calculations'!$C$40)</f>
        <v>10200.216604711919</v>
      </c>
    </row>
    <row r="1088" spans="3:17">
      <c r="C1088" s="159"/>
      <c r="D1088" s="165" t="s">
        <v>282</v>
      </c>
      <c r="E1088" s="162">
        <v>34047</v>
      </c>
      <c r="F1088" s="166" t="str">
        <f t="shared" si="51"/>
        <v>Date check - OK</v>
      </c>
      <c r="G1088" s="68"/>
      <c r="H1088" s="162" t="s">
        <v>280</v>
      </c>
      <c r="I1088" s="173">
        <v>21853.086195380012</v>
      </c>
      <c r="J1088" s="168">
        <f>IFERROR(MIN('MP Calculations'!$E$30/I1088,1),"-")</f>
        <v>0.32927792945511891</v>
      </c>
      <c r="K1088" s="12"/>
      <c r="L1088" s="159">
        <v>2.803026</v>
      </c>
      <c r="M1088" s="187" t="s">
        <v>293</v>
      </c>
      <c r="N1088" s="187">
        <v>237.97403299999999</v>
      </c>
      <c r="O1088" s="186">
        <f t="shared" si="52"/>
        <v>667.04740182385797</v>
      </c>
      <c r="P1088" s="186">
        <f t="shared" si="53"/>
        <v>219.64398732097666</v>
      </c>
      <c r="Q1088" s="215">
        <f>IF(P1088="-",0,P1088/(1+'General inputs'!$H$30)^'MP Calculations'!$C$40)</f>
        <v>487.8927741756761</v>
      </c>
    </row>
    <row r="1089" spans="3:17">
      <c r="C1089" s="159"/>
      <c r="D1089" s="165" t="s">
        <v>282</v>
      </c>
      <c r="E1089" s="162">
        <v>34047</v>
      </c>
      <c r="F1089" s="166" t="str">
        <f t="shared" si="51"/>
        <v>Date check - OK</v>
      </c>
      <c r="G1089" s="68"/>
      <c r="H1089" s="162" t="s">
        <v>280</v>
      </c>
      <c r="I1089" s="173">
        <v>21853.086195380012</v>
      </c>
      <c r="J1089" s="168">
        <f>IFERROR(MIN('MP Calculations'!$E$30/I1089,1),"-")</f>
        <v>0.32927792945511891</v>
      </c>
      <c r="K1089" s="12"/>
      <c r="L1089" s="159">
        <v>39.628762000000002</v>
      </c>
      <c r="M1089" s="187" t="s">
        <v>293</v>
      </c>
      <c r="N1089" s="187">
        <v>237.97403299999999</v>
      </c>
      <c r="O1089" s="186">
        <f t="shared" si="52"/>
        <v>9430.6163159371463</v>
      </c>
      <c r="P1089" s="186">
        <f t="shared" si="53"/>
        <v>3105.2938139974449</v>
      </c>
      <c r="Q1089" s="215">
        <f>IF(P1089="-",0,P1089/(1+'General inputs'!$H$30)^'MP Calculations'!$C$40)</f>
        <v>6897.7550080975398</v>
      </c>
    </row>
    <row r="1090" spans="3:17">
      <c r="C1090" s="159"/>
      <c r="D1090" s="165" t="s">
        <v>282</v>
      </c>
      <c r="E1090" s="162">
        <v>34047</v>
      </c>
      <c r="F1090" s="166" t="str">
        <f t="shared" si="51"/>
        <v>Date check - OK</v>
      </c>
      <c r="G1090" s="68"/>
      <c r="H1090" s="162" t="s">
        <v>280</v>
      </c>
      <c r="I1090" s="173">
        <v>21853.086195380012</v>
      </c>
      <c r="J1090" s="168">
        <f>IFERROR(MIN('MP Calculations'!$E$30/I1090,1),"-")</f>
        <v>0.32927792945511891</v>
      </c>
      <c r="K1090" s="12"/>
      <c r="L1090" s="159">
        <v>17.736478000000002</v>
      </c>
      <c r="M1090" s="187" t="s">
        <v>293</v>
      </c>
      <c r="N1090" s="187">
        <v>237.97403299999999</v>
      </c>
      <c r="O1090" s="186">
        <f t="shared" si="52"/>
        <v>4220.8212008757746</v>
      </c>
      <c r="P1090" s="186">
        <f t="shared" si="53"/>
        <v>1389.8232656246437</v>
      </c>
      <c r="Q1090" s="215">
        <f>IF(P1090="-",0,P1090/(1+'General inputs'!$H$30)^'MP Calculations'!$C$40)</f>
        <v>3087.1991396176309</v>
      </c>
    </row>
    <row r="1091" spans="3:17">
      <c r="C1091" s="159"/>
      <c r="D1091" s="165" t="s">
        <v>282</v>
      </c>
      <c r="E1091" s="162">
        <v>34047</v>
      </c>
      <c r="F1091" s="166" t="str">
        <f t="shared" si="51"/>
        <v>Date check - OK</v>
      </c>
      <c r="G1091" s="68"/>
      <c r="H1091" s="162" t="s">
        <v>280</v>
      </c>
      <c r="I1091" s="173">
        <v>21853.086195380012</v>
      </c>
      <c r="J1091" s="168">
        <f>IFERROR(MIN('MP Calculations'!$E$30/I1091,1),"-")</f>
        <v>0.32927792945511891</v>
      </c>
      <c r="K1091" s="12"/>
      <c r="L1091" s="159">
        <v>65.681972000000002</v>
      </c>
      <c r="M1091" s="187" t="s">
        <v>293</v>
      </c>
      <c r="N1091" s="187">
        <v>237.97403299999999</v>
      </c>
      <c r="O1091" s="186">
        <f t="shared" si="52"/>
        <v>15630.603772233077</v>
      </c>
      <c r="P1091" s="186">
        <f t="shared" si="53"/>
        <v>5146.8128462542782</v>
      </c>
      <c r="Q1091" s="215">
        <f>IF(P1091="-",0,P1091/(1+'General inputs'!$H$30)^'MP Calculations'!$C$40)</f>
        <v>11432.558789111867</v>
      </c>
    </row>
    <row r="1092" spans="3:17">
      <c r="C1092" s="159"/>
      <c r="D1092" s="165" t="s">
        <v>282</v>
      </c>
      <c r="E1092" s="162">
        <v>34047</v>
      </c>
      <c r="F1092" s="166" t="str">
        <f t="shared" si="51"/>
        <v>Date check - OK</v>
      </c>
      <c r="G1092" s="68"/>
      <c r="H1092" s="162" t="s">
        <v>280</v>
      </c>
      <c r="I1092" s="173">
        <v>21853.086195380012</v>
      </c>
      <c r="J1092" s="168">
        <f>IFERROR(MIN('MP Calculations'!$E$30/I1092,1),"-")</f>
        <v>0.32927792945511891</v>
      </c>
      <c r="K1092" s="12"/>
      <c r="L1092" s="159">
        <v>33.413442000000003</v>
      </c>
      <c r="M1092" s="187" t="s">
        <v>293</v>
      </c>
      <c r="N1092" s="187">
        <v>237.97403299999999</v>
      </c>
      <c r="O1092" s="186">
        <f t="shared" si="52"/>
        <v>7951.5315491515867</v>
      </c>
      <c r="P1092" s="186">
        <f t="shared" si="53"/>
        <v>2618.2638445016887</v>
      </c>
      <c r="Q1092" s="215">
        <f>IF(P1092="-",0,P1092/(1+'General inputs'!$H$30)^'MP Calculations'!$C$40)</f>
        <v>5815.9206914734486</v>
      </c>
    </row>
    <row r="1093" spans="3:17">
      <c r="C1093" s="159"/>
      <c r="D1093" s="165" t="s">
        <v>282</v>
      </c>
      <c r="E1093" s="162">
        <v>34047</v>
      </c>
      <c r="F1093" s="166" t="str">
        <f t="shared" si="51"/>
        <v>Date check - OK</v>
      </c>
      <c r="G1093" s="68"/>
      <c r="H1093" s="162" t="s">
        <v>280</v>
      </c>
      <c r="I1093" s="173">
        <v>21853.086195380012</v>
      </c>
      <c r="J1093" s="168">
        <f>IFERROR(MIN('MP Calculations'!$E$30/I1093,1),"-")</f>
        <v>0.32927792945511891</v>
      </c>
      <c r="K1093" s="12"/>
      <c r="L1093" s="159">
        <v>0.39982499999999999</v>
      </c>
      <c r="M1093" s="187" t="s">
        <v>293</v>
      </c>
      <c r="N1093" s="187">
        <v>237.97403299999999</v>
      </c>
      <c r="O1093" s="186">
        <f t="shared" si="52"/>
        <v>95.147967744224999</v>
      </c>
      <c r="P1093" s="186">
        <f t="shared" si="53"/>
        <v>31.330125810680848</v>
      </c>
      <c r="Q1093" s="215">
        <f>IF(P1093="-",0,P1093/(1+'General inputs'!$H$30)^'MP Calculations'!$C$40)</f>
        <v>69.593264006395117</v>
      </c>
    </row>
    <row r="1094" spans="3:17">
      <c r="C1094" s="159"/>
      <c r="D1094" s="165" t="s">
        <v>282</v>
      </c>
      <c r="E1094" s="162">
        <v>34047</v>
      </c>
      <c r="F1094" s="166" t="str">
        <f t="shared" si="51"/>
        <v>Date check - OK</v>
      </c>
      <c r="G1094" s="68"/>
      <c r="H1094" s="162" t="s">
        <v>280</v>
      </c>
      <c r="I1094" s="173">
        <v>21853.086195380012</v>
      </c>
      <c r="J1094" s="168">
        <f>IFERROR(MIN('MP Calculations'!$E$30/I1094,1),"-")</f>
        <v>0.32927792945511891</v>
      </c>
      <c r="K1094" s="12"/>
      <c r="L1094" s="159">
        <v>17.519545000000001</v>
      </c>
      <c r="M1094" s="187" t="s">
        <v>293</v>
      </c>
      <c r="N1094" s="187">
        <v>237.97403299999999</v>
      </c>
      <c r="O1094" s="186">
        <f t="shared" si="52"/>
        <v>4169.1967799749855</v>
      </c>
      <c r="P1094" s="186">
        <f t="shared" si="53"/>
        <v>1372.8244832011121</v>
      </c>
      <c r="Q1094" s="215">
        <f>IF(P1094="-",0,P1094/(1+'General inputs'!$H$30)^'MP Calculations'!$C$40)</f>
        <v>3049.439931112161</v>
      </c>
    </row>
    <row r="1095" spans="3:17">
      <c r="C1095" s="159"/>
      <c r="D1095" s="165" t="s">
        <v>282</v>
      </c>
      <c r="E1095" s="162">
        <v>34047</v>
      </c>
      <c r="F1095" s="166" t="str">
        <f t="shared" si="51"/>
        <v>Date check - OK</v>
      </c>
      <c r="G1095" s="68"/>
      <c r="H1095" s="162" t="s">
        <v>280</v>
      </c>
      <c r="I1095" s="173">
        <v>21853.086195380012</v>
      </c>
      <c r="J1095" s="168">
        <f>IFERROR(MIN('MP Calculations'!$E$30/I1095,1),"-")</f>
        <v>0.32927792945511891</v>
      </c>
      <c r="K1095" s="12"/>
      <c r="L1095" s="159">
        <v>14.94233</v>
      </c>
      <c r="M1095" s="187" t="s">
        <v>293</v>
      </c>
      <c r="N1095" s="187">
        <v>237.97403299999999</v>
      </c>
      <c r="O1095" s="186">
        <f t="shared" si="52"/>
        <v>3555.8865325168899</v>
      </c>
      <c r="P1095" s="186">
        <f t="shared" si="53"/>
        <v>1170.8749548045039</v>
      </c>
      <c r="Q1095" s="215">
        <f>IF(P1095="-",0,P1095/(1+'General inputs'!$H$30)^'MP Calculations'!$C$40)</f>
        <v>2600.8516640046973</v>
      </c>
    </row>
    <row r="1096" spans="3:17">
      <c r="C1096" s="159"/>
      <c r="D1096" s="165" t="s">
        <v>282</v>
      </c>
      <c r="E1096" s="162">
        <v>34047</v>
      </c>
      <c r="F1096" s="166" t="str">
        <f t="shared" si="51"/>
        <v>Date check - OK</v>
      </c>
      <c r="G1096" s="68"/>
      <c r="H1096" s="162" t="s">
        <v>280</v>
      </c>
      <c r="I1096" s="173">
        <v>21853.086195380012</v>
      </c>
      <c r="J1096" s="168">
        <f>IFERROR(MIN('MP Calculations'!$E$30/I1096,1),"-")</f>
        <v>0.32927792945511891</v>
      </c>
      <c r="K1096" s="12"/>
      <c r="L1096" s="159">
        <v>0.50022500000000003</v>
      </c>
      <c r="M1096" s="187" t="s">
        <v>293</v>
      </c>
      <c r="N1096" s="187">
        <v>237.97403299999999</v>
      </c>
      <c r="O1096" s="186">
        <f t="shared" si="52"/>
        <v>119.040560657425</v>
      </c>
      <c r="P1096" s="186">
        <f t="shared" si="53"/>
        <v>39.197429334453396</v>
      </c>
      <c r="Q1096" s="215">
        <f>IF(P1096="-",0,P1096/(1+'General inputs'!$H$30)^'MP Calculations'!$C$40)</f>
        <v>87.068818827234423</v>
      </c>
    </row>
    <row r="1097" spans="3:17">
      <c r="C1097" s="159"/>
      <c r="D1097" s="165" t="s">
        <v>282</v>
      </c>
      <c r="E1097" s="162">
        <v>34047</v>
      </c>
      <c r="F1097" s="166" t="str">
        <f t="shared" si="51"/>
        <v>Date check - OK</v>
      </c>
      <c r="G1097" s="68"/>
      <c r="H1097" s="162" t="s">
        <v>280</v>
      </c>
      <c r="I1097" s="173">
        <v>21853.086195380012</v>
      </c>
      <c r="J1097" s="168">
        <f>IFERROR(MIN('MP Calculations'!$E$30/I1097,1),"-")</f>
        <v>0.32927792945511891</v>
      </c>
      <c r="K1097" s="12"/>
      <c r="L1097" s="159">
        <v>83.221143999999995</v>
      </c>
      <c r="M1097" s="187" t="s">
        <v>293</v>
      </c>
      <c r="N1097" s="187">
        <v>237.97403299999999</v>
      </c>
      <c r="O1097" s="186">
        <f t="shared" si="52"/>
        <v>19804.471268553749</v>
      </c>
      <c r="P1097" s="186">
        <f t="shared" si="53"/>
        <v>6521.1752932627705</v>
      </c>
      <c r="Q1097" s="215">
        <f>IF(P1097="-",0,P1097/(1+'General inputs'!$H$30)^'MP Calculations'!$C$40)</f>
        <v>14485.414982320326</v>
      </c>
    </row>
    <row r="1098" spans="3:17">
      <c r="C1098" s="159"/>
      <c r="D1098" s="165" t="s">
        <v>282</v>
      </c>
      <c r="E1098" s="162">
        <v>34047</v>
      </c>
      <c r="F1098" s="166" t="str">
        <f t="shared" si="51"/>
        <v>Date check - OK</v>
      </c>
      <c r="G1098" s="68"/>
      <c r="H1098" s="162" t="s">
        <v>280</v>
      </c>
      <c r="I1098" s="173">
        <v>21853.086195380012</v>
      </c>
      <c r="J1098" s="168">
        <f>IFERROR(MIN('MP Calculations'!$E$30/I1098,1),"-")</f>
        <v>0.32927792945511891</v>
      </c>
      <c r="K1098" s="12"/>
      <c r="L1098" s="159">
        <v>96.653406000000004</v>
      </c>
      <c r="M1098" s="187" t="s">
        <v>293</v>
      </c>
      <c r="N1098" s="187">
        <v>237.97403299999999</v>
      </c>
      <c r="O1098" s="186">
        <f t="shared" si="52"/>
        <v>23001.0008290064</v>
      </c>
      <c r="P1098" s="186">
        <f t="shared" si="53"/>
        <v>7573.7219283707009</v>
      </c>
      <c r="Q1098" s="215">
        <f>IF(P1098="-",0,P1098/(1+'General inputs'!$H$30)^'MP Calculations'!$C$40)</f>
        <v>16823.425250735436</v>
      </c>
    </row>
    <row r="1099" spans="3:17">
      <c r="C1099" s="159"/>
      <c r="D1099" s="165" t="s">
        <v>282</v>
      </c>
      <c r="E1099" s="162">
        <v>34047</v>
      </c>
      <c r="F1099" s="166" t="str">
        <f t="shared" si="51"/>
        <v>Date check - OK</v>
      </c>
      <c r="G1099" s="68"/>
      <c r="H1099" s="162" t="s">
        <v>280</v>
      </c>
      <c r="I1099" s="173">
        <v>21853.086195380012</v>
      </c>
      <c r="J1099" s="168">
        <f>IFERROR(MIN('MP Calculations'!$E$30/I1099,1),"-")</f>
        <v>0.32927792945511891</v>
      </c>
      <c r="K1099" s="12"/>
      <c r="L1099" s="159">
        <v>26.822596000000001</v>
      </c>
      <c r="M1099" s="187" t="s">
        <v>293</v>
      </c>
      <c r="N1099" s="187">
        <v>237.97403299999999</v>
      </c>
      <c r="O1099" s="186">
        <f t="shared" si="52"/>
        <v>6383.081345649668</v>
      </c>
      <c r="P1099" s="186">
        <f t="shared" si="53"/>
        <v>2101.8078090391168</v>
      </c>
      <c r="Q1099" s="215">
        <f>IF(P1099="-",0,P1099/(1+'General inputs'!$H$30)^'MP Calculations'!$C$40)</f>
        <v>4668.7225780400868</v>
      </c>
    </row>
    <row r="1100" spans="3:17">
      <c r="C1100" s="159"/>
      <c r="D1100" s="165" t="s">
        <v>282</v>
      </c>
      <c r="E1100" s="162">
        <v>34047</v>
      </c>
      <c r="F1100" s="166" t="str">
        <f t="shared" si="51"/>
        <v>Date check - OK</v>
      </c>
      <c r="G1100" s="68"/>
      <c r="H1100" s="162" t="s">
        <v>280</v>
      </c>
      <c r="I1100" s="173">
        <v>21853.086195380012</v>
      </c>
      <c r="J1100" s="168">
        <f>IFERROR(MIN('MP Calculations'!$E$30/I1100,1),"-")</f>
        <v>0.32927792945511891</v>
      </c>
      <c r="K1100" s="12"/>
      <c r="L1100" s="159">
        <v>21.326539</v>
      </c>
      <c r="M1100" s="187" t="s">
        <v>293</v>
      </c>
      <c r="N1100" s="187">
        <v>237.97403299999999</v>
      </c>
      <c r="O1100" s="186">
        <f t="shared" si="52"/>
        <v>5075.1624957617869</v>
      </c>
      <c r="P1100" s="186">
        <f t="shared" si="53"/>
        <v>1671.1389982527148</v>
      </c>
      <c r="Q1100" s="215">
        <f>IF(P1100="-",0,P1100/(1+'General inputs'!$H$30)^'MP Calculations'!$C$40)</f>
        <v>3712.0826835982789</v>
      </c>
    </row>
    <row r="1101" spans="3:17">
      <c r="C1101" s="159"/>
      <c r="D1101" s="165" t="s">
        <v>282</v>
      </c>
      <c r="E1101" s="162">
        <v>34047</v>
      </c>
      <c r="F1101" s="166" t="str">
        <f t="shared" si="51"/>
        <v>Date check - OK</v>
      </c>
      <c r="G1101" s="68"/>
      <c r="H1101" s="162" t="s">
        <v>280</v>
      </c>
      <c r="I1101" s="173">
        <v>21853.086195380012</v>
      </c>
      <c r="J1101" s="168">
        <f>IFERROR(MIN('MP Calculations'!$E$30/I1101,1),"-")</f>
        <v>0.32927792945511891</v>
      </c>
      <c r="K1101" s="12"/>
      <c r="L1101" s="159">
        <v>25.409115</v>
      </c>
      <c r="M1101" s="187" t="s">
        <v>293</v>
      </c>
      <c r="N1101" s="187">
        <v>237.97403299999999</v>
      </c>
      <c r="O1101" s="186">
        <f t="shared" si="52"/>
        <v>6046.7095715107944</v>
      </c>
      <c r="P1101" s="186">
        <f t="shared" si="53"/>
        <v>1991.0480077235236</v>
      </c>
      <c r="Q1101" s="215">
        <f>IF(P1101="-",0,P1101/(1+'General inputs'!$H$30)^'MP Calculations'!$C$40)</f>
        <v>4422.6930491186249</v>
      </c>
    </row>
    <row r="1102" spans="3:17">
      <c r="C1102" s="159"/>
      <c r="D1102" s="165" t="s">
        <v>282</v>
      </c>
      <c r="E1102" s="162">
        <v>34047</v>
      </c>
      <c r="F1102" s="166" t="str">
        <f t="shared" si="51"/>
        <v>Date check - OK</v>
      </c>
      <c r="G1102" s="68"/>
      <c r="H1102" s="162" t="s">
        <v>280</v>
      </c>
      <c r="I1102" s="173">
        <v>21853.086195380012</v>
      </c>
      <c r="J1102" s="168">
        <f>IFERROR(MIN('MP Calculations'!$E$30/I1102,1),"-")</f>
        <v>0.32927792945511891</v>
      </c>
      <c r="K1102" s="12"/>
      <c r="L1102" s="159">
        <v>6.8717699999999997</v>
      </c>
      <c r="M1102" s="187" t="s">
        <v>293</v>
      </c>
      <c r="N1102" s="187">
        <v>237.97403299999999</v>
      </c>
      <c r="O1102" s="186">
        <f t="shared" si="52"/>
        <v>1635.3028207484099</v>
      </c>
      <c r="P1102" s="186">
        <f t="shared" si="53"/>
        <v>538.46912684815186</v>
      </c>
      <c r="Q1102" s="215">
        <f>IF(P1102="-",0,P1102/(1+'General inputs'!$H$30)^'MP Calculations'!$C$40)</f>
        <v>1196.0955513067611</v>
      </c>
    </row>
    <row r="1103" spans="3:17">
      <c r="C1103" s="159"/>
      <c r="D1103" s="165" t="s">
        <v>282</v>
      </c>
      <c r="E1103" s="162">
        <v>34047</v>
      </c>
      <c r="F1103" s="166" t="str">
        <f t="shared" si="51"/>
        <v>Date check - OK</v>
      </c>
      <c r="G1103" s="68"/>
      <c r="H1103" s="162" t="s">
        <v>280</v>
      </c>
      <c r="I1103" s="173">
        <v>21853.086195380012</v>
      </c>
      <c r="J1103" s="168">
        <f>IFERROR(MIN('MP Calculations'!$E$30/I1103,1),"-")</f>
        <v>0.32927792945511891</v>
      </c>
      <c r="K1103" s="12"/>
      <c r="L1103" s="159">
        <v>48.241692</v>
      </c>
      <c r="M1103" s="187" t="s">
        <v>293</v>
      </c>
      <c r="N1103" s="187">
        <v>237.97403299999999</v>
      </c>
      <c r="O1103" s="186">
        <f t="shared" si="52"/>
        <v>11480.270003983836</v>
      </c>
      <c r="P1103" s="186">
        <f t="shared" si="53"/>
        <v>3780.1995364975073</v>
      </c>
      <c r="Q1103" s="215">
        <f>IF(P1103="-",0,P1103/(1+'General inputs'!$H$30)^'MP Calculations'!$C$40)</f>
        <v>8396.9156692833112</v>
      </c>
    </row>
    <row r="1104" spans="3:17">
      <c r="C1104" s="159"/>
      <c r="D1104" s="165" t="s">
        <v>282</v>
      </c>
      <c r="E1104" s="162">
        <v>34047</v>
      </c>
      <c r="F1104" s="166" t="str">
        <f t="shared" si="51"/>
        <v>Date check - OK</v>
      </c>
      <c r="G1104" s="68"/>
      <c r="H1104" s="162" t="s">
        <v>280</v>
      </c>
      <c r="I1104" s="173">
        <v>21853.086195380012</v>
      </c>
      <c r="J1104" s="168">
        <f>IFERROR(MIN('MP Calculations'!$E$30/I1104,1),"-")</f>
        <v>0.32927792945511891</v>
      </c>
      <c r="K1104" s="12"/>
      <c r="L1104" s="159">
        <v>27.422135999999998</v>
      </c>
      <c r="M1104" s="187" t="s">
        <v>293</v>
      </c>
      <c r="N1104" s="187">
        <v>237.97403299999999</v>
      </c>
      <c r="O1104" s="186">
        <f t="shared" si="52"/>
        <v>6525.7562973944878</v>
      </c>
      <c r="P1104" s="186">
        <f t="shared" si="53"/>
        <v>2148.78752173476</v>
      </c>
      <c r="Q1104" s="215">
        <f>IF(P1104="-",0,P1104/(1+'General inputs'!$H$30)^'MP Calculations'!$C$40)</f>
        <v>4773.0780973357641</v>
      </c>
    </row>
    <row r="1105" spans="3:17">
      <c r="C1105" s="159"/>
      <c r="D1105" s="165" t="s">
        <v>282</v>
      </c>
      <c r="E1105" s="162">
        <v>34047</v>
      </c>
      <c r="F1105" s="166" t="str">
        <f t="shared" si="51"/>
        <v>Date check - OK</v>
      </c>
      <c r="G1105" s="68"/>
      <c r="H1105" s="162" t="s">
        <v>280</v>
      </c>
      <c r="I1105" s="173">
        <v>21853.086195380012</v>
      </c>
      <c r="J1105" s="168">
        <f>IFERROR(MIN('MP Calculations'!$E$30/I1105,1),"-")</f>
        <v>0.32927792945511891</v>
      </c>
      <c r="K1105" s="12"/>
      <c r="L1105" s="159">
        <v>6.5485220000000002</v>
      </c>
      <c r="M1105" s="187" t="s">
        <v>293</v>
      </c>
      <c r="N1105" s="187">
        <v>237.97403299999999</v>
      </c>
      <c r="O1105" s="186">
        <f t="shared" si="52"/>
        <v>1558.378190529226</v>
      </c>
      <c r="P1105" s="186">
        <f t="shared" si="53"/>
        <v>513.13954388547836</v>
      </c>
      <c r="Q1105" s="215">
        <f>IF(P1105="-",0,P1105/(1+'General inputs'!$H$30)^'MP Calculations'!$C$40)</f>
        <v>1139.8312271560974</v>
      </c>
    </row>
    <row r="1106" spans="3:17">
      <c r="C1106" s="159"/>
      <c r="D1106" s="165" t="s">
        <v>282</v>
      </c>
      <c r="E1106" s="162">
        <v>34047</v>
      </c>
      <c r="F1106" s="166" t="str">
        <f t="shared" si="51"/>
        <v>Date check - OK</v>
      </c>
      <c r="G1106" s="68"/>
      <c r="H1106" s="162" t="s">
        <v>280</v>
      </c>
      <c r="I1106" s="173">
        <v>21853.086195380012</v>
      </c>
      <c r="J1106" s="168">
        <f>IFERROR(MIN('MP Calculations'!$E$30/I1106,1),"-")</f>
        <v>0.32927792945511891</v>
      </c>
      <c r="K1106" s="12"/>
      <c r="L1106" s="159">
        <v>30.087503000000002</v>
      </c>
      <c r="M1106" s="187" t="s">
        <v>293</v>
      </c>
      <c r="N1106" s="187">
        <v>237.97403299999999</v>
      </c>
      <c r="O1106" s="186">
        <f t="shared" si="52"/>
        <v>7160.0444318095988</v>
      </c>
      <c r="P1106" s="186">
        <f t="shared" si="53"/>
        <v>2357.644605312918</v>
      </c>
      <c r="Q1106" s="215">
        <f>IF(P1106="-",0,P1106/(1+'General inputs'!$H$30)^'MP Calculations'!$C$40)</f>
        <v>5237.0100408233739</v>
      </c>
    </row>
    <row r="1107" spans="3:17">
      <c r="C1107" s="159"/>
      <c r="D1107" s="165" t="s">
        <v>282</v>
      </c>
      <c r="E1107" s="162">
        <v>34047</v>
      </c>
      <c r="F1107" s="166" t="str">
        <f t="shared" si="51"/>
        <v>Date check - OK</v>
      </c>
      <c r="G1107" s="68"/>
      <c r="H1107" s="162" t="s">
        <v>280</v>
      </c>
      <c r="I1107" s="173">
        <v>21853.086195380012</v>
      </c>
      <c r="J1107" s="168">
        <f>IFERROR(MIN('MP Calculations'!$E$30/I1107,1),"-")</f>
        <v>0.32927792945511891</v>
      </c>
      <c r="K1107" s="12"/>
      <c r="L1107" s="159">
        <v>7.6596000000000002</v>
      </c>
      <c r="M1107" s="187" t="s">
        <v>293</v>
      </c>
      <c r="N1107" s="187">
        <v>237.97403299999999</v>
      </c>
      <c r="O1107" s="186">
        <f t="shared" si="52"/>
        <v>1822.7859031667999</v>
      </c>
      <c r="P1107" s="186">
        <f t="shared" si="53"/>
        <v>600.2031680347427</v>
      </c>
      <c r="Q1107" s="215">
        <f>IF(P1107="-",0,P1107/(1+'General inputs'!$H$30)^'MP Calculations'!$C$40)</f>
        <v>1333.2246982639506</v>
      </c>
    </row>
    <row r="1108" spans="3:17">
      <c r="C1108" s="159"/>
      <c r="D1108" s="165" t="s">
        <v>282</v>
      </c>
      <c r="E1108" s="162">
        <v>34047</v>
      </c>
      <c r="F1108" s="166" t="str">
        <f t="shared" si="51"/>
        <v>Date check - OK</v>
      </c>
      <c r="G1108" s="68"/>
      <c r="H1108" s="162" t="s">
        <v>280</v>
      </c>
      <c r="I1108" s="173">
        <v>21853.086195380012</v>
      </c>
      <c r="J1108" s="168">
        <f>IFERROR(MIN('MP Calculations'!$E$30/I1108,1),"-")</f>
        <v>0.32927792945511891</v>
      </c>
      <c r="K1108" s="12"/>
      <c r="L1108" s="159">
        <v>102.187229</v>
      </c>
      <c r="M1108" s="187" t="s">
        <v>293</v>
      </c>
      <c r="N1108" s="187">
        <v>237.97403299999999</v>
      </c>
      <c r="O1108" s="186">
        <f t="shared" si="52"/>
        <v>24317.907006224556</v>
      </c>
      <c r="P1108" s="186">
        <f t="shared" si="53"/>
        <v>8007.3500676917511</v>
      </c>
      <c r="Q1108" s="215">
        <f>IF(P1108="-",0,P1108/(1+'General inputs'!$H$30)^'MP Calculations'!$C$40)</f>
        <v>17786.638669115127</v>
      </c>
    </row>
    <row r="1109" spans="3:17">
      <c r="C1109" s="159"/>
      <c r="D1109" s="165" t="s">
        <v>282</v>
      </c>
      <c r="E1109" s="162">
        <v>34047</v>
      </c>
      <c r="F1109" s="166" t="str">
        <f t="shared" si="51"/>
        <v>Date check - OK</v>
      </c>
      <c r="G1109" s="68"/>
      <c r="H1109" s="162" t="s">
        <v>280</v>
      </c>
      <c r="I1109" s="173">
        <v>21853.086195380012</v>
      </c>
      <c r="J1109" s="168">
        <f>IFERROR(MIN('MP Calculations'!$E$30/I1109,1),"-")</f>
        <v>0.32927792945511891</v>
      </c>
      <c r="K1109" s="12"/>
      <c r="L1109" s="159">
        <v>11.847687000000001</v>
      </c>
      <c r="M1109" s="187" t="s">
        <v>293</v>
      </c>
      <c r="N1109" s="187">
        <v>237.97403299999999</v>
      </c>
      <c r="O1109" s="186">
        <f t="shared" si="52"/>
        <v>2819.4418571116712</v>
      </c>
      <c r="P1109" s="186">
        <f t="shared" si="53"/>
        <v>928.3799769288263</v>
      </c>
      <c r="Q1109" s="215">
        <f>IF(P1109="-",0,P1109/(1+'General inputs'!$H$30)^'MP Calculations'!$C$40)</f>
        <v>2062.2002357434767</v>
      </c>
    </row>
    <row r="1110" spans="3:17">
      <c r="C1110" s="159"/>
      <c r="D1110" s="165" t="s">
        <v>282</v>
      </c>
      <c r="E1110" s="162">
        <v>34047</v>
      </c>
      <c r="F1110" s="166" t="str">
        <f t="shared" si="51"/>
        <v>Date check - OK</v>
      </c>
      <c r="G1110" s="68"/>
      <c r="H1110" s="162" t="s">
        <v>280</v>
      </c>
      <c r="I1110" s="173">
        <v>21853.086195380012</v>
      </c>
      <c r="J1110" s="168">
        <f>IFERROR(MIN('MP Calculations'!$E$30/I1110,1),"-")</f>
        <v>0.32927792945511891</v>
      </c>
      <c r="K1110" s="12"/>
      <c r="L1110" s="159">
        <v>3.5999970000000001</v>
      </c>
      <c r="M1110" s="187" t="s">
        <v>293</v>
      </c>
      <c r="N1110" s="187">
        <v>237.97403299999999</v>
      </c>
      <c r="O1110" s="186">
        <f t="shared" si="52"/>
        <v>856.70580487790096</v>
      </c>
      <c r="P1110" s="186">
        <f t="shared" si="53"/>
        <v>282.09431358237634</v>
      </c>
      <c r="Q1110" s="215">
        <f>IF(P1110="-",0,P1110/(1+'General inputs'!$H$30)^'MP Calculations'!$C$40)</f>
        <v>626.61299729439236</v>
      </c>
    </row>
    <row r="1111" spans="3:17">
      <c r="C1111" s="159"/>
      <c r="D1111" s="165" t="s">
        <v>282</v>
      </c>
      <c r="E1111" s="162">
        <v>34047</v>
      </c>
      <c r="F1111" s="166" t="str">
        <f t="shared" ref="F1111:F1154" si="54">IF(E1111="","-",IF(OR(E1111&lt;$E$15,E1111&gt;$E$16),"ERROR - date outside of range","Date check - OK"))</f>
        <v>Date check - OK</v>
      </c>
      <c r="G1111" s="68"/>
      <c r="H1111" s="162" t="s">
        <v>280</v>
      </c>
      <c r="I1111" s="173">
        <v>21853.086195380012</v>
      </c>
      <c r="J1111" s="168">
        <f>IFERROR(MIN('MP Calculations'!$E$30/I1111,1),"-")</f>
        <v>0.32927792945511891</v>
      </c>
      <c r="K1111" s="12"/>
      <c r="L1111" s="159">
        <v>0.40005200000000002</v>
      </c>
      <c r="M1111" s="187" t="s">
        <v>293</v>
      </c>
      <c r="N1111" s="187">
        <v>237.97403299999999</v>
      </c>
      <c r="O1111" s="186">
        <f t="shared" ref="O1111:O1154" si="55">IF(N1111="","-",L1111*N1111)</f>
        <v>95.201987849716005</v>
      </c>
      <c r="P1111" s="186">
        <f t="shared" ref="P1111:P1154" si="56">IF(O1111="-","-",IF(OR(E1111&lt;$E$15,E1111&gt;$E$16),0,O1111*J1111))</f>
        <v>31.347913439165875</v>
      </c>
      <c r="Q1111" s="215">
        <f>IF(P1111="-",0,P1111/(1+'General inputs'!$H$30)^'MP Calculations'!$C$40)</f>
        <v>69.632775469984082</v>
      </c>
    </row>
    <row r="1112" spans="3:17">
      <c r="C1112" s="159"/>
      <c r="D1112" s="165" t="s">
        <v>282</v>
      </c>
      <c r="E1112" s="162">
        <v>34047</v>
      </c>
      <c r="F1112" s="166" t="str">
        <f t="shared" si="54"/>
        <v>Date check - OK</v>
      </c>
      <c r="G1112" s="68"/>
      <c r="H1112" s="162" t="s">
        <v>280</v>
      </c>
      <c r="I1112" s="173">
        <v>21853.086195380012</v>
      </c>
      <c r="J1112" s="168">
        <f>IFERROR(MIN('MP Calculations'!$E$30/I1112,1),"-")</f>
        <v>0.32927792945511891</v>
      </c>
      <c r="K1112" s="12"/>
      <c r="L1112" s="159">
        <v>2.3970950000000002</v>
      </c>
      <c r="M1112" s="187" t="s">
        <v>293</v>
      </c>
      <c r="N1112" s="187">
        <v>237.97403299999999</v>
      </c>
      <c r="O1112" s="186">
        <f t="shared" si="55"/>
        <v>570.44636463413508</v>
      </c>
      <c r="P1112" s="186">
        <f t="shared" si="56"/>
        <v>187.83539781192778</v>
      </c>
      <c r="Q1112" s="215">
        <f>IF(P1112="-",0,P1112/(1+'General inputs'!$H$30)^'MP Calculations'!$C$40)</f>
        <v>417.23670401653163</v>
      </c>
    </row>
    <row r="1113" spans="3:17">
      <c r="C1113" s="159"/>
      <c r="D1113" s="165" t="s">
        <v>282</v>
      </c>
      <c r="E1113" s="162">
        <v>34047</v>
      </c>
      <c r="F1113" s="166" t="str">
        <f t="shared" si="54"/>
        <v>Date check - OK</v>
      </c>
      <c r="G1113" s="68"/>
      <c r="H1113" s="162" t="s">
        <v>280</v>
      </c>
      <c r="I1113" s="173">
        <v>21853.086195380012</v>
      </c>
      <c r="J1113" s="168">
        <f>IFERROR(MIN('MP Calculations'!$E$30/I1113,1),"-")</f>
        <v>0.32927792945511891</v>
      </c>
      <c r="K1113" s="12"/>
      <c r="L1113" s="159">
        <v>1.102889</v>
      </c>
      <c r="M1113" s="187" t="s">
        <v>293</v>
      </c>
      <c r="N1113" s="187">
        <v>237.97403299999999</v>
      </c>
      <c r="O1113" s="186">
        <f t="shared" si="55"/>
        <v>262.45894328133699</v>
      </c>
      <c r="P1113" s="186">
        <f t="shared" si="56"/>
        <v>86.421937410657137</v>
      </c>
      <c r="Q1113" s="215">
        <f>IF(P1113="-",0,P1113/(1+'General inputs'!$H$30)^'MP Calculations'!$C$40)</f>
        <v>191.9680994103648</v>
      </c>
    </row>
    <row r="1114" spans="3:17">
      <c r="C1114" s="159"/>
      <c r="D1114" s="165" t="s">
        <v>283</v>
      </c>
      <c r="E1114" s="162">
        <v>34150</v>
      </c>
      <c r="F1114" s="166" t="str">
        <f t="shared" si="54"/>
        <v>Date check - OK</v>
      </c>
      <c r="G1114" s="68"/>
      <c r="H1114" s="162" t="s">
        <v>280</v>
      </c>
      <c r="I1114" s="173">
        <v>21853.086195380012</v>
      </c>
      <c r="J1114" s="168">
        <f>IFERROR(MIN('MP Calculations'!$E$30/I1114,1),"-")</f>
        <v>0.32927792945511891</v>
      </c>
      <c r="K1114" s="12"/>
      <c r="L1114" s="159">
        <v>128.67283699999999</v>
      </c>
      <c r="M1114" s="187" t="s">
        <v>293</v>
      </c>
      <c r="N1114" s="187">
        <v>192.78728599999999</v>
      </c>
      <c r="O1114" s="186">
        <f t="shared" si="55"/>
        <v>24806.487027150379</v>
      </c>
      <c r="P1114" s="186">
        <f t="shared" si="56"/>
        <v>8168.2286853553451</v>
      </c>
      <c r="Q1114" s="215">
        <f>IF(P1114="-",0,P1114/(1+'General inputs'!$H$30)^'MP Calculations'!$C$40)</f>
        <v>18143.996573762593</v>
      </c>
    </row>
    <row r="1115" spans="3:17">
      <c r="C1115" s="159"/>
      <c r="D1115" s="165" t="s">
        <v>283</v>
      </c>
      <c r="E1115" s="162">
        <v>34150</v>
      </c>
      <c r="F1115" s="166" t="str">
        <f t="shared" si="54"/>
        <v>Date check - OK</v>
      </c>
      <c r="G1115" s="68"/>
      <c r="H1115" s="162" t="s">
        <v>280</v>
      </c>
      <c r="I1115" s="173">
        <v>21853.086195380012</v>
      </c>
      <c r="J1115" s="168">
        <f>IFERROR(MIN('MP Calculations'!$E$30/I1115,1),"-")</f>
        <v>0.32927792945511891</v>
      </c>
      <c r="K1115" s="12"/>
      <c r="L1115" s="159">
        <v>0.50052799999999997</v>
      </c>
      <c r="M1115" s="187" t="s">
        <v>293</v>
      </c>
      <c r="N1115" s="187">
        <v>192.78728599999999</v>
      </c>
      <c r="O1115" s="186">
        <f t="shared" si="55"/>
        <v>96.495434687007986</v>
      </c>
      <c r="P1115" s="186">
        <f t="shared" si="56"/>
        <v>31.773816935609648</v>
      </c>
      <c r="Q1115" s="215">
        <f>IF(P1115="-",0,P1115/(1+'General inputs'!$H$30)^'MP Calculations'!$C$40)</f>
        <v>70.578830224068525</v>
      </c>
    </row>
    <row r="1116" spans="3:17">
      <c r="C1116" s="159"/>
      <c r="D1116" s="165" t="s">
        <v>283</v>
      </c>
      <c r="E1116" s="162">
        <v>34150</v>
      </c>
      <c r="F1116" s="166" t="str">
        <f t="shared" si="54"/>
        <v>Date check - OK</v>
      </c>
      <c r="G1116" s="68"/>
      <c r="H1116" s="162" t="s">
        <v>280</v>
      </c>
      <c r="I1116" s="173">
        <v>21853.086195380012</v>
      </c>
      <c r="J1116" s="168">
        <f>IFERROR(MIN('MP Calculations'!$E$30/I1116,1),"-")</f>
        <v>0.32927792945511891</v>
      </c>
      <c r="K1116" s="12"/>
      <c r="L1116" s="159">
        <v>148.04415599999999</v>
      </c>
      <c r="M1116" s="187" t="s">
        <v>293</v>
      </c>
      <c r="N1116" s="187">
        <v>192.78728599999999</v>
      </c>
      <c r="O1116" s="186">
        <f t="shared" si="55"/>
        <v>28541.031043400613</v>
      </c>
      <c r="P1116" s="186">
        <f t="shared" si="56"/>
        <v>9397.9316064852264</v>
      </c>
      <c r="Q1116" s="215">
        <f>IF(P1116="-",0,P1116/(1+'General inputs'!$H$30)^'MP Calculations'!$C$40)</f>
        <v>20875.522152585901</v>
      </c>
    </row>
    <row r="1117" spans="3:17">
      <c r="C1117" s="159"/>
      <c r="D1117" s="165" t="s">
        <v>283</v>
      </c>
      <c r="E1117" s="162">
        <v>34150</v>
      </c>
      <c r="F1117" s="166" t="str">
        <f t="shared" si="54"/>
        <v>Date check - OK</v>
      </c>
      <c r="G1117" s="68"/>
      <c r="H1117" s="162" t="s">
        <v>280</v>
      </c>
      <c r="I1117" s="173">
        <v>21853.086195380012</v>
      </c>
      <c r="J1117" s="168">
        <f>IFERROR(MIN('MP Calculations'!$E$30/I1117,1),"-")</f>
        <v>0.32927792945511891</v>
      </c>
      <c r="K1117" s="12"/>
      <c r="L1117" s="159">
        <v>40.907992</v>
      </c>
      <c r="M1117" s="187" t="s">
        <v>293</v>
      </c>
      <c r="N1117" s="187">
        <v>192.78728599999999</v>
      </c>
      <c r="O1117" s="186">
        <f t="shared" si="55"/>
        <v>7886.5407533897114</v>
      </c>
      <c r="P1117" s="186">
        <f t="shared" si="56"/>
        <v>2596.8638098395777</v>
      </c>
      <c r="Q1117" s="215">
        <f>IF(P1117="-",0,P1117/(1+'General inputs'!$H$30)^'MP Calculations'!$C$40)</f>
        <v>5768.3850297596809</v>
      </c>
    </row>
    <row r="1118" spans="3:17">
      <c r="C1118" s="159"/>
      <c r="D1118" s="165" t="s">
        <v>283</v>
      </c>
      <c r="E1118" s="162">
        <v>34150</v>
      </c>
      <c r="F1118" s="166" t="str">
        <f t="shared" si="54"/>
        <v>Date check - OK</v>
      </c>
      <c r="G1118" s="68"/>
      <c r="H1118" s="162" t="s">
        <v>280</v>
      </c>
      <c r="I1118" s="173">
        <v>21853.086195380012</v>
      </c>
      <c r="J1118" s="168">
        <f>IFERROR(MIN('MP Calculations'!$E$30/I1118,1),"-")</f>
        <v>0.32927792945511891</v>
      </c>
      <c r="K1118" s="12"/>
      <c r="L1118" s="159">
        <v>0.49954500000000002</v>
      </c>
      <c r="M1118" s="187" t="s">
        <v>293</v>
      </c>
      <c r="N1118" s="187">
        <v>192.78728599999999</v>
      </c>
      <c r="O1118" s="186">
        <f t="shared" si="55"/>
        <v>96.305924784870001</v>
      </c>
      <c r="P1118" s="186">
        <f t="shared" si="56"/>
        <v>31.711415507422412</v>
      </c>
      <c r="Q1118" s="215">
        <f>IF(P1118="-",0,P1118/(1+'General inputs'!$H$30)^'MP Calculations'!$C$40)</f>
        <v>70.440218617704346</v>
      </c>
    </row>
    <row r="1119" spans="3:17">
      <c r="C1119" s="159"/>
      <c r="D1119" s="165" t="s">
        <v>283</v>
      </c>
      <c r="E1119" s="162">
        <v>34150</v>
      </c>
      <c r="F1119" s="166" t="str">
        <f t="shared" si="54"/>
        <v>Date check - OK</v>
      </c>
      <c r="G1119" s="68"/>
      <c r="H1119" s="162" t="s">
        <v>280</v>
      </c>
      <c r="I1119" s="173">
        <v>21853.086195380012</v>
      </c>
      <c r="J1119" s="168">
        <f>IFERROR(MIN('MP Calculations'!$E$30/I1119,1),"-")</f>
        <v>0.32927792945511891</v>
      </c>
      <c r="K1119" s="12"/>
      <c r="L1119" s="159">
        <v>22.965330999999999</v>
      </c>
      <c r="M1119" s="187" t="s">
        <v>293</v>
      </c>
      <c r="N1119" s="187">
        <v>192.78728599999999</v>
      </c>
      <c r="O1119" s="186">
        <f t="shared" si="55"/>
        <v>4427.423835581666</v>
      </c>
      <c r="P1119" s="186">
        <f t="shared" si="56"/>
        <v>1457.8529534005718</v>
      </c>
      <c r="Q1119" s="215">
        <f>IF(P1119="-",0,P1119/(1+'General inputs'!$H$30)^'MP Calculations'!$C$40)</f>
        <v>3238.3127371266705</v>
      </c>
    </row>
    <row r="1120" spans="3:17">
      <c r="C1120" s="159"/>
      <c r="D1120" s="165" t="s">
        <v>283</v>
      </c>
      <c r="E1120" s="162">
        <v>34150</v>
      </c>
      <c r="F1120" s="166" t="str">
        <f t="shared" si="54"/>
        <v>Date check - OK</v>
      </c>
      <c r="G1120" s="68"/>
      <c r="H1120" s="162" t="s">
        <v>280</v>
      </c>
      <c r="I1120" s="173">
        <v>21853.086195380012</v>
      </c>
      <c r="J1120" s="168">
        <f>IFERROR(MIN('MP Calculations'!$E$30/I1120,1),"-")</f>
        <v>0.32927792945511891</v>
      </c>
      <c r="K1120" s="12"/>
      <c r="L1120" s="159">
        <v>0.49966100000000002</v>
      </c>
      <c r="M1120" s="187" t="s">
        <v>293</v>
      </c>
      <c r="N1120" s="187">
        <v>192.78728599999999</v>
      </c>
      <c r="O1120" s="186">
        <f t="shared" si="55"/>
        <v>96.328288110046003</v>
      </c>
      <c r="P1120" s="186">
        <f t="shared" si="56"/>
        <v>31.718779256832097</v>
      </c>
      <c r="Q1120" s="215">
        <f>IF(P1120="-",0,P1120/(1+'General inputs'!$H$30)^'MP Calculations'!$C$40)</f>
        <v>70.45657563330785</v>
      </c>
    </row>
    <row r="1121" spans="3:17">
      <c r="C1121" s="159"/>
      <c r="D1121" s="165" t="s">
        <v>283</v>
      </c>
      <c r="E1121" s="162">
        <v>34150</v>
      </c>
      <c r="F1121" s="166" t="str">
        <f t="shared" si="54"/>
        <v>Date check - OK</v>
      </c>
      <c r="G1121" s="68"/>
      <c r="H1121" s="162" t="s">
        <v>280</v>
      </c>
      <c r="I1121" s="173">
        <v>21853.086195380012</v>
      </c>
      <c r="J1121" s="168">
        <f>IFERROR(MIN('MP Calculations'!$E$30/I1121,1),"-")</f>
        <v>0.32927792945511891</v>
      </c>
      <c r="K1121" s="12"/>
      <c r="L1121" s="159">
        <v>4.9987360000000001</v>
      </c>
      <c r="M1121" s="187" t="s">
        <v>293</v>
      </c>
      <c r="N1121" s="187">
        <v>192.78728599999999</v>
      </c>
      <c r="O1121" s="186">
        <f t="shared" si="55"/>
        <v>963.69274687049597</v>
      </c>
      <c r="P1121" s="186">
        <f t="shared" si="56"/>
        <v>317.32275232043293</v>
      </c>
      <c r="Q1121" s="215">
        <f>IF(P1121="-",0,P1121/(1+'General inputs'!$H$30)^'MP Calculations'!$C$40)</f>
        <v>704.86554094663927</v>
      </c>
    </row>
    <row r="1122" spans="3:17">
      <c r="C1122" s="159"/>
      <c r="D1122" s="165" t="s">
        <v>283</v>
      </c>
      <c r="E1122" s="162">
        <v>34150</v>
      </c>
      <c r="F1122" s="166" t="str">
        <f t="shared" si="54"/>
        <v>Date check - OK</v>
      </c>
      <c r="G1122" s="68"/>
      <c r="H1122" s="162" t="s">
        <v>280</v>
      </c>
      <c r="I1122" s="173">
        <v>21853.086195380012</v>
      </c>
      <c r="J1122" s="168">
        <f>IFERROR(MIN('MP Calculations'!$E$30/I1122,1),"-")</f>
        <v>0.32927792945511891</v>
      </c>
      <c r="K1122" s="12"/>
      <c r="L1122" s="159">
        <v>23.990838</v>
      </c>
      <c r="M1122" s="187" t="s">
        <v>293</v>
      </c>
      <c r="N1122" s="187">
        <v>192.78728599999999</v>
      </c>
      <c r="O1122" s="186">
        <f t="shared" si="55"/>
        <v>4625.1285468856677</v>
      </c>
      <c r="P1122" s="186">
        <f t="shared" si="56"/>
        <v>1522.9527513822754</v>
      </c>
      <c r="Q1122" s="215">
        <f>IF(P1122="-",0,P1122/(1+'General inputs'!$H$30)^'MP Calculations'!$C$40)</f>
        <v>3382.9182026482667</v>
      </c>
    </row>
    <row r="1123" spans="3:17">
      <c r="C1123" s="159"/>
      <c r="D1123" s="165" t="s">
        <v>283</v>
      </c>
      <c r="E1123" s="162">
        <v>34150</v>
      </c>
      <c r="F1123" s="166" t="str">
        <f t="shared" si="54"/>
        <v>Date check - OK</v>
      </c>
      <c r="G1123" s="68"/>
      <c r="H1123" s="162" t="s">
        <v>280</v>
      </c>
      <c r="I1123" s="173">
        <v>21853.086195380012</v>
      </c>
      <c r="J1123" s="168">
        <f>IFERROR(MIN('MP Calculations'!$E$30/I1123,1),"-")</f>
        <v>0.32927792945511891</v>
      </c>
      <c r="K1123" s="12"/>
      <c r="L1123" s="159">
        <v>20.715606000000001</v>
      </c>
      <c r="M1123" s="187" t="s">
        <v>293</v>
      </c>
      <c r="N1123" s="187">
        <v>192.78728599999999</v>
      </c>
      <c r="O1123" s="186">
        <f t="shared" si="55"/>
        <v>3993.7054585853161</v>
      </c>
      <c r="P1123" s="186">
        <f t="shared" si="56"/>
        <v>1315.039064256579</v>
      </c>
      <c r="Q1123" s="215">
        <f>IF(P1123="-",0,P1123/(1+'General inputs'!$H$30)^'MP Calculations'!$C$40)</f>
        <v>2921.081815328404</v>
      </c>
    </row>
    <row r="1124" spans="3:17">
      <c r="C1124" s="159"/>
      <c r="D1124" s="165" t="s">
        <v>283</v>
      </c>
      <c r="E1124" s="162">
        <v>34150</v>
      </c>
      <c r="F1124" s="166" t="str">
        <f t="shared" si="54"/>
        <v>Date check - OK</v>
      </c>
      <c r="G1124" s="68"/>
      <c r="H1124" s="162" t="s">
        <v>280</v>
      </c>
      <c r="I1124" s="173">
        <v>21853.086195380012</v>
      </c>
      <c r="J1124" s="168">
        <f>IFERROR(MIN('MP Calculations'!$E$30/I1124,1),"-")</f>
        <v>0.32927792945511891</v>
      </c>
      <c r="K1124" s="12"/>
      <c r="L1124" s="159">
        <v>125.628339</v>
      </c>
      <c r="M1124" s="187" t="s">
        <v>293</v>
      </c>
      <c r="N1124" s="187">
        <v>192.78728599999999</v>
      </c>
      <c r="O1124" s="186">
        <f t="shared" si="55"/>
        <v>24219.546520497952</v>
      </c>
      <c r="P1124" s="186">
        <f t="shared" si="56"/>
        <v>7974.962130611495</v>
      </c>
      <c r="Q1124" s="215">
        <f>IF(P1124="-",0,P1124/(1+'General inputs'!$H$30)^'MP Calculations'!$C$40)</f>
        <v>17714.695700565655</v>
      </c>
    </row>
    <row r="1125" spans="3:17">
      <c r="C1125" s="159"/>
      <c r="D1125" s="165" t="s">
        <v>283</v>
      </c>
      <c r="E1125" s="162">
        <v>34150</v>
      </c>
      <c r="F1125" s="166" t="str">
        <f t="shared" si="54"/>
        <v>Date check - OK</v>
      </c>
      <c r="G1125" s="68"/>
      <c r="H1125" s="162" t="s">
        <v>280</v>
      </c>
      <c r="I1125" s="173">
        <v>21853.086195380012</v>
      </c>
      <c r="J1125" s="168">
        <f>IFERROR(MIN('MP Calculations'!$E$30/I1125,1),"-")</f>
        <v>0.32927792945511891</v>
      </c>
      <c r="K1125" s="12"/>
      <c r="L1125" s="159">
        <v>4.838374</v>
      </c>
      <c r="M1125" s="187" t="s">
        <v>293</v>
      </c>
      <c r="N1125" s="187">
        <v>192.78728599999999</v>
      </c>
      <c r="O1125" s="186">
        <f t="shared" si="55"/>
        <v>932.77699211296397</v>
      </c>
      <c r="P1125" s="186">
        <f t="shared" si="56"/>
        <v>307.14287660633056</v>
      </c>
      <c r="Q1125" s="215">
        <f>IF(P1125="-",0,P1125/(1+'General inputs'!$H$30)^'MP Calculations'!$C$40)</f>
        <v>682.25309494483304</v>
      </c>
    </row>
    <row r="1126" spans="3:17">
      <c r="C1126" s="159"/>
      <c r="D1126" s="165" t="s">
        <v>283</v>
      </c>
      <c r="E1126" s="162">
        <v>34150</v>
      </c>
      <c r="F1126" s="166" t="str">
        <f t="shared" si="54"/>
        <v>Date check - OK</v>
      </c>
      <c r="G1126" s="68"/>
      <c r="H1126" s="162" t="s">
        <v>280</v>
      </c>
      <c r="I1126" s="173">
        <v>21853.086195380012</v>
      </c>
      <c r="J1126" s="168">
        <f>IFERROR(MIN('MP Calculations'!$E$30/I1126,1),"-")</f>
        <v>0.32927792945511891</v>
      </c>
      <c r="K1126" s="12"/>
      <c r="L1126" s="159">
        <v>42.652777999999998</v>
      </c>
      <c r="M1126" s="187" t="s">
        <v>293</v>
      </c>
      <c r="N1126" s="187">
        <v>192.78728599999999</v>
      </c>
      <c r="O1126" s="186">
        <f t="shared" si="55"/>
        <v>8222.913310980508</v>
      </c>
      <c r="P1126" s="186">
        <f t="shared" si="56"/>
        <v>2707.623869128598</v>
      </c>
      <c r="Q1126" s="215">
        <f>IF(P1126="-",0,P1126/(1+'General inputs'!$H$30)^'MP Calculations'!$C$40)</f>
        <v>6014.4151317146807</v>
      </c>
    </row>
    <row r="1127" spans="3:17">
      <c r="C1127" s="159"/>
      <c r="D1127" s="165" t="s">
        <v>283</v>
      </c>
      <c r="E1127" s="162">
        <v>34150</v>
      </c>
      <c r="F1127" s="166" t="str">
        <f t="shared" si="54"/>
        <v>Date check - OK</v>
      </c>
      <c r="G1127" s="68"/>
      <c r="H1127" s="162" t="s">
        <v>280</v>
      </c>
      <c r="I1127" s="173">
        <v>21853.086195380012</v>
      </c>
      <c r="J1127" s="168">
        <f>IFERROR(MIN('MP Calculations'!$E$30/I1127,1),"-")</f>
        <v>0.32927792945511891</v>
      </c>
      <c r="K1127" s="12"/>
      <c r="L1127" s="159">
        <v>12.858791999999999</v>
      </c>
      <c r="M1127" s="187" t="s">
        <v>293</v>
      </c>
      <c r="N1127" s="187">
        <v>192.78728599999999</v>
      </c>
      <c r="O1127" s="186">
        <f t="shared" si="55"/>
        <v>2479.0116109185119</v>
      </c>
      <c r="P1127" s="186">
        <f t="shared" si="56"/>
        <v>816.28381033844641</v>
      </c>
      <c r="Q1127" s="215">
        <f>IF(P1127="-",0,P1127/(1+'General inputs'!$H$30)^'MP Calculations'!$C$40)</f>
        <v>1813.2022533297052</v>
      </c>
    </row>
    <row r="1128" spans="3:17">
      <c r="C1128" s="159"/>
      <c r="D1128" s="165" t="s">
        <v>283</v>
      </c>
      <c r="E1128" s="162">
        <v>34262</v>
      </c>
      <c r="F1128" s="166" t="str">
        <f t="shared" si="54"/>
        <v>Date check - OK</v>
      </c>
      <c r="G1128" s="68"/>
      <c r="H1128" s="162" t="s">
        <v>280</v>
      </c>
      <c r="I1128" s="173">
        <v>21853.086195380012</v>
      </c>
      <c r="J1128" s="168">
        <f>IFERROR(MIN('MP Calculations'!$E$30/I1128,1),"-")</f>
        <v>0.32927792945511891</v>
      </c>
      <c r="K1128" s="12"/>
      <c r="L1128" s="159">
        <v>16.591595999999999</v>
      </c>
      <c r="M1128" s="187" t="s">
        <v>293</v>
      </c>
      <c r="N1128" s="187">
        <v>192.78728599999999</v>
      </c>
      <c r="O1128" s="186">
        <f t="shared" si="55"/>
        <v>3198.6487632484559</v>
      </c>
      <c r="P1128" s="186">
        <f t="shared" si="56"/>
        <v>1053.2444418166285</v>
      </c>
      <c r="Q1128" s="215">
        <f>IF(P1128="-",0,P1128/(1+'General inputs'!$H$30)^'MP Calculations'!$C$40)</f>
        <v>2339.5602987851521</v>
      </c>
    </row>
    <row r="1129" spans="3:17">
      <c r="C1129" s="159"/>
      <c r="D1129" s="165" t="s">
        <v>292</v>
      </c>
      <c r="E1129" s="162">
        <v>34296</v>
      </c>
      <c r="F1129" s="166" t="str">
        <f t="shared" si="54"/>
        <v>Date check - OK</v>
      </c>
      <c r="G1129" s="68"/>
      <c r="H1129" s="162" t="s">
        <v>280</v>
      </c>
      <c r="I1129" s="173">
        <v>21853.086195380012</v>
      </c>
      <c r="J1129" s="168">
        <f>IFERROR(MIN('MP Calculations'!$E$30/I1129,1),"-")</f>
        <v>0.32927792945511891</v>
      </c>
      <c r="K1129" s="12"/>
      <c r="L1129" s="159">
        <v>62.530369999999998</v>
      </c>
      <c r="M1129" s="187" t="s">
        <v>293</v>
      </c>
      <c r="N1129" s="187">
        <v>297.51652200000001</v>
      </c>
      <c r="O1129" s="186">
        <f t="shared" si="55"/>
        <v>18603.818201773141</v>
      </c>
      <c r="P1129" s="186">
        <f t="shared" si="56"/>
        <v>6125.8267374393135</v>
      </c>
      <c r="Q1129" s="215">
        <f>IF(P1129="-",0,P1129/(1+'General inputs'!$H$30)^'MP Calculations'!$C$40)</f>
        <v>13607.231581901644</v>
      </c>
    </row>
    <row r="1130" spans="3:17">
      <c r="C1130" s="159"/>
      <c r="D1130" s="165" t="s">
        <v>292</v>
      </c>
      <c r="E1130" s="162">
        <v>34296</v>
      </c>
      <c r="F1130" s="166" t="str">
        <f t="shared" si="54"/>
        <v>Date check - OK</v>
      </c>
      <c r="G1130" s="68"/>
      <c r="H1130" s="162" t="s">
        <v>280</v>
      </c>
      <c r="I1130" s="173">
        <v>21853.086195380012</v>
      </c>
      <c r="J1130" s="168">
        <f>IFERROR(MIN('MP Calculations'!$E$30/I1130,1),"-")</f>
        <v>0.32927792945511891</v>
      </c>
      <c r="K1130" s="12"/>
      <c r="L1130" s="159">
        <v>172.59705700000001</v>
      </c>
      <c r="M1130" s="187" t="s">
        <v>293</v>
      </c>
      <c r="N1130" s="187">
        <v>297.51652200000001</v>
      </c>
      <c r="O1130" s="186">
        <f t="shared" si="55"/>
        <v>51350.476106075759</v>
      </c>
      <c r="P1130" s="186">
        <f t="shared" si="56"/>
        <v>16908.578448743185</v>
      </c>
      <c r="Q1130" s="215">
        <f>IF(P1130="-",0,P1130/(1+'General inputs'!$H$30)^'MP Calculations'!$C$40)</f>
        <v>37558.839408013715</v>
      </c>
    </row>
    <row r="1131" spans="3:17">
      <c r="C1131" s="159"/>
      <c r="D1131" s="165" t="s">
        <v>292</v>
      </c>
      <c r="E1131" s="162">
        <v>34296</v>
      </c>
      <c r="F1131" s="166" t="str">
        <f t="shared" si="54"/>
        <v>Date check - OK</v>
      </c>
      <c r="G1131" s="68"/>
      <c r="H1131" s="162" t="s">
        <v>280</v>
      </c>
      <c r="I1131" s="173">
        <v>21853.086195380012</v>
      </c>
      <c r="J1131" s="168">
        <f>IFERROR(MIN('MP Calculations'!$E$30/I1131,1),"-")</f>
        <v>0.32927792945511891</v>
      </c>
      <c r="K1131" s="12"/>
      <c r="L1131" s="159">
        <v>2.999393</v>
      </c>
      <c r="M1131" s="187" t="s">
        <v>293</v>
      </c>
      <c r="N1131" s="187">
        <v>297.51652200000001</v>
      </c>
      <c r="O1131" s="186">
        <f t="shared" si="55"/>
        <v>892.36897347114598</v>
      </c>
      <c r="P1131" s="186">
        <f t="shared" si="56"/>
        <v>293.83740789456891</v>
      </c>
      <c r="Q1131" s="215">
        <f>IF(P1131="-",0,P1131/(1+'General inputs'!$H$30)^'MP Calculations'!$C$40)</f>
        <v>652.69780358143919</v>
      </c>
    </row>
    <row r="1132" spans="3:17">
      <c r="C1132" s="159"/>
      <c r="D1132" s="165" t="s">
        <v>292</v>
      </c>
      <c r="E1132" s="162">
        <v>34296</v>
      </c>
      <c r="F1132" s="166" t="str">
        <f t="shared" si="54"/>
        <v>Date check - OK</v>
      </c>
      <c r="G1132" s="68"/>
      <c r="H1132" s="162" t="s">
        <v>280</v>
      </c>
      <c r="I1132" s="173">
        <v>21853.086195380012</v>
      </c>
      <c r="J1132" s="168">
        <f>IFERROR(MIN('MP Calculations'!$E$30/I1132,1),"-")</f>
        <v>0.32927792945511891</v>
      </c>
      <c r="K1132" s="12"/>
      <c r="L1132" s="159">
        <v>38.744816999999998</v>
      </c>
      <c r="M1132" s="187" t="s">
        <v>293</v>
      </c>
      <c r="N1132" s="187">
        <v>297.51652200000001</v>
      </c>
      <c r="O1132" s="186">
        <f t="shared" si="55"/>
        <v>11527.223199366474</v>
      </c>
      <c r="P1132" s="186">
        <f t="shared" si="56"/>
        <v>3795.660187454404</v>
      </c>
      <c r="Q1132" s="215">
        <f>IF(P1132="-",0,P1132/(1+'General inputs'!$H$30)^'MP Calculations'!$C$40)</f>
        <v>8431.2582432728232</v>
      </c>
    </row>
    <row r="1133" spans="3:17">
      <c r="C1133" s="159"/>
      <c r="D1133" s="165" t="s">
        <v>292</v>
      </c>
      <c r="E1133" s="162">
        <v>34296</v>
      </c>
      <c r="F1133" s="166" t="str">
        <f t="shared" si="54"/>
        <v>Date check - OK</v>
      </c>
      <c r="G1133" s="68"/>
      <c r="H1133" s="162" t="s">
        <v>280</v>
      </c>
      <c r="I1133" s="173">
        <v>21853.086195380012</v>
      </c>
      <c r="J1133" s="168">
        <f>IFERROR(MIN('MP Calculations'!$E$30/I1133,1),"-")</f>
        <v>0.32927792945511891</v>
      </c>
      <c r="K1133" s="12"/>
      <c r="L1133" s="159">
        <v>189.05939499999999</v>
      </c>
      <c r="M1133" s="187" t="s">
        <v>293</v>
      </c>
      <c r="N1133" s="187">
        <v>297.51652200000001</v>
      </c>
      <c r="O1133" s="186">
        <f t="shared" si="55"/>
        <v>56248.293651824191</v>
      </c>
      <c r="P1133" s="186">
        <f t="shared" si="56"/>
        <v>18521.321669056179</v>
      </c>
      <c r="Q1133" s="215">
        <f>IF(P1133="-",0,P1133/(1+'General inputs'!$H$30)^'MP Calculations'!$C$40)</f>
        <v>41141.208192102771</v>
      </c>
    </row>
    <row r="1134" spans="3:17">
      <c r="C1134" s="159"/>
      <c r="D1134" s="165" t="s">
        <v>292</v>
      </c>
      <c r="E1134" s="162">
        <v>34296</v>
      </c>
      <c r="F1134" s="166" t="str">
        <f t="shared" si="54"/>
        <v>Date check - OK</v>
      </c>
      <c r="G1134" s="68"/>
      <c r="H1134" s="162" t="s">
        <v>280</v>
      </c>
      <c r="I1134" s="173">
        <v>21853.086195380012</v>
      </c>
      <c r="J1134" s="168">
        <f>IFERROR(MIN('MP Calculations'!$E$30/I1134,1),"-")</f>
        <v>0.32927792945511891</v>
      </c>
      <c r="K1134" s="12"/>
      <c r="L1134" s="159">
        <v>0.36754500000000001</v>
      </c>
      <c r="M1134" s="187" t="s">
        <v>293</v>
      </c>
      <c r="N1134" s="187">
        <v>297.51652200000001</v>
      </c>
      <c r="O1134" s="186">
        <f t="shared" si="55"/>
        <v>109.35071007849001</v>
      </c>
      <c r="P1134" s="186">
        <f t="shared" si="56"/>
        <v>36.006775399092191</v>
      </c>
      <c r="Q1134" s="215">
        <f>IF(P1134="-",0,P1134/(1+'General inputs'!$H$30)^'MP Calculations'!$C$40)</f>
        <v>79.981454320037429</v>
      </c>
    </row>
    <row r="1135" spans="3:17">
      <c r="C1135" s="159"/>
      <c r="D1135" s="165" t="s">
        <v>292</v>
      </c>
      <c r="E1135" s="162">
        <v>34296</v>
      </c>
      <c r="F1135" s="166" t="str">
        <f t="shared" si="54"/>
        <v>Date check - OK</v>
      </c>
      <c r="G1135" s="68"/>
      <c r="H1135" s="162" t="s">
        <v>280</v>
      </c>
      <c r="I1135" s="173">
        <v>21853.086195380012</v>
      </c>
      <c r="J1135" s="168">
        <f>IFERROR(MIN('MP Calculations'!$E$30/I1135,1),"-")</f>
        <v>0.32927792945511891</v>
      </c>
      <c r="K1135" s="12"/>
      <c r="L1135" s="159">
        <v>2.2615889999999998</v>
      </c>
      <c r="M1135" s="187" t="s">
        <v>293</v>
      </c>
      <c r="N1135" s="187">
        <v>297.51652200000001</v>
      </c>
      <c r="O1135" s="186">
        <f t="shared" si="55"/>
        <v>672.86009347345794</v>
      </c>
      <c r="P1135" s="186">
        <f t="shared" si="56"/>
        <v>221.557978391918</v>
      </c>
      <c r="Q1135" s="215">
        <f>IF(P1135="-",0,P1135/(1+'General inputs'!$H$30)^'MP Calculations'!$C$40)</f>
        <v>492.14430149831753</v>
      </c>
    </row>
    <row r="1136" spans="3:17">
      <c r="C1136" s="159"/>
      <c r="D1136" s="165" t="s">
        <v>282</v>
      </c>
      <c r="E1136" s="162">
        <v>34296</v>
      </c>
      <c r="F1136" s="166" t="str">
        <f t="shared" si="54"/>
        <v>Date check - OK</v>
      </c>
      <c r="G1136" s="68"/>
      <c r="H1136" s="162" t="s">
        <v>280</v>
      </c>
      <c r="I1136" s="173">
        <v>21853.086195380012</v>
      </c>
      <c r="J1136" s="168">
        <f>IFERROR(MIN('MP Calculations'!$E$30/I1136,1),"-")</f>
        <v>0.32927792945511891</v>
      </c>
      <c r="K1136" s="12"/>
      <c r="L1136" s="159">
        <v>1.9989459999999999</v>
      </c>
      <c r="M1136" s="187" t="s">
        <v>293</v>
      </c>
      <c r="N1136" s="187">
        <v>237.97403299999999</v>
      </c>
      <c r="O1136" s="186">
        <f t="shared" si="55"/>
        <v>475.69724136921798</v>
      </c>
      <c r="P1136" s="186">
        <f t="shared" si="56"/>
        <v>156.63660268556802</v>
      </c>
      <c r="Q1136" s="215">
        <f>IF(P1136="-",0,P1136/(1+'General inputs'!$H$30)^'MP Calculations'!$C$40)</f>
        <v>347.93516341531296</v>
      </c>
    </row>
    <row r="1137" spans="3:17">
      <c r="C1137" s="159"/>
      <c r="D1137" s="165" t="s">
        <v>292</v>
      </c>
      <c r="E1137" s="162">
        <v>34296</v>
      </c>
      <c r="F1137" s="166" t="str">
        <f t="shared" si="54"/>
        <v>Date check - OK</v>
      </c>
      <c r="G1137" s="68"/>
      <c r="H1137" s="162" t="s">
        <v>280</v>
      </c>
      <c r="I1137" s="173">
        <v>21853.086195380012</v>
      </c>
      <c r="J1137" s="168">
        <f>IFERROR(MIN('MP Calculations'!$E$30/I1137,1),"-")</f>
        <v>0.32927792945511891</v>
      </c>
      <c r="K1137" s="12"/>
      <c r="L1137" s="159">
        <v>2.2682519999999999</v>
      </c>
      <c r="M1137" s="187" t="s">
        <v>293</v>
      </c>
      <c r="N1137" s="187">
        <v>297.51652200000001</v>
      </c>
      <c r="O1137" s="186">
        <f t="shared" si="55"/>
        <v>674.84244605954405</v>
      </c>
      <c r="P1137" s="186">
        <f t="shared" si="56"/>
        <v>222.21072334691442</v>
      </c>
      <c r="Q1137" s="215">
        <f>IF(P1137="-",0,P1137/(1+'General inputs'!$H$30)^'MP Calculations'!$C$40)</f>
        <v>493.59423669029246</v>
      </c>
    </row>
    <row r="1138" spans="3:17">
      <c r="C1138" s="159"/>
      <c r="D1138" s="165" t="s">
        <v>292</v>
      </c>
      <c r="E1138" s="162">
        <v>34296</v>
      </c>
      <c r="F1138" s="166" t="str">
        <f t="shared" si="54"/>
        <v>Date check - OK</v>
      </c>
      <c r="G1138" s="68"/>
      <c r="H1138" s="162" t="s">
        <v>280</v>
      </c>
      <c r="I1138" s="173">
        <v>21853.086195380012</v>
      </c>
      <c r="J1138" s="168">
        <f>IFERROR(MIN('MP Calculations'!$E$30/I1138,1),"-")</f>
        <v>0.32927792945511891</v>
      </c>
      <c r="K1138" s="12"/>
      <c r="L1138" s="159">
        <v>0.60784300000000002</v>
      </c>
      <c r="M1138" s="187" t="s">
        <v>293</v>
      </c>
      <c r="N1138" s="187">
        <v>297.51652200000001</v>
      </c>
      <c r="O1138" s="186">
        <f t="shared" si="55"/>
        <v>180.84333528204601</v>
      </c>
      <c r="P1138" s="186">
        <f t="shared" si="56"/>
        <v>59.547718997429961</v>
      </c>
      <c r="Q1138" s="215">
        <f>IF(P1138="-",0,P1138/(1+'General inputs'!$H$30)^'MP Calculations'!$C$40)</f>
        <v>132.27269351577226</v>
      </c>
    </row>
    <row r="1139" spans="3:17">
      <c r="C1139" s="159"/>
      <c r="D1139" s="165" t="s">
        <v>292</v>
      </c>
      <c r="E1139" s="162">
        <v>34296</v>
      </c>
      <c r="F1139" s="166" t="str">
        <f t="shared" si="54"/>
        <v>Date check - OK</v>
      </c>
      <c r="G1139" s="68"/>
      <c r="H1139" s="162" t="s">
        <v>280</v>
      </c>
      <c r="I1139" s="173">
        <v>21853.086195380012</v>
      </c>
      <c r="J1139" s="168">
        <f>IFERROR(MIN('MP Calculations'!$E$30/I1139,1),"-")</f>
        <v>0.32927792945511891</v>
      </c>
      <c r="K1139" s="12"/>
      <c r="L1139" s="159">
        <v>0.92337899999999995</v>
      </c>
      <c r="M1139" s="187" t="s">
        <v>293</v>
      </c>
      <c r="N1139" s="187">
        <v>297.51652200000001</v>
      </c>
      <c r="O1139" s="186">
        <f t="shared" si="55"/>
        <v>274.72050856783801</v>
      </c>
      <c r="P1139" s="186">
        <f t="shared" si="56"/>
        <v>90.459400240074956</v>
      </c>
      <c r="Q1139" s="215">
        <f>IF(P1139="-",0,P1139/(1+'General inputs'!$H$30)^'MP Calculations'!$C$40)</f>
        <v>200.93647120374879</v>
      </c>
    </row>
    <row r="1140" spans="3:17">
      <c r="C1140" s="159"/>
      <c r="D1140" s="165" t="s">
        <v>292</v>
      </c>
      <c r="E1140" s="162">
        <v>34296</v>
      </c>
      <c r="F1140" s="166" t="str">
        <f t="shared" si="54"/>
        <v>Date check - OK</v>
      </c>
      <c r="G1140" s="68"/>
      <c r="H1140" s="162" t="s">
        <v>280</v>
      </c>
      <c r="I1140" s="173">
        <v>21853.086195380012</v>
      </c>
      <c r="J1140" s="168">
        <f>IFERROR(MIN('MP Calculations'!$E$30/I1140,1),"-")</f>
        <v>0.32927792945511891</v>
      </c>
      <c r="K1140" s="12"/>
      <c r="L1140" s="159">
        <v>342.091835</v>
      </c>
      <c r="M1140" s="187" t="s">
        <v>293</v>
      </c>
      <c r="N1140" s="187">
        <v>297.51652200000001</v>
      </c>
      <c r="O1140" s="186">
        <f t="shared" si="55"/>
        <v>101777.97295379787</v>
      </c>
      <c r="P1140" s="186">
        <f t="shared" si="56"/>
        <v>33513.240198365653</v>
      </c>
      <c r="Q1140" s="215">
        <f>IF(P1140="-",0,P1140/(1+'General inputs'!$H$30)^'MP Calculations'!$C$40)</f>
        <v>74442.591993661408</v>
      </c>
    </row>
    <row r="1141" spans="3:17">
      <c r="C1141" s="159"/>
      <c r="D1141" s="165" t="s">
        <v>282</v>
      </c>
      <c r="E1141" s="162">
        <v>34296</v>
      </c>
      <c r="F1141" s="166" t="str">
        <f t="shared" si="54"/>
        <v>Date check - OK</v>
      </c>
      <c r="G1141" s="68"/>
      <c r="H1141" s="162" t="s">
        <v>280</v>
      </c>
      <c r="I1141" s="173">
        <v>21853.086195380012</v>
      </c>
      <c r="J1141" s="168">
        <f>IFERROR(MIN('MP Calculations'!$E$30/I1141,1),"-")</f>
        <v>0.32927792945511891</v>
      </c>
      <c r="K1141" s="12"/>
      <c r="L1141" s="159">
        <v>0.71867199999999998</v>
      </c>
      <c r="M1141" s="187" t="s">
        <v>293</v>
      </c>
      <c r="N1141" s="187">
        <v>237.97403299999999</v>
      </c>
      <c r="O1141" s="186">
        <f t="shared" si="55"/>
        <v>171.02527424417599</v>
      </c>
      <c r="P1141" s="186">
        <f t="shared" si="56"/>
        <v>56.31484818761615</v>
      </c>
      <c r="Q1141" s="215">
        <f>IF(P1141="-",0,P1141/(1+'General inputs'!$H$30)^'MP Calculations'!$C$40)</f>
        <v>125.09155312950415</v>
      </c>
    </row>
    <row r="1142" spans="3:17">
      <c r="C1142" s="159"/>
      <c r="D1142" s="165" t="s">
        <v>282</v>
      </c>
      <c r="E1142" s="162">
        <v>34296</v>
      </c>
      <c r="F1142" s="166" t="str">
        <f t="shared" si="54"/>
        <v>Date check - OK</v>
      </c>
      <c r="G1142" s="68"/>
      <c r="H1142" s="162" t="s">
        <v>280</v>
      </c>
      <c r="I1142" s="173">
        <v>21853.086195380012</v>
      </c>
      <c r="J1142" s="168">
        <f>IFERROR(MIN('MP Calculations'!$E$30/I1142,1),"-")</f>
        <v>0.32927792945511891</v>
      </c>
      <c r="K1142" s="12"/>
      <c r="L1142" s="159">
        <v>0.98322200000000004</v>
      </c>
      <c r="M1142" s="187" t="s">
        <v>293</v>
      </c>
      <c r="N1142" s="187">
        <v>237.97403299999999</v>
      </c>
      <c r="O1142" s="186">
        <f t="shared" si="55"/>
        <v>233.981304674326</v>
      </c>
      <c r="P1142" s="186">
        <f t="shared" si="56"/>
        <v>77.0448795343694</v>
      </c>
      <c r="Q1142" s="215">
        <f>IF(P1142="-",0,P1142/(1+'General inputs'!$H$30)^'MP Calculations'!$C$40)</f>
        <v>171.13894384517184</v>
      </c>
    </row>
    <row r="1143" spans="3:17">
      <c r="C1143" s="159"/>
      <c r="D1143" s="165" t="s">
        <v>292</v>
      </c>
      <c r="E1143" s="162">
        <v>34296</v>
      </c>
      <c r="F1143" s="166" t="str">
        <f t="shared" si="54"/>
        <v>Date check - OK</v>
      </c>
      <c r="G1143" s="68"/>
      <c r="H1143" s="162" t="s">
        <v>280</v>
      </c>
      <c r="I1143" s="173">
        <v>21853.086195380012</v>
      </c>
      <c r="J1143" s="168">
        <f>IFERROR(MIN('MP Calculations'!$E$30/I1143,1),"-")</f>
        <v>0.32927792945511891</v>
      </c>
      <c r="K1143" s="12"/>
      <c r="L1143" s="159">
        <v>0.82323100000000005</v>
      </c>
      <c r="M1143" s="187" t="s">
        <v>293</v>
      </c>
      <c r="N1143" s="187">
        <v>297.51652200000001</v>
      </c>
      <c r="O1143" s="186">
        <f t="shared" si="55"/>
        <v>244.92482392258202</v>
      </c>
      <c r="P1143" s="186">
        <f t="shared" si="56"/>
        <v>80.64833889338739</v>
      </c>
      <c r="Q1143" s="215">
        <f>IF(P1143="-",0,P1143/(1+'General inputs'!$H$30)^'MP Calculations'!$C$40)</f>
        <v>179.14326850137738</v>
      </c>
    </row>
    <row r="1144" spans="3:17">
      <c r="C1144" s="159"/>
      <c r="D1144" s="165" t="s">
        <v>282</v>
      </c>
      <c r="E1144" s="162">
        <v>34296</v>
      </c>
      <c r="F1144" s="166" t="str">
        <f t="shared" si="54"/>
        <v>Date check - OK</v>
      </c>
      <c r="G1144" s="68"/>
      <c r="H1144" s="162" t="s">
        <v>280</v>
      </c>
      <c r="I1144" s="173">
        <v>21853.086195380012</v>
      </c>
      <c r="J1144" s="168">
        <f>IFERROR(MIN('MP Calculations'!$E$30/I1144,1),"-")</f>
        <v>0.32927792945511891</v>
      </c>
      <c r="K1144" s="12"/>
      <c r="L1144" s="159">
        <v>11.574422999999999</v>
      </c>
      <c r="M1144" s="187" t="s">
        <v>293</v>
      </c>
      <c r="N1144" s="187">
        <v>237.97403299999999</v>
      </c>
      <c r="O1144" s="186">
        <f t="shared" si="55"/>
        <v>2754.4121209579589</v>
      </c>
      <c r="P1144" s="186">
        <f t="shared" si="56"/>
        <v>906.96712005511927</v>
      </c>
      <c r="Q1144" s="215">
        <f>IF(P1144="-",0,P1144/(1+'General inputs'!$H$30)^'MP Calculations'!$C$40)</f>
        <v>2014.6360921920636</v>
      </c>
    </row>
    <row r="1145" spans="3:17">
      <c r="C1145" s="159"/>
      <c r="D1145" s="165" t="s">
        <v>282</v>
      </c>
      <c r="E1145" s="162">
        <v>34317</v>
      </c>
      <c r="F1145" s="166" t="str">
        <f t="shared" si="54"/>
        <v>Date check - OK</v>
      </c>
      <c r="G1145" s="68"/>
      <c r="H1145" s="162" t="s">
        <v>280</v>
      </c>
      <c r="I1145" s="173">
        <v>21853.086195380012</v>
      </c>
      <c r="J1145" s="168">
        <f>IFERROR(MIN('MP Calculations'!$E$30/I1145,1),"-")</f>
        <v>0.32927792945511891</v>
      </c>
      <c r="K1145" s="12"/>
      <c r="L1145" s="159">
        <v>0.49979400000000002</v>
      </c>
      <c r="M1145" s="187" t="s">
        <v>293</v>
      </c>
      <c r="N1145" s="187">
        <v>237.97403299999999</v>
      </c>
      <c r="O1145" s="186">
        <f t="shared" si="55"/>
        <v>118.937993849202</v>
      </c>
      <c r="P1145" s="186">
        <f t="shared" si="56"/>
        <v>39.163656348210907</v>
      </c>
      <c r="Q1145" s="215">
        <f>IF(P1145="-",0,P1145/(1+'General inputs'!$H$30)^'MP Calculations'!$C$40)</f>
        <v>86.993799264208718</v>
      </c>
    </row>
    <row r="1146" spans="3:17">
      <c r="C1146" s="159"/>
      <c r="D1146" s="165" t="s">
        <v>282</v>
      </c>
      <c r="E1146" s="162">
        <v>34317</v>
      </c>
      <c r="F1146" s="166" t="str">
        <f t="shared" si="54"/>
        <v>Date check - OK</v>
      </c>
      <c r="G1146" s="68"/>
      <c r="H1146" s="162" t="s">
        <v>280</v>
      </c>
      <c r="I1146" s="173">
        <v>21853.086195380012</v>
      </c>
      <c r="J1146" s="168">
        <f>IFERROR(MIN('MP Calculations'!$E$30/I1146,1),"-")</f>
        <v>0.32927792945511891</v>
      </c>
      <c r="K1146" s="12"/>
      <c r="L1146" s="159">
        <v>1.451938</v>
      </c>
      <c r="M1146" s="187" t="s">
        <v>293</v>
      </c>
      <c r="N1146" s="187">
        <v>237.97403299999999</v>
      </c>
      <c r="O1146" s="186">
        <f t="shared" si="55"/>
        <v>345.52354152595399</v>
      </c>
      <c r="P1146" s="186">
        <f t="shared" si="56"/>
        <v>113.77327633166593</v>
      </c>
      <c r="Q1146" s="215">
        <f>IF(P1146="-",0,P1146/(1+'General inputs'!$H$30)^'MP Calculations'!$C$40)</f>
        <v>252.72332784322472</v>
      </c>
    </row>
    <row r="1147" spans="3:17">
      <c r="C1147" s="159"/>
      <c r="D1147" s="165" t="s">
        <v>282</v>
      </c>
      <c r="E1147" s="162">
        <v>34317</v>
      </c>
      <c r="F1147" s="166" t="str">
        <f t="shared" si="54"/>
        <v>Date check - OK</v>
      </c>
      <c r="G1147" s="68"/>
      <c r="H1147" s="162" t="s">
        <v>280</v>
      </c>
      <c r="I1147" s="173">
        <v>21853.086195380012</v>
      </c>
      <c r="J1147" s="168">
        <f>IFERROR(MIN('MP Calculations'!$E$30/I1147,1),"-")</f>
        <v>0.32927792945511891</v>
      </c>
      <c r="K1147" s="12"/>
      <c r="L1147" s="159">
        <v>18.791758000000002</v>
      </c>
      <c r="M1147" s="187" t="s">
        <v>293</v>
      </c>
      <c r="N1147" s="187">
        <v>237.97403299999999</v>
      </c>
      <c r="O1147" s="186">
        <f t="shared" si="55"/>
        <v>4471.9504384200145</v>
      </c>
      <c r="P1147" s="186">
        <f t="shared" si="56"/>
        <v>1472.5145809888536</v>
      </c>
      <c r="Q1147" s="215">
        <f>IF(P1147="-",0,P1147/(1+'General inputs'!$H$30)^'MP Calculations'!$C$40)</f>
        <v>3270.880449292285</v>
      </c>
    </row>
    <row r="1148" spans="3:17">
      <c r="C1148" s="159"/>
      <c r="D1148" s="165" t="s">
        <v>282</v>
      </c>
      <c r="E1148" s="162">
        <v>34317</v>
      </c>
      <c r="F1148" s="166" t="str">
        <f t="shared" si="54"/>
        <v>Date check - OK</v>
      </c>
      <c r="G1148" s="68"/>
      <c r="H1148" s="162" t="s">
        <v>280</v>
      </c>
      <c r="I1148" s="173">
        <v>21853.086195380012</v>
      </c>
      <c r="J1148" s="168">
        <f>IFERROR(MIN('MP Calculations'!$E$30/I1148,1),"-")</f>
        <v>0.32927792945511891</v>
      </c>
      <c r="K1148" s="12"/>
      <c r="L1148" s="159">
        <v>12.744398</v>
      </c>
      <c r="M1148" s="187" t="s">
        <v>293</v>
      </c>
      <c r="N1148" s="187">
        <v>237.97403299999999</v>
      </c>
      <c r="O1148" s="186">
        <f t="shared" si="55"/>
        <v>3032.8357902171338</v>
      </c>
      <c r="P1148" s="186">
        <f t="shared" si="56"/>
        <v>998.64588938007716</v>
      </c>
      <c r="Q1148" s="215">
        <f>IF(P1148="-",0,P1148/(1+'General inputs'!$H$30)^'MP Calculations'!$C$40)</f>
        <v>2218.281134537795</v>
      </c>
    </row>
    <row r="1149" spans="3:17">
      <c r="C1149" s="159"/>
      <c r="D1149" s="165" t="s">
        <v>283</v>
      </c>
      <c r="E1149" s="162">
        <v>34358</v>
      </c>
      <c r="F1149" s="166" t="str">
        <f t="shared" si="54"/>
        <v>Date check - OK</v>
      </c>
      <c r="G1149" s="68"/>
      <c r="H1149" s="162" t="s">
        <v>280</v>
      </c>
      <c r="I1149" s="173">
        <v>21853.086195380012</v>
      </c>
      <c r="J1149" s="168">
        <f>IFERROR(MIN('MP Calculations'!$E$30/I1149,1),"-")</f>
        <v>0.32927792945511891</v>
      </c>
      <c r="K1149" s="12"/>
      <c r="L1149" s="159">
        <v>40.218052</v>
      </c>
      <c r="M1149" s="187" t="s">
        <v>293</v>
      </c>
      <c r="N1149" s="187">
        <v>192.78728599999999</v>
      </c>
      <c r="O1149" s="186">
        <f t="shared" si="55"/>
        <v>7753.529093286872</v>
      </c>
      <c r="P1149" s="186">
        <f t="shared" si="56"/>
        <v>2553.0660058075268</v>
      </c>
      <c r="Q1149" s="215">
        <f>IF(P1149="-",0,P1149/(1+'General inputs'!$H$30)^'MP Calculations'!$C$40)</f>
        <v>5671.0974491951702</v>
      </c>
    </row>
    <row r="1150" spans="3:17">
      <c r="C1150" s="159"/>
      <c r="D1150" s="165" t="s">
        <v>283</v>
      </c>
      <c r="E1150" s="162">
        <v>34411</v>
      </c>
      <c r="F1150" s="166" t="str">
        <f t="shared" si="54"/>
        <v>Date check - OK</v>
      </c>
      <c r="G1150" s="68"/>
      <c r="H1150" s="162" t="s">
        <v>280</v>
      </c>
      <c r="I1150" s="173">
        <v>21853.086195380012</v>
      </c>
      <c r="J1150" s="168">
        <f>IFERROR(MIN('MP Calculations'!$E$30/I1150,1),"-")</f>
        <v>0.32927792945511891</v>
      </c>
      <c r="K1150" s="12"/>
      <c r="L1150" s="159">
        <v>0.34302300000000002</v>
      </c>
      <c r="M1150" s="187" t="s">
        <v>293</v>
      </c>
      <c r="N1150" s="187">
        <v>192.78728599999999</v>
      </c>
      <c r="O1150" s="186">
        <f t="shared" si="55"/>
        <v>66.130473205577999</v>
      </c>
      <c r="P1150" s="186">
        <f t="shared" si="56"/>
        <v>21.775305291019944</v>
      </c>
      <c r="Q1150" s="215">
        <f>IF(P1150="-",0,P1150/(1+'General inputs'!$H$30)^'MP Calculations'!$C$40)</f>
        <v>48.36924623587624</v>
      </c>
    </row>
    <row r="1151" spans="3:17">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c r="C1154" s="160"/>
      <c r="D1154" s="211"/>
      <c r="E1154" s="235"/>
      <c r="F1154" s="170" t="str">
        <f t="shared" si="54"/>
        <v>-</v>
      </c>
      <c r="G1154" s="217"/>
      <c r="H1154" s="235"/>
      <c r="I1154" s="204"/>
      <c r="J1154" s="171" t="str">
        <f>IFERROR(MIN('MP Calculations'!$E$30/I1154,1),"-")</f>
        <v>-</v>
      </c>
      <c r="K1154" s="218"/>
      <c r="L1154" s="160"/>
      <c r="M1154" s="209"/>
      <c r="N1154" s="209"/>
      <c r="O1154" s="206" t="str">
        <f t="shared" si="55"/>
        <v>-</v>
      </c>
      <c r="P1154" s="206" t="str">
        <f t="shared" si="56"/>
        <v>-</v>
      </c>
      <c r="Q1154" s="216">
        <f>IF(P1154="-",0,P1154/(1+'General inputs'!$H$30)^'MP Calculations'!$C$40)</f>
        <v>0</v>
      </c>
    </row>
    <row r="1155" spans="3:17">
      <c r="O1155" s="6" t="s">
        <v>19</v>
      </c>
      <c r="P1155" s="208">
        <f>SUM(P22:P1154)</f>
        <v>3370988.9723941148</v>
      </c>
      <c r="Q1155" s="208">
        <f>SUM(Q22:Q1154)</f>
        <v>7487940.7422772814</v>
      </c>
    </row>
    <row r="1157" spans="3:17">
      <c r="P1157" s="233" t="s">
        <v>279</v>
      </c>
      <c r="Q1157" s="232">
        <f>Q1155/$J$22</f>
        <v>22740487.814255096</v>
      </c>
    </row>
  </sheetData>
  <conditionalFormatting sqref="F22:F1154">
    <cfRule type="containsText" dxfId="5" priority="4" operator="containsText" text="ERROR">
      <formula>NOT(ISERROR(SEARCH("ERROR",F22)))</formula>
    </cfRule>
  </conditionalFormatting>
  <conditionalFormatting sqref="J22:J1154">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U570"/>
  <sheetViews>
    <sheetView showGridLines="0" zoomScaleNormal="100" workbookViewId="0">
      <pane ySplit="21" topLeftCell="A523" activePane="bottomLeft" state="frozen"/>
      <selection activeCell="A22" sqref="A22"/>
      <selection pane="bottomLeft" activeCell="Q15" sqref="Q15"/>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9" width="15.69921875" customWidth="1"/>
    <col min="20" max="20" width="16.59765625" customWidth="1"/>
    <col min="21" max="21" width="10" bestFit="1" customWidth="1"/>
  </cols>
  <sheetData>
    <row r="1" spans="3:5">
      <c r="E1" s="27"/>
    </row>
    <row r="2" spans="3:5">
      <c r="E2" s="27"/>
    </row>
    <row r="3" spans="3:5" ht="20">
      <c r="C3" s="50" t="s">
        <v>202</v>
      </c>
    </row>
    <row r="5" spans="3:5">
      <c r="D5" s="27"/>
    </row>
    <row r="6" spans="3:5"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c r="C7" s="104" t="str">
        <f ca="1">"Hyperlink to the '"&amp;MID(CELL("filename",'Asset exclusions'!A1),FIND("]",CELL("filename",'Asset exclusions'!A1))+1,255)&amp;"' worksheet:"</f>
        <v>Hyperlink to the 'Asset exclusions' worksheet:</v>
      </c>
      <c r="E7" s="134" t="s">
        <v>187</v>
      </c>
    </row>
    <row r="8" spans="3:5">
      <c r="C8" s="104"/>
      <c r="E8" s="134"/>
    </row>
    <row r="9" spans="3:5">
      <c r="C9" s="104" t="s">
        <v>242</v>
      </c>
      <c r="E9" s="134"/>
    </row>
    <row r="10" spans="3:5">
      <c r="C10" s="104" t="s">
        <v>245</v>
      </c>
      <c r="E10" s="134"/>
    </row>
    <row r="11" spans="3:5">
      <c r="C11" s="104" t="s">
        <v>244</v>
      </c>
      <c r="E11" s="134"/>
    </row>
    <row r="12" spans="3:5">
      <c r="C12" s="104" t="s">
        <v>243</v>
      </c>
      <c r="E12" s="134"/>
    </row>
    <row r="14" spans="3:5">
      <c r="C14" s="6" t="s">
        <v>54</v>
      </c>
    </row>
    <row r="15" spans="3:5">
      <c r="C15" s="57" t="s">
        <v>58</v>
      </c>
      <c r="E15" s="82">
        <f>'General inputs'!$H$24+1</f>
        <v>35065</v>
      </c>
    </row>
    <row r="16" spans="3:5">
      <c r="C16" s="57" t="s">
        <v>59</v>
      </c>
      <c r="E16" s="83">
        <f>'General inputs'!$H$18</f>
        <v>44742</v>
      </c>
    </row>
    <row r="18" spans="3:21" ht="15.5">
      <c r="C18" s="2" t="s">
        <v>208</v>
      </c>
    </row>
    <row r="20" spans="3:21">
      <c r="C20" s="6" t="s">
        <v>16</v>
      </c>
      <c r="H20" s="6" t="s">
        <v>17</v>
      </c>
      <c r="L20" s="6" t="s">
        <v>18</v>
      </c>
      <c r="M20" s="6"/>
      <c r="Q20" s="259" t="s">
        <v>277</v>
      </c>
      <c r="R20" s="259"/>
      <c r="S20" s="259"/>
    </row>
    <row r="21" spans="3:21" ht="46">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c r="R21" s="24" t="s">
        <v>276</v>
      </c>
      <c r="S21" s="24" t="str">
        <f>"PV MEERA value to be recovered via DSP ("&amp;'General inputs'!$H$42&amp;", $"&amp;'General inputs'!$I$40&amp;")"</f>
        <v>PV MEERA value to be recovered via DSP ($, $2020-21)</v>
      </c>
    </row>
    <row r="22" spans="3:21">
      <c r="C22" s="159"/>
      <c r="D22" s="165" t="s">
        <v>282</v>
      </c>
      <c r="E22" s="161">
        <v>35453</v>
      </c>
      <c r="F22" s="172" t="str">
        <f t="shared" ref="F22:F85" si="0">IF(E22="","-",IF(OR(E22&lt;$E$15,E22&gt;$E$16),"ERROR - date outside of range",IF(MONTH(E22)&gt;=7,YEAR(E22)&amp;"-"&amp;IF(YEAR(E22)=1999,"00",IF(AND(YEAR(E22)&gt;=2000,YEAR(E22)&lt;2009),"0","")&amp;RIGHT(YEAR(E22),2)+1),RIGHT(YEAR(E22),4)-1&amp;"-"&amp;RIGHT(YEAR(E22),2))))</f>
        <v>1996-97</v>
      </c>
      <c r="G22" s="68"/>
      <c r="H22" s="167" t="s">
        <v>280</v>
      </c>
      <c r="I22" s="173">
        <v>21853.086195380012</v>
      </c>
      <c r="J22" s="168">
        <f>IFERROR(MIN('MP Calculations'!$E$30/I22,1),"-")</f>
        <v>0.32927792945511891</v>
      </c>
      <c r="K22" s="12"/>
      <c r="L22" s="159">
        <v>0.37690299999999999</v>
      </c>
      <c r="M22" s="159" t="s">
        <v>293</v>
      </c>
      <c r="N22" s="159">
        <v>511</v>
      </c>
      <c r="O22" s="185">
        <f t="shared" ref="O22:O85" si="1">IF(N22="","-",L22*N22)</f>
        <v>192.597433</v>
      </c>
      <c r="P22" s="215">
        <f t="shared" ref="P22" si="2">IF(O22="-","-",IF(OR(E22&lt;$E$15,E22&gt;$E$16),0,O22*J22))</f>
        <v>63.418083956610992</v>
      </c>
      <c r="Q22" s="215" cm="1">
        <f t="array" ref="Q22">IF(P22="-",0,P22/(1+'General inputs'!$H$32)^IFERROR(INDEX('MP Calculations'!$C$40:$C$130,MATCH(F22,'MP Calculations'!$D$40:$D$130,0),0),-1))</f>
        <v>184.83057289918153</v>
      </c>
      <c r="R22" s="207">
        <f>YEAR(E22)</f>
        <v>1997</v>
      </c>
      <c r="S22" s="215">
        <f>IF(P22="-",0,P22/(1+'General inputs'!$H$32)^(R22-2023))</f>
        <v>184.83057289918153</v>
      </c>
      <c r="T22" s="201"/>
      <c r="U22" s="200"/>
    </row>
    <row r="23" spans="3:21">
      <c r="C23" s="159"/>
      <c r="D23" s="165" t="s">
        <v>282</v>
      </c>
      <c r="E23" s="161">
        <v>35453</v>
      </c>
      <c r="F23" s="172" t="str">
        <f t="shared" si="0"/>
        <v>1996-97</v>
      </c>
      <c r="G23" s="68"/>
      <c r="H23" s="167" t="s">
        <v>280</v>
      </c>
      <c r="I23" s="173">
        <v>21853.086195380012</v>
      </c>
      <c r="J23" s="168">
        <f>IFERROR(MIN('MP Calculations'!$E$30/I23,1),"-")</f>
        <v>0.32927792945511891</v>
      </c>
      <c r="K23" s="12"/>
      <c r="L23" s="159">
        <v>0.31522499999999998</v>
      </c>
      <c r="M23" s="159" t="s">
        <v>293</v>
      </c>
      <c r="N23" s="159">
        <v>511</v>
      </c>
      <c r="O23" s="185">
        <f t="shared" si="1"/>
        <v>161.07997499999999</v>
      </c>
      <c r="P23" s="215">
        <f t="shared" ref="P23:P86" si="3">IF(O23="-","-",IF(OR(E23&lt;$E$15,E23&gt;$E$16),0,O23*J23))</f>
        <v>53.040080644682313</v>
      </c>
      <c r="Q23" s="215" cm="1">
        <f t="array" ref="Q23">IF(P23="-",0,P23/(1+'General inputs'!$H$32)^IFERROR(INDEX('MP Calculations'!$C$40:$C$130,MATCH(F23,'MP Calculations'!$D$40:$D$130,0),0),-1))</f>
        <v>154.58411671476347</v>
      </c>
      <c r="R23" s="207">
        <f t="shared" ref="R23:R27" si="4">YEAR(E23)</f>
        <v>1997</v>
      </c>
      <c r="S23" s="215">
        <f>IF(P23="-",0,P23/(1+'General inputs'!$H$32)^(R23-2023))</f>
        <v>154.58411671476347</v>
      </c>
    </row>
    <row r="24" spans="3:21">
      <c r="C24" s="159"/>
      <c r="D24" s="165" t="s">
        <v>282</v>
      </c>
      <c r="E24" s="161">
        <v>35453</v>
      </c>
      <c r="F24" s="172" t="str">
        <f t="shared" si="0"/>
        <v>1996-97</v>
      </c>
      <c r="G24" s="68"/>
      <c r="H24" s="167" t="s">
        <v>280</v>
      </c>
      <c r="I24" s="173">
        <v>21853.086195380012</v>
      </c>
      <c r="J24" s="168">
        <f>IFERROR(MIN('MP Calculations'!$E$30/I24,1),"-")</f>
        <v>0.32927792945511891</v>
      </c>
      <c r="K24" s="12"/>
      <c r="L24" s="159">
        <v>229.66198399999999</v>
      </c>
      <c r="M24" s="159" t="s">
        <v>293</v>
      </c>
      <c r="N24" s="159">
        <v>511</v>
      </c>
      <c r="O24" s="185">
        <f t="shared" si="1"/>
        <v>117357.27382399999</v>
      </c>
      <c r="P24" s="215">
        <f t="shared" si="3"/>
        <v>38643.160131264143</v>
      </c>
      <c r="Q24" s="215" cm="1">
        <f t="array" ref="Q24">IF(P24="-",0,P24/(1+'General inputs'!$H$32)^IFERROR(INDEX('MP Calculations'!$C$40:$C$130,MATCH(F24,'MP Calculations'!$D$40:$D$130,0),0),-1))</f>
        <v>112624.61714521419</v>
      </c>
      <c r="R24" s="207">
        <f t="shared" si="4"/>
        <v>1997</v>
      </c>
      <c r="S24" s="215">
        <f>IF(P24="-",0,P24/(1+'General inputs'!$H$32)^(R24-2023))</f>
        <v>112624.61714521419</v>
      </c>
    </row>
    <row r="25" spans="3:21">
      <c r="C25" s="159"/>
      <c r="D25" s="165" t="s">
        <v>282</v>
      </c>
      <c r="E25" s="161">
        <v>35453</v>
      </c>
      <c r="F25" s="172" t="str">
        <f t="shared" si="0"/>
        <v>1996-97</v>
      </c>
      <c r="G25" s="68"/>
      <c r="H25" s="167" t="s">
        <v>280</v>
      </c>
      <c r="I25" s="173">
        <v>21853.086195380012</v>
      </c>
      <c r="J25" s="168">
        <f>IFERROR(MIN('MP Calculations'!$E$30/I25,1),"-")</f>
        <v>0.32927792945511891</v>
      </c>
      <c r="K25" s="12"/>
      <c r="L25" s="159">
        <v>0.60889499999999996</v>
      </c>
      <c r="M25" s="159" t="s">
        <v>293</v>
      </c>
      <c r="N25" s="159">
        <v>511</v>
      </c>
      <c r="O25" s="185">
        <f t="shared" si="1"/>
        <v>311.14534499999996</v>
      </c>
      <c r="P25" s="215">
        <f t="shared" si="3"/>
        <v>102.45329496119862</v>
      </c>
      <c r="Q25" s="215" cm="1">
        <f t="array" ref="Q25">IF(P25="-",0,P25/(1+'General inputs'!$H$32)^IFERROR(INDEX('MP Calculations'!$C$40:$C$130,MATCH(F25,'MP Calculations'!$D$40:$D$130,0),0),-1))</f>
        <v>298.59781345716834</v>
      </c>
      <c r="R25" s="207">
        <f t="shared" si="4"/>
        <v>1997</v>
      </c>
      <c r="S25" s="215">
        <f>IF(P25="-",0,P25/(1+'General inputs'!$H$32)^(R25-2023))</f>
        <v>298.59781345716834</v>
      </c>
    </row>
    <row r="26" spans="3:21">
      <c r="C26" s="159"/>
      <c r="D26" s="165" t="s">
        <v>282</v>
      </c>
      <c r="E26" s="161">
        <v>35453</v>
      </c>
      <c r="F26" s="172" t="str">
        <f t="shared" si="0"/>
        <v>1996-97</v>
      </c>
      <c r="G26" s="68"/>
      <c r="H26" s="167" t="s">
        <v>280</v>
      </c>
      <c r="I26" s="173">
        <v>21853.086195380012</v>
      </c>
      <c r="J26" s="168">
        <f>IFERROR(MIN('MP Calculations'!$E$30/I26,1),"-")</f>
        <v>0.32927792945511891</v>
      </c>
      <c r="K26" s="12"/>
      <c r="L26" s="159">
        <v>302.48365000000001</v>
      </c>
      <c r="M26" s="159" t="s">
        <v>293</v>
      </c>
      <c r="N26" s="159">
        <v>511</v>
      </c>
      <c r="O26" s="185">
        <f t="shared" si="1"/>
        <v>154569.14515</v>
      </c>
      <c r="P26" s="215">
        <f t="shared" si="3"/>
        <v>50896.208072639733</v>
      </c>
      <c r="Q26" s="215" cm="1">
        <f t="array" ref="Q26">IF(P26="-",0,P26/(1+'General inputs'!$H$32)^IFERROR(INDEX('MP Calculations'!$C$40:$C$130,MATCH(F26,'MP Calculations'!$D$40:$D$130,0),0),-1))</f>
        <v>148335.84853963889</v>
      </c>
      <c r="R26" s="207">
        <f t="shared" si="4"/>
        <v>1997</v>
      </c>
      <c r="S26" s="215">
        <f>IF(P26="-",0,P26/(1+'General inputs'!$H$32)^(R26-2023))</f>
        <v>148335.84853963889</v>
      </c>
    </row>
    <row r="27" spans="3:21">
      <c r="C27" s="159"/>
      <c r="D27" s="165" t="s">
        <v>282</v>
      </c>
      <c r="E27" s="161">
        <v>35453</v>
      </c>
      <c r="F27" s="172" t="str">
        <f t="shared" si="0"/>
        <v>1996-97</v>
      </c>
      <c r="G27" s="68"/>
      <c r="H27" s="167" t="s">
        <v>280</v>
      </c>
      <c r="I27" s="173">
        <v>21853.086195380012</v>
      </c>
      <c r="J27" s="168">
        <f>IFERROR(MIN('MP Calculations'!$E$30/I27,1),"-")</f>
        <v>0.32927792945511891</v>
      </c>
      <c r="K27" s="12"/>
      <c r="L27" s="159">
        <v>141.16124600000001</v>
      </c>
      <c r="M27" s="159" t="s">
        <v>293</v>
      </c>
      <c r="N27" s="159">
        <v>511</v>
      </c>
      <c r="O27" s="185">
        <f t="shared" si="1"/>
        <v>72133.396706</v>
      </c>
      <c r="P27" s="215">
        <f t="shared" si="3"/>
        <v>23751.935511916374</v>
      </c>
      <c r="Q27" s="215" cm="1">
        <f t="array" ref="Q27">IF(P27="-",0,P27/(1+'General inputs'!$H$32)^IFERROR(INDEX('MP Calculations'!$C$40:$C$130,MATCH(F27,'MP Calculations'!$D$40:$D$130,0),0),-1))</f>
        <v>69224.479426649021</v>
      </c>
      <c r="R27" s="207">
        <f t="shared" si="4"/>
        <v>1997</v>
      </c>
      <c r="S27" s="215">
        <f>IF(P27="-",0,P27/(1+'General inputs'!$H$32)^(R27-2023))</f>
        <v>69224.479426649021</v>
      </c>
    </row>
    <row r="28" spans="3:21">
      <c r="C28" s="159"/>
      <c r="D28" s="165" t="s">
        <v>282</v>
      </c>
      <c r="E28" s="161">
        <v>35453</v>
      </c>
      <c r="F28" s="172" t="str">
        <f t="shared" si="0"/>
        <v>1996-97</v>
      </c>
      <c r="G28" s="68"/>
      <c r="H28" s="167" t="s">
        <v>280</v>
      </c>
      <c r="I28" s="173">
        <v>21853.086195380012</v>
      </c>
      <c r="J28" s="168">
        <f>IFERROR(MIN('MP Calculations'!$E$30/I28,1),"-")</f>
        <v>0.32927792945511891</v>
      </c>
      <c r="K28" s="12"/>
      <c r="L28" s="159">
        <v>0.18707599999999999</v>
      </c>
      <c r="M28" s="159" t="s">
        <v>293</v>
      </c>
      <c r="N28" s="159">
        <v>511</v>
      </c>
      <c r="O28" s="185">
        <f t="shared" si="1"/>
        <v>95.595835999999991</v>
      </c>
      <c r="P28" s="215">
        <f t="shared" si="3"/>
        <v>31.477598942611113</v>
      </c>
      <c r="Q28" s="215" cm="1">
        <f t="array" ref="Q28">IF(P28="-",0,P28/(1+'General inputs'!$H$32)^IFERROR(INDEX('MP Calculations'!$C$40:$C$130,MATCH(F28,'MP Calculations'!$D$40:$D$130,0),0),-1))</f>
        <v>91.740750951006703</v>
      </c>
      <c r="R28" s="207">
        <f t="shared" ref="R28:R41" si="5">YEAR(E28)</f>
        <v>1997</v>
      </c>
      <c r="S28" s="215">
        <f>IF(P28="-",0,P28/(1+'General inputs'!$H$32)^(R28-2023))</f>
        <v>91.740750951006703</v>
      </c>
    </row>
    <row r="29" spans="3:21">
      <c r="C29" s="159"/>
      <c r="D29" s="165" t="s">
        <v>282</v>
      </c>
      <c r="E29" s="161">
        <v>35453</v>
      </c>
      <c r="F29" s="172" t="str">
        <f t="shared" si="0"/>
        <v>1996-97</v>
      </c>
      <c r="G29" s="68"/>
      <c r="H29" s="167" t="s">
        <v>280</v>
      </c>
      <c r="I29" s="173">
        <v>21853.086195380012</v>
      </c>
      <c r="J29" s="168">
        <f>IFERROR(MIN('MP Calculations'!$E$30/I29,1),"-")</f>
        <v>0.32927792945511891</v>
      </c>
      <c r="K29" s="12"/>
      <c r="L29" s="159">
        <v>138.41566499999999</v>
      </c>
      <c r="M29" s="159" t="s">
        <v>293</v>
      </c>
      <c r="N29" s="159">
        <v>511</v>
      </c>
      <c r="O29" s="185">
        <f t="shared" si="1"/>
        <v>70730.404815000002</v>
      </c>
      <c r="P29" s="215">
        <f t="shared" si="3"/>
        <v>23289.961247005573</v>
      </c>
      <c r="Q29" s="215" cm="1">
        <f t="array" ref="Q29">IF(P29="-",0,P29/(1+'General inputs'!$H$32)^IFERROR(INDEX('MP Calculations'!$C$40:$C$130,MATCH(F29,'MP Calculations'!$D$40:$D$130,0),0),-1))</f>
        <v>67878.065868860664</v>
      </c>
      <c r="R29" s="207">
        <f t="shared" si="5"/>
        <v>1997</v>
      </c>
      <c r="S29" s="215">
        <f>IF(P29="-",0,P29/(1+'General inputs'!$H$32)^(R29-2023))</f>
        <v>67878.065868860664</v>
      </c>
      <c r="T29" s="202"/>
    </row>
    <row r="30" spans="3:21">
      <c r="C30" s="159"/>
      <c r="D30" s="165" t="s">
        <v>282</v>
      </c>
      <c r="E30" s="161">
        <v>35453</v>
      </c>
      <c r="F30" s="172" t="str">
        <f t="shared" si="0"/>
        <v>1996-97</v>
      </c>
      <c r="G30" s="68"/>
      <c r="H30" s="167" t="s">
        <v>280</v>
      </c>
      <c r="I30" s="173">
        <v>21853.086195380012</v>
      </c>
      <c r="J30" s="168">
        <f>IFERROR(MIN('MP Calculations'!$E$30/I30,1),"-")</f>
        <v>0.32927792945511891</v>
      </c>
      <c r="K30" s="12"/>
      <c r="L30" s="159">
        <v>1.9628810000000001</v>
      </c>
      <c r="M30" s="159" t="s">
        <v>293</v>
      </c>
      <c r="N30" s="159">
        <v>511</v>
      </c>
      <c r="O30" s="185">
        <f t="shared" si="1"/>
        <v>1003.032191</v>
      </c>
      <c r="P30" s="215">
        <f t="shared" si="3"/>
        <v>330.27636302931137</v>
      </c>
      <c r="Q30" s="215" cm="1">
        <f t="array" ref="Q30">IF(P30="-",0,P30/(1+'General inputs'!$H$32)^IFERROR(INDEX('MP Calculations'!$C$40:$C$130,MATCH(F30,'MP Calculations'!$D$40:$D$130,0),0),-1))</f>
        <v>962.58299817968646</v>
      </c>
      <c r="R30" s="207">
        <f t="shared" si="5"/>
        <v>1997</v>
      </c>
      <c r="S30" s="215">
        <f>IF(P30="-",0,P30/(1+'General inputs'!$H$32)^(R30-2023))</f>
        <v>962.58299817968646</v>
      </c>
    </row>
    <row r="31" spans="3:21">
      <c r="C31" s="159"/>
      <c r="D31" s="165" t="s">
        <v>282</v>
      </c>
      <c r="E31" s="161">
        <v>35955</v>
      </c>
      <c r="F31" s="172" t="str">
        <f t="shared" si="0"/>
        <v>1997-98</v>
      </c>
      <c r="G31" s="68"/>
      <c r="H31" s="167" t="s">
        <v>280</v>
      </c>
      <c r="I31" s="173">
        <v>21853.086195380012</v>
      </c>
      <c r="J31" s="168">
        <f>IFERROR(MIN('MP Calculations'!$E$30/I31,1),"-")</f>
        <v>0.32927792945511891</v>
      </c>
      <c r="K31" s="12"/>
      <c r="L31" s="159">
        <v>36.481237</v>
      </c>
      <c r="M31" s="159" t="s">
        <v>293</v>
      </c>
      <c r="N31" s="159">
        <v>511</v>
      </c>
      <c r="O31" s="185">
        <f t="shared" si="1"/>
        <v>18641.912107</v>
      </c>
      <c r="P31" s="215">
        <f t="shared" si="3"/>
        <v>6138.3702196772729</v>
      </c>
      <c r="Q31" s="215" cm="1">
        <f t="array" ref="Q31">IF(P31="-",0,P31/(1+'General inputs'!$H$32)^IFERROR(INDEX('MP Calculations'!$C$40:$C$130,MATCH(F31,'MP Calculations'!$D$40:$D$130,0),0),-1))</f>
        <v>17169.041576057763</v>
      </c>
      <c r="R31" s="207">
        <f t="shared" si="5"/>
        <v>1998</v>
      </c>
      <c r="S31" s="215">
        <f>IF(P31="-",0,P31/(1+'General inputs'!$H$32)^(R31-2023))</f>
        <v>17169.041576057763</v>
      </c>
    </row>
    <row r="32" spans="3:21">
      <c r="C32" s="159"/>
      <c r="D32" s="165" t="s">
        <v>283</v>
      </c>
      <c r="E32" s="161">
        <v>36167</v>
      </c>
      <c r="F32" s="172" t="str">
        <f t="shared" si="0"/>
        <v>1998-99</v>
      </c>
      <c r="G32" s="68"/>
      <c r="H32" s="167" t="s">
        <v>280</v>
      </c>
      <c r="I32" s="173">
        <v>21853.086195380012</v>
      </c>
      <c r="J32" s="168">
        <f>IFERROR(MIN('MP Calculations'!$E$30/I32,1),"-")</f>
        <v>0.32927792945511891</v>
      </c>
      <c r="K32" s="12"/>
      <c r="L32" s="159">
        <v>61.174145000000003</v>
      </c>
      <c r="M32" s="159" t="s">
        <v>293</v>
      </c>
      <c r="N32" s="159">
        <v>350</v>
      </c>
      <c r="O32" s="185">
        <f t="shared" si="1"/>
        <v>21410.95075</v>
      </c>
      <c r="P32" s="215">
        <f t="shared" si="3"/>
        <v>7050.1535306255255</v>
      </c>
      <c r="Q32" s="215" cm="1">
        <f t="array" ref="Q32">IF(P32="-",0,P32/(1+'General inputs'!$H$32)^IFERROR(INDEX('MP Calculations'!$C$40:$C$130,MATCH(F32,'MP Calculations'!$D$40:$D$130,0),0),-1))</f>
        <v>18924.474547202659</v>
      </c>
      <c r="R32" s="207">
        <f t="shared" si="5"/>
        <v>1999</v>
      </c>
      <c r="S32" s="215">
        <f>IF(P32="-",0,P32/(1+'General inputs'!$H$32)^(R32-2023))</f>
        <v>18924.474547202659</v>
      </c>
    </row>
    <row r="33" spans="3:19">
      <c r="C33" s="159"/>
      <c r="D33" s="165" t="s">
        <v>283</v>
      </c>
      <c r="E33" s="161">
        <v>36167</v>
      </c>
      <c r="F33" s="172" t="str">
        <f t="shared" si="0"/>
        <v>1998-99</v>
      </c>
      <c r="G33" s="68"/>
      <c r="H33" s="167" t="s">
        <v>280</v>
      </c>
      <c r="I33" s="173">
        <v>21853.086195380012</v>
      </c>
      <c r="J33" s="168">
        <f>IFERROR(MIN('MP Calculations'!$E$30/I33,1),"-")</f>
        <v>0.32927792945511891</v>
      </c>
      <c r="K33" s="12"/>
      <c r="L33" s="159">
        <v>0.49709799999999998</v>
      </c>
      <c r="M33" s="159" t="s">
        <v>293</v>
      </c>
      <c r="N33" s="159">
        <v>350</v>
      </c>
      <c r="O33" s="185">
        <f t="shared" si="1"/>
        <v>173.98429999999999</v>
      </c>
      <c r="P33" s="215">
        <f t="shared" si="3"/>
        <v>57.289190061698243</v>
      </c>
      <c r="Q33" s="215" cm="1">
        <f t="array" ref="Q33">IF(P33="-",0,P33/(1+'General inputs'!$H$32)^IFERROR(INDEX('MP Calculations'!$C$40:$C$130,MATCH(F33,'MP Calculations'!$D$40:$D$130,0),0),-1))</f>
        <v>153.77932047052471</v>
      </c>
      <c r="R33" s="207">
        <f t="shared" si="5"/>
        <v>1999</v>
      </c>
      <c r="S33" s="215">
        <f>IF(P33="-",0,P33/(1+'General inputs'!$H$32)^(R33-2023))</f>
        <v>153.77932047052471</v>
      </c>
    </row>
    <row r="34" spans="3:19">
      <c r="C34" s="159"/>
      <c r="D34" s="165" t="s">
        <v>283</v>
      </c>
      <c r="E34" s="161">
        <v>36167</v>
      </c>
      <c r="F34" s="172" t="str">
        <f t="shared" si="0"/>
        <v>1998-99</v>
      </c>
      <c r="G34" s="68"/>
      <c r="H34" s="167" t="s">
        <v>280</v>
      </c>
      <c r="I34" s="173">
        <v>21853.086195380012</v>
      </c>
      <c r="J34" s="168">
        <f>IFERROR(MIN('MP Calculations'!$E$30/I34,1),"-")</f>
        <v>0.32927792945511891</v>
      </c>
      <c r="K34" s="12"/>
      <c r="L34" s="159">
        <v>13.031896</v>
      </c>
      <c r="M34" s="159" t="s">
        <v>293</v>
      </c>
      <c r="N34" s="159">
        <v>350</v>
      </c>
      <c r="O34" s="185">
        <f t="shared" si="1"/>
        <v>4561.1635999999999</v>
      </c>
      <c r="P34" s="215">
        <f t="shared" si="3"/>
        <v>1501.8905061140563</v>
      </c>
      <c r="Q34" s="215" cm="1">
        <f t="array" ref="Q34">IF(P34="-",0,P34/(1+'General inputs'!$H$32)^IFERROR(INDEX('MP Calculations'!$C$40:$C$130,MATCH(F34,'MP Calculations'!$D$40:$D$130,0),0),-1))</f>
        <v>4031.4708796304735</v>
      </c>
      <c r="R34" s="207">
        <f t="shared" si="5"/>
        <v>1999</v>
      </c>
      <c r="S34" s="215">
        <f>IF(P34="-",0,P34/(1+'General inputs'!$H$32)^(R34-2023))</f>
        <v>4031.4708796304735</v>
      </c>
    </row>
    <row r="35" spans="3:19">
      <c r="C35" s="159"/>
      <c r="D35" s="165" t="s">
        <v>283</v>
      </c>
      <c r="E35" s="161">
        <v>36167</v>
      </c>
      <c r="F35" s="172" t="str">
        <f t="shared" si="0"/>
        <v>1998-99</v>
      </c>
      <c r="G35" s="68"/>
      <c r="H35" s="167" t="s">
        <v>280</v>
      </c>
      <c r="I35" s="173">
        <v>21853.086195380012</v>
      </c>
      <c r="J35" s="168">
        <f>IFERROR(MIN('MP Calculations'!$E$30/I35,1),"-")</f>
        <v>0.32927792945511891</v>
      </c>
      <c r="K35" s="12"/>
      <c r="L35" s="159">
        <v>14.758994</v>
      </c>
      <c r="M35" s="159" t="s">
        <v>293</v>
      </c>
      <c r="N35" s="159">
        <v>350</v>
      </c>
      <c r="O35" s="185">
        <f t="shared" si="1"/>
        <v>5165.6478999999999</v>
      </c>
      <c r="P35" s="215">
        <f t="shared" si="3"/>
        <v>1700.9338448061831</v>
      </c>
      <c r="Q35" s="215" cm="1">
        <f t="array" ref="Q35">IF(P35="-",0,P35/(1+'General inputs'!$H$32)^IFERROR(INDEX('MP Calculations'!$C$40:$C$130,MATCH(F35,'MP Calculations'!$D$40:$D$130,0),0),-1))</f>
        <v>4565.7557828608269</v>
      </c>
      <c r="R35" s="207">
        <f t="shared" si="5"/>
        <v>1999</v>
      </c>
      <c r="S35" s="215">
        <f>IF(P35="-",0,P35/(1+'General inputs'!$H$32)^(R35-2023))</f>
        <v>4565.7557828608269</v>
      </c>
    </row>
    <row r="36" spans="3:19">
      <c r="C36" s="159"/>
      <c r="D36" s="165" t="s">
        <v>283</v>
      </c>
      <c r="E36" s="161">
        <v>36668</v>
      </c>
      <c r="F36" s="172" t="str">
        <f t="shared" si="0"/>
        <v>1999-00</v>
      </c>
      <c r="G36" s="68"/>
      <c r="H36" s="167" t="s">
        <v>280</v>
      </c>
      <c r="I36" s="173">
        <v>21853.086195380012</v>
      </c>
      <c r="J36" s="168">
        <f>IFERROR(MIN('MP Calculations'!$E$30/I36,1),"-")</f>
        <v>0.32927792945511891</v>
      </c>
      <c r="K36" s="12"/>
      <c r="L36" s="159">
        <v>0.50012000000000001</v>
      </c>
      <c r="M36" s="159" t="s">
        <v>293</v>
      </c>
      <c r="N36" s="159">
        <v>350</v>
      </c>
      <c r="O36" s="185">
        <f t="shared" si="1"/>
        <v>175.042</v>
      </c>
      <c r="P36" s="215">
        <f t="shared" si="3"/>
        <v>57.637467327682927</v>
      </c>
      <c r="Q36" s="215" cm="1">
        <f t="array" ref="Q36">IF(P36="-",0,P36/(1+'General inputs'!$H$32)^IFERROR(INDEX('MP Calculations'!$C$40:$C$130,MATCH(F36,'MP Calculations'!$D$40:$D$130,0),0),-1))</f>
        <v>148.47810811747701</v>
      </c>
      <c r="R36" s="207">
        <f t="shared" si="5"/>
        <v>2000</v>
      </c>
      <c r="S36" s="215">
        <f>IF(P36="-",0,P36/(1+'General inputs'!$H$32)^(R36-2023))</f>
        <v>148.47810811747701</v>
      </c>
    </row>
    <row r="37" spans="3:19">
      <c r="C37" s="159"/>
      <c r="D37" s="165" t="s">
        <v>283</v>
      </c>
      <c r="E37" s="161">
        <v>36668</v>
      </c>
      <c r="F37" s="172" t="str">
        <f t="shared" si="0"/>
        <v>1999-00</v>
      </c>
      <c r="G37" s="68"/>
      <c r="H37" s="167" t="s">
        <v>280</v>
      </c>
      <c r="I37" s="173">
        <v>21853.086195380012</v>
      </c>
      <c r="J37" s="168">
        <f>IFERROR(MIN('MP Calculations'!$E$30/I37,1),"-")</f>
        <v>0.32927792945511891</v>
      </c>
      <c r="K37" s="12"/>
      <c r="L37" s="159">
        <v>0.32820700000000003</v>
      </c>
      <c r="M37" s="159" t="s">
        <v>293</v>
      </c>
      <c r="N37" s="159">
        <v>350</v>
      </c>
      <c r="O37" s="185">
        <f t="shared" si="1"/>
        <v>114.87245000000001</v>
      </c>
      <c r="P37" s="215">
        <f t="shared" si="3"/>
        <v>37.824962487436679</v>
      </c>
      <c r="Q37" s="215" cm="1">
        <f t="array" ref="Q37">IF(P37="-",0,P37/(1+'General inputs'!$H$32)^IFERROR(INDEX('MP Calculations'!$C$40:$C$130,MATCH(F37,'MP Calculations'!$D$40:$D$130,0),0),-1))</f>
        <v>97.439723328226776</v>
      </c>
      <c r="R37" s="207">
        <f t="shared" si="5"/>
        <v>2000</v>
      </c>
      <c r="S37" s="215">
        <f>IF(P37="-",0,P37/(1+'General inputs'!$H$32)^(R37-2023))</f>
        <v>97.439723328226776</v>
      </c>
    </row>
    <row r="38" spans="3:19">
      <c r="C38" s="159"/>
      <c r="D38" s="165" t="s">
        <v>283</v>
      </c>
      <c r="E38" s="161">
        <v>36668</v>
      </c>
      <c r="F38" s="172" t="str">
        <f t="shared" si="0"/>
        <v>1999-00</v>
      </c>
      <c r="G38" s="68"/>
      <c r="H38" s="167" t="s">
        <v>280</v>
      </c>
      <c r="I38" s="173">
        <v>21853.086195380012</v>
      </c>
      <c r="J38" s="168">
        <f>IFERROR(MIN('MP Calculations'!$E$30/I38,1),"-")</f>
        <v>0.32927792945511891</v>
      </c>
      <c r="K38" s="12"/>
      <c r="L38" s="159">
        <v>0.39374199999999998</v>
      </c>
      <c r="M38" s="159" t="s">
        <v>293</v>
      </c>
      <c r="N38" s="159">
        <v>350</v>
      </c>
      <c r="O38" s="185">
        <f t="shared" si="1"/>
        <v>137.80969999999999</v>
      </c>
      <c r="P38" s="215">
        <f t="shared" si="3"/>
        <v>45.377692674831096</v>
      </c>
      <c r="Q38" s="215" cm="1">
        <f t="array" ref="Q38">IF(P38="-",0,P38/(1+'General inputs'!$H$32)^IFERROR(INDEX('MP Calculations'!$C$40:$C$130,MATCH(F38,'MP Calculations'!$D$40:$D$130,0),0),-1))</f>
        <v>116.89607943371914</v>
      </c>
      <c r="R38" s="207">
        <f t="shared" si="5"/>
        <v>2000</v>
      </c>
      <c r="S38" s="215">
        <f>IF(P38="-",0,P38/(1+'General inputs'!$H$32)^(R38-2023))</f>
        <v>116.89607943371914</v>
      </c>
    </row>
    <row r="39" spans="3:19">
      <c r="C39" s="159"/>
      <c r="D39" s="165" t="s">
        <v>283</v>
      </c>
      <c r="E39" s="161">
        <v>36916</v>
      </c>
      <c r="F39" s="172" t="str">
        <f t="shared" si="0"/>
        <v>2000-01</v>
      </c>
      <c r="G39" s="68"/>
      <c r="H39" s="167" t="s">
        <v>280</v>
      </c>
      <c r="I39" s="173">
        <v>21853.086195380012</v>
      </c>
      <c r="J39" s="168">
        <f>IFERROR(MIN('MP Calculations'!$E$30/I39,1),"-")</f>
        <v>0.32927792945511891</v>
      </c>
      <c r="K39" s="12"/>
      <c r="L39" s="159">
        <v>1.7094469999999999</v>
      </c>
      <c r="M39" s="159" t="s">
        <v>293</v>
      </c>
      <c r="N39" s="159">
        <v>350</v>
      </c>
      <c r="O39" s="185">
        <f t="shared" si="1"/>
        <v>598.30644999999993</v>
      </c>
      <c r="P39" s="215">
        <f t="shared" si="3"/>
        <v>197.00910903564261</v>
      </c>
      <c r="Q39" s="215" cm="1">
        <f t="array" ref="Q39">IF(P39="-",0,P39/(1+'General inputs'!$H$32)^IFERROR(INDEX('MP Calculations'!$C$40:$C$130,MATCH(F39,'MP Calculations'!$D$40:$D$130,0),0),-1))</f>
        <v>487.05288943148213</v>
      </c>
      <c r="R39" s="207">
        <f t="shared" si="5"/>
        <v>2001</v>
      </c>
      <c r="S39" s="215">
        <f>IF(P39="-",0,P39/(1+'General inputs'!$H$32)^(R39-2023))</f>
        <v>487.05288943148213</v>
      </c>
    </row>
    <row r="40" spans="3:19">
      <c r="C40" s="159"/>
      <c r="D40" s="165" t="s">
        <v>282</v>
      </c>
      <c r="E40" s="161">
        <v>36916</v>
      </c>
      <c r="F40" s="172" t="str">
        <f t="shared" si="0"/>
        <v>2000-01</v>
      </c>
      <c r="G40" s="68"/>
      <c r="H40" s="167" t="s">
        <v>280</v>
      </c>
      <c r="I40" s="173">
        <v>21853.086195380012</v>
      </c>
      <c r="J40" s="168">
        <f>IFERROR(MIN('MP Calculations'!$E$30/I40,1),"-")</f>
        <v>0.32927792945511891</v>
      </c>
      <c r="K40" s="12"/>
      <c r="L40" s="159">
        <v>133.17383599999999</v>
      </c>
      <c r="M40" s="159" t="s">
        <v>293</v>
      </c>
      <c r="N40" s="159">
        <v>511</v>
      </c>
      <c r="O40" s="185">
        <f t="shared" si="1"/>
        <v>68051.830195999995</v>
      </c>
      <c r="P40" s="215">
        <f t="shared" si="3"/>
        <v>22407.965742570217</v>
      </c>
      <c r="Q40" s="215" cm="1">
        <f t="array" ref="Q40">IF(P40="-",0,P40/(1+'General inputs'!$H$32)^IFERROR(INDEX('MP Calculations'!$C$40:$C$130,MATCH(F40,'MP Calculations'!$D$40:$D$130,0),0),-1))</f>
        <v>55397.765690245171</v>
      </c>
      <c r="R40" s="207">
        <f t="shared" si="5"/>
        <v>2001</v>
      </c>
      <c r="S40" s="215">
        <f>IF(P40="-",0,P40/(1+'General inputs'!$H$32)^(R40-2023))</f>
        <v>55397.765690245171</v>
      </c>
    </row>
    <row r="41" spans="3:19">
      <c r="C41" s="159"/>
      <c r="D41" s="165" t="s">
        <v>282</v>
      </c>
      <c r="E41" s="161">
        <v>36916</v>
      </c>
      <c r="F41" s="172" t="str">
        <f t="shared" si="0"/>
        <v>2000-01</v>
      </c>
      <c r="G41" s="68"/>
      <c r="H41" s="167" t="s">
        <v>280</v>
      </c>
      <c r="I41" s="173">
        <v>21853.086195380012</v>
      </c>
      <c r="J41" s="168">
        <f>IFERROR(MIN('MP Calculations'!$E$30/I41,1),"-")</f>
        <v>0.32927792945511891</v>
      </c>
      <c r="K41" s="12"/>
      <c r="L41" s="159">
        <v>102.846448</v>
      </c>
      <c r="M41" s="159" t="s">
        <v>293</v>
      </c>
      <c r="N41" s="159">
        <v>511</v>
      </c>
      <c r="O41" s="185">
        <f t="shared" si="1"/>
        <v>52554.534928000001</v>
      </c>
      <c r="P41" s="215">
        <f t="shared" si="3"/>
        <v>17305.048444568569</v>
      </c>
      <c r="Q41" s="215" cm="1">
        <f t="array" ref="Q41">IF(P41="-",0,P41/(1+'General inputs'!$H$32)^IFERROR(INDEX('MP Calculations'!$C$40:$C$130,MATCH(F41,'MP Calculations'!$D$40:$D$130,0),0),-1))</f>
        <v>42782.15300772732</v>
      </c>
      <c r="R41" s="207">
        <f t="shared" si="5"/>
        <v>2001</v>
      </c>
      <c r="S41" s="215">
        <f>IF(P41="-",0,P41/(1+'General inputs'!$H$32)^(R41-2023))</f>
        <v>42782.15300772732</v>
      </c>
    </row>
    <row r="42" spans="3:19">
      <c r="C42" s="159"/>
      <c r="D42" s="165" t="s">
        <v>282</v>
      </c>
      <c r="E42" s="161">
        <v>36916</v>
      </c>
      <c r="F42" s="172" t="str">
        <f t="shared" si="0"/>
        <v>2000-01</v>
      </c>
      <c r="G42" s="68"/>
      <c r="H42" s="167" t="s">
        <v>280</v>
      </c>
      <c r="I42" s="173">
        <v>21853.086195380012</v>
      </c>
      <c r="J42" s="168">
        <f>IFERROR(MIN('MP Calculations'!$E$30/I42,1),"-")</f>
        <v>0.32927792945511891</v>
      </c>
      <c r="K42" s="12"/>
      <c r="L42" s="159">
        <v>67.345892000000006</v>
      </c>
      <c r="M42" s="159" t="s">
        <v>293</v>
      </c>
      <c r="N42" s="159">
        <v>511</v>
      </c>
      <c r="O42" s="185">
        <f t="shared" si="1"/>
        <v>34413.750812000006</v>
      </c>
      <c r="P42" s="215">
        <f t="shared" si="3"/>
        <v>11331.688612159778</v>
      </c>
      <c r="Q42" s="215" cm="1">
        <f t="array" ref="Q42">IF(P42="-",0,P42/(1+'General inputs'!$H$32)^IFERROR(INDEX('MP Calculations'!$C$40:$C$130,MATCH(F42,'MP Calculations'!$D$40:$D$130,0),0),-1))</f>
        <v>28014.601495871586</v>
      </c>
      <c r="R42" s="207">
        <f t="shared" ref="R42:R105" si="6">YEAR(E42)</f>
        <v>2001</v>
      </c>
      <c r="S42" s="215">
        <f>IF(P42="-",0,P42/(1+'General inputs'!$H$32)^(R42-2023))</f>
        <v>28014.601495871586</v>
      </c>
    </row>
    <row r="43" spans="3:19">
      <c r="C43" s="159"/>
      <c r="D43" s="165" t="s">
        <v>282</v>
      </c>
      <c r="E43" s="161">
        <v>36916</v>
      </c>
      <c r="F43" s="172" t="str">
        <f t="shared" si="0"/>
        <v>2000-01</v>
      </c>
      <c r="G43" s="68"/>
      <c r="H43" s="167" t="s">
        <v>280</v>
      </c>
      <c r="I43" s="173">
        <v>21853.086195380012</v>
      </c>
      <c r="J43" s="168">
        <f>IFERROR(MIN('MP Calculations'!$E$30/I43,1),"-")</f>
        <v>0.32927792945511891</v>
      </c>
      <c r="K43" s="12"/>
      <c r="L43" s="159">
        <v>21.518253999999999</v>
      </c>
      <c r="M43" s="159" t="s">
        <v>293</v>
      </c>
      <c r="N43" s="159">
        <v>511</v>
      </c>
      <c r="O43" s="185">
        <f t="shared" si="1"/>
        <v>10995.827793999999</v>
      </c>
      <c r="P43" s="215">
        <f t="shared" si="3"/>
        <v>3620.6834086533672</v>
      </c>
      <c r="Q43" s="215" cm="1">
        <f t="array" ref="Q43">IF(P43="-",0,P43/(1+'General inputs'!$H$32)^IFERROR(INDEX('MP Calculations'!$C$40:$C$130,MATCH(F43,'MP Calculations'!$D$40:$D$130,0),0),-1))</f>
        <v>8951.1816206539297</v>
      </c>
      <c r="R43" s="207">
        <f t="shared" si="6"/>
        <v>2001</v>
      </c>
      <c r="S43" s="215">
        <f>IF(P43="-",0,P43/(1+'General inputs'!$H$32)^(R43-2023))</f>
        <v>8951.1816206539297</v>
      </c>
    </row>
    <row r="44" spans="3:19">
      <c r="C44" s="159"/>
      <c r="D44" s="165" t="s">
        <v>282</v>
      </c>
      <c r="E44" s="161">
        <v>36916</v>
      </c>
      <c r="F44" s="172" t="str">
        <f t="shared" si="0"/>
        <v>2000-01</v>
      </c>
      <c r="G44" s="68"/>
      <c r="H44" s="167" t="s">
        <v>280</v>
      </c>
      <c r="I44" s="173">
        <v>21853.086195380012</v>
      </c>
      <c r="J44" s="168">
        <f>IFERROR(MIN('MP Calculations'!$E$30/I44,1),"-")</f>
        <v>0.32927792945511891</v>
      </c>
      <c r="K44" s="12"/>
      <c r="L44" s="159">
        <v>20.882745</v>
      </c>
      <c r="M44" s="159" t="s">
        <v>293</v>
      </c>
      <c r="N44" s="159">
        <v>511</v>
      </c>
      <c r="O44" s="185">
        <f t="shared" si="1"/>
        <v>10671.082694999999</v>
      </c>
      <c r="P44" s="215">
        <f t="shared" si="3"/>
        <v>3513.7520148539497</v>
      </c>
      <c r="Q44" s="215" cm="1">
        <f t="array" ref="Q44">IF(P44="-",0,P44/(1+'General inputs'!$H$32)^IFERROR(INDEX('MP Calculations'!$C$40:$C$130,MATCH(F44,'MP Calculations'!$D$40:$D$130,0),0),-1))</f>
        <v>8686.8220457293028</v>
      </c>
      <c r="R44" s="207">
        <f t="shared" si="6"/>
        <v>2001</v>
      </c>
      <c r="S44" s="215">
        <f>IF(P44="-",0,P44/(1+'General inputs'!$H$32)^(R44-2023))</f>
        <v>8686.8220457293028</v>
      </c>
    </row>
    <row r="45" spans="3:19">
      <c r="C45" s="159"/>
      <c r="D45" s="165" t="s">
        <v>282</v>
      </c>
      <c r="E45" s="161">
        <v>36916</v>
      </c>
      <c r="F45" s="172" t="str">
        <f t="shared" si="0"/>
        <v>2000-01</v>
      </c>
      <c r="G45" s="68"/>
      <c r="H45" s="167" t="s">
        <v>280</v>
      </c>
      <c r="I45" s="173">
        <v>21853.086195380012</v>
      </c>
      <c r="J45" s="168">
        <f>IFERROR(MIN('MP Calculations'!$E$30/I45,1),"-")</f>
        <v>0.32927792945511891</v>
      </c>
      <c r="K45" s="12"/>
      <c r="L45" s="159">
        <v>97.668835000000001</v>
      </c>
      <c r="M45" s="159" t="s">
        <v>293</v>
      </c>
      <c r="N45" s="159">
        <v>511</v>
      </c>
      <c r="O45" s="185">
        <f t="shared" si="1"/>
        <v>49908.774685000004</v>
      </c>
      <c r="P45" s="215">
        <f t="shared" si="3"/>
        <v>16433.857989918855</v>
      </c>
      <c r="Q45" s="215" cm="1">
        <f t="array" ref="Q45">IF(P45="-",0,P45/(1+'General inputs'!$H$32)^IFERROR(INDEX('MP Calculations'!$C$40:$C$130,MATCH(F45,'MP Calculations'!$D$40:$D$130,0),0),-1))</f>
        <v>40628.365143504743</v>
      </c>
      <c r="R45" s="207">
        <f t="shared" si="6"/>
        <v>2001</v>
      </c>
      <c r="S45" s="215">
        <f>IF(P45="-",0,P45/(1+'General inputs'!$H$32)^(R45-2023))</f>
        <v>40628.365143504743</v>
      </c>
    </row>
    <row r="46" spans="3:19">
      <c r="C46" s="159"/>
      <c r="D46" s="165" t="s">
        <v>282</v>
      </c>
      <c r="E46" s="161">
        <v>36916</v>
      </c>
      <c r="F46" s="172" t="str">
        <f t="shared" si="0"/>
        <v>2000-01</v>
      </c>
      <c r="G46" s="68"/>
      <c r="H46" s="167" t="s">
        <v>280</v>
      </c>
      <c r="I46" s="173">
        <v>21853.086195380012</v>
      </c>
      <c r="J46" s="168">
        <f>IFERROR(MIN('MP Calculations'!$E$30/I46,1),"-")</f>
        <v>0.32927792945511891</v>
      </c>
      <c r="K46" s="12"/>
      <c r="L46" s="159">
        <v>9.9953339999999997</v>
      </c>
      <c r="M46" s="159" t="s">
        <v>293</v>
      </c>
      <c r="N46" s="159">
        <v>511</v>
      </c>
      <c r="O46" s="185">
        <f t="shared" si="1"/>
        <v>5107.6156739999997</v>
      </c>
      <c r="P46" s="215">
        <f t="shared" si="3"/>
        <v>1681.8251135872315</v>
      </c>
      <c r="Q46" s="215" cm="1">
        <f t="array" ref="Q46">IF(P46="-",0,P46/(1+'General inputs'!$H$32)^IFERROR(INDEX('MP Calculations'!$C$40:$C$130,MATCH(F46,'MP Calculations'!$D$40:$D$130,0),0),-1))</f>
        <v>4157.8675478548275</v>
      </c>
      <c r="R46" s="207">
        <f t="shared" si="6"/>
        <v>2001</v>
      </c>
      <c r="S46" s="215">
        <f>IF(P46="-",0,P46/(1+'General inputs'!$H$32)^(R46-2023))</f>
        <v>4157.8675478548275</v>
      </c>
    </row>
    <row r="47" spans="3:19">
      <c r="C47" s="159"/>
      <c r="D47" s="165" t="s">
        <v>282</v>
      </c>
      <c r="E47" s="161">
        <v>36916</v>
      </c>
      <c r="F47" s="172" t="str">
        <f t="shared" si="0"/>
        <v>2000-01</v>
      </c>
      <c r="G47" s="68"/>
      <c r="H47" s="167" t="s">
        <v>280</v>
      </c>
      <c r="I47" s="173">
        <v>21853.086195380012</v>
      </c>
      <c r="J47" s="168">
        <f>IFERROR(MIN('MP Calculations'!$E$30/I47,1),"-")</f>
        <v>0.32927792945511891</v>
      </c>
      <c r="K47" s="12"/>
      <c r="L47" s="159">
        <v>1.6001529999999999</v>
      </c>
      <c r="M47" s="159" t="s">
        <v>293</v>
      </c>
      <c r="N47" s="159">
        <v>511</v>
      </c>
      <c r="O47" s="185">
        <f t="shared" si="1"/>
        <v>817.67818299999999</v>
      </c>
      <c r="P47" s="215">
        <f t="shared" si="3"/>
        <v>269.24337905886381</v>
      </c>
      <c r="Q47" s="215" cm="1">
        <f t="array" ref="Q47">IF(P47="-",0,P47/(1+'General inputs'!$H$32)^IFERROR(INDEX('MP Calculations'!$C$40:$C$130,MATCH(F47,'MP Calculations'!$D$40:$D$130,0),0),-1))</f>
        <v>665.6330073915035</v>
      </c>
      <c r="R47" s="207">
        <f t="shared" si="6"/>
        <v>2001</v>
      </c>
      <c r="S47" s="215">
        <f>IF(P47="-",0,P47/(1+'General inputs'!$H$32)^(R47-2023))</f>
        <v>665.6330073915035</v>
      </c>
    </row>
    <row r="48" spans="3:19">
      <c r="C48" s="159"/>
      <c r="D48" s="165" t="s">
        <v>282</v>
      </c>
      <c r="E48" s="161">
        <v>36916</v>
      </c>
      <c r="F48" s="172" t="str">
        <f t="shared" si="0"/>
        <v>2000-01</v>
      </c>
      <c r="G48" s="68"/>
      <c r="H48" s="167" t="s">
        <v>280</v>
      </c>
      <c r="I48" s="173">
        <v>21853.086195380012</v>
      </c>
      <c r="J48" s="168">
        <f>IFERROR(MIN('MP Calculations'!$E$30/I48,1),"-")</f>
        <v>0.32927792945511891</v>
      </c>
      <c r="K48" s="12"/>
      <c r="L48" s="159">
        <v>0.42010700000000001</v>
      </c>
      <c r="M48" s="159" t="s">
        <v>293</v>
      </c>
      <c r="N48" s="159">
        <v>511</v>
      </c>
      <c r="O48" s="185">
        <f t="shared" si="1"/>
        <v>214.674677</v>
      </c>
      <c r="P48" s="215">
        <f t="shared" si="3"/>
        <v>70.687633149006444</v>
      </c>
      <c r="Q48" s="215" cm="1">
        <f t="array" ref="Q48">IF(P48="-",0,P48/(1+'General inputs'!$H$32)^IFERROR(INDEX('MP Calculations'!$C$40:$C$130,MATCH(F48,'MP Calculations'!$D$40:$D$130,0),0),-1))</f>
        <v>174.75646756042855</v>
      </c>
      <c r="R48" s="207">
        <f t="shared" si="6"/>
        <v>2001</v>
      </c>
      <c r="S48" s="215">
        <f>IF(P48="-",0,P48/(1+'General inputs'!$H$32)^(R48-2023))</f>
        <v>174.75646756042855</v>
      </c>
    </row>
    <row r="49" spans="3:19">
      <c r="C49" s="159"/>
      <c r="D49" s="165" t="s">
        <v>282</v>
      </c>
      <c r="E49" s="161">
        <v>36916</v>
      </c>
      <c r="F49" s="172" t="str">
        <f t="shared" si="0"/>
        <v>2000-01</v>
      </c>
      <c r="G49" s="68"/>
      <c r="H49" s="167" t="s">
        <v>280</v>
      </c>
      <c r="I49" s="173">
        <v>21853.086195380012</v>
      </c>
      <c r="J49" s="168">
        <f>IFERROR(MIN('MP Calculations'!$E$30/I49,1),"-")</f>
        <v>0.32927792945511891</v>
      </c>
      <c r="K49" s="12"/>
      <c r="L49" s="159">
        <v>143.902604</v>
      </c>
      <c r="M49" s="159" t="s">
        <v>293</v>
      </c>
      <c r="N49" s="159">
        <v>511</v>
      </c>
      <c r="O49" s="185">
        <f t="shared" si="1"/>
        <v>73534.230643999996</v>
      </c>
      <c r="P49" s="215">
        <f t="shared" si="3"/>
        <v>24213.199210531475</v>
      </c>
      <c r="Q49" s="215" cm="1">
        <f t="array" ref="Q49">IF(P49="-",0,P49/(1+'General inputs'!$H$32)^IFERROR(INDEX('MP Calculations'!$C$40:$C$130,MATCH(F49,'MP Calculations'!$D$40:$D$130,0),0),-1))</f>
        <v>59860.72773790294</v>
      </c>
      <c r="R49" s="207">
        <f t="shared" si="6"/>
        <v>2001</v>
      </c>
      <c r="S49" s="215">
        <f>IF(P49="-",0,P49/(1+'General inputs'!$H$32)^(R49-2023))</f>
        <v>59860.72773790294</v>
      </c>
    </row>
    <row r="50" spans="3:19">
      <c r="C50" s="159"/>
      <c r="D50" s="165" t="s">
        <v>282</v>
      </c>
      <c r="E50" s="161">
        <v>36916</v>
      </c>
      <c r="F50" s="172" t="str">
        <f t="shared" si="0"/>
        <v>2000-01</v>
      </c>
      <c r="G50" s="68"/>
      <c r="H50" s="167" t="s">
        <v>280</v>
      </c>
      <c r="I50" s="173">
        <v>21853.086195380012</v>
      </c>
      <c r="J50" s="168">
        <f>IFERROR(MIN('MP Calculations'!$E$30/I50,1),"-")</f>
        <v>0.32927792945511891</v>
      </c>
      <c r="K50" s="12"/>
      <c r="L50" s="159">
        <v>147.60128700000001</v>
      </c>
      <c r="M50" s="159" t="s">
        <v>293</v>
      </c>
      <c r="N50" s="159">
        <v>511</v>
      </c>
      <c r="O50" s="185">
        <f t="shared" si="1"/>
        <v>75424.257657000009</v>
      </c>
      <c r="P50" s="215">
        <f t="shared" si="3"/>
        <v>24835.543391986361</v>
      </c>
      <c r="Q50" s="215" cm="1">
        <f t="array" ref="Q50">IF(P50="-",0,P50/(1+'General inputs'!$H$32)^IFERROR(INDEX('MP Calculations'!$C$40:$C$130,MATCH(F50,'MP Calculations'!$D$40:$D$130,0),0),-1))</f>
        <v>61399.30904148944</v>
      </c>
      <c r="R50" s="207">
        <f t="shared" si="6"/>
        <v>2001</v>
      </c>
      <c r="S50" s="215">
        <f>IF(P50="-",0,P50/(1+'General inputs'!$H$32)^(R50-2023))</f>
        <v>61399.30904148944</v>
      </c>
    </row>
    <row r="51" spans="3:19">
      <c r="C51" s="159"/>
      <c r="D51" s="165" t="s">
        <v>295</v>
      </c>
      <c r="E51" s="161">
        <v>36951</v>
      </c>
      <c r="F51" s="172" t="str">
        <f t="shared" si="0"/>
        <v>2000-01</v>
      </c>
      <c r="G51" s="68"/>
      <c r="H51" s="167" t="s">
        <v>280</v>
      </c>
      <c r="I51" s="173">
        <v>21853.086195380012</v>
      </c>
      <c r="J51" s="168">
        <f>IFERROR(MIN('MP Calculations'!$E$30/I51,1),"-")</f>
        <v>0.32927792945511891</v>
      </c>
      <c r="K51" s="12"/>
      <c r="L51" s="159">
        <v>1</v>
      </c>
      <c r="M51" s="159" t="s">
        <v>294</v>
      </c>
      <c r="N51" s="159">
        <v>27282.84</v>
      </c>
      <c r="O51" s="185">
        <f t="shared" si="1"/>
        <v>27282.84</v>
      </c>
      <c r="P51" s="215">
        <f t="shared" si="3"/>
        <v>8983.6370648552966</v>
      </c>
      <c r="Q51" s="215" cm="1">
        <f t="array" ref="Q51">IF(P51="-",0,P51/(1+'General inputs'!$H$32)^IFERROR(INDEX('MP Calculations'!$C$40:$C$130,MATCH(F51,'MP Calculations'!$D$40:$D$130,0),0),-1))</f>
        <v>22209.665387857374</v>
      </c>
      <c r="R51" s="207">
        <f t="shared" si="6"/>
        <v>2001</v>
      </c>
      <c r="S51" s="215">
        <f>IF(P51="-",0,P51/(1+'General inputs'!$H$32)^(R51-2023))</f>
        <v>22209.665387857374</v>
      </c>
    </row>
    <row r="52" spans="3:19">
      <c r="C52" s="159"/>
      <c r="D52" s="165" t="s">
        <v>296</v>
      </c>
      <c r="E52" s="161">
        <v>36951</v>
      </c>
      <c r="F52" s="172" t="str">
        <f t="shared" si="0"/>
        <v>2000-01</v>
      </c>
      <c r="G52" s="68"/>
      <c r="H52" s="167" t="s">
        <v>280</v>
      </c>
      <c r="I52" s="173">
        <v>21853.086195380012</v>
      </c>
      <c r="J52" s="168">
        <f>IFERROR(MIN('MP Calculations'!$E$30/I52,1),"-")</f>
        <v>0.32927792945511891</v>
      </c>
      <c r="K52" s="12"/>
      <c r="L52" s="159">
        <v>1</v>
      </c>
      <c r="M52" s="159" t="s">
        <v>294</v>
      </c>
      <c r="N52" s="159">
        <v>10930.51</v>
      </c>
      <c r="O52" s="185">
        <f t="shared" si="1"/>
        <v>10930.51</v>
      </c>
      <c r="P52" s="215">
        <f t="shared" si="3"/>
        <v>3599.1757006884718</v>
      </c>
      <c r="Q52" s="215" cm="1">
        <f t="array" ref="Q52">IF(P52="-",0,P52/(1+'General inputs'!$H$32)^IFERROR(INDEX('MP Calculations'!$C$40:$C$130,MATCH(F52,'MP Calculations'!$D$40:$D$130,0),0),-1))</f>
        <v>8898.009504092277</v>
      </c>
      <c r="R52" s="207">
        <f t="shared" si="6"/>
        <v>2001</v>
      </c>
      <c r="S52" s="215">
        <f>IF(P52="-",0,P52/(1+'General inputs'!$H$32)^(R52-2023))</f>
        <v>8898.009504092277</v>
      </c>
    </row>
    <row r="53" spans="3:19">
      <c r="C53" s="159"/>
      <c r="D53" s="165" t="s">
        <v>283</v>
      </c>
      <c r="E53" s="161">
        <v>37133</v>
      </c>
      <c r="F53" s="172" t="str">
        <f t="shared" si="0"/>
        <v>2001-02</v>
      </c>
      <c r="G53" s="68"/>
      <c r="H53" s="167" t="s">
        <v>280</v>
      </c>
      <c r="I53" s="173">
        <v>21853.086195380012</v>
      </c>
      <c r="J53" s="168">
        <f>IFERROR(MIN('MP Calculations'!$E$30/I53,1),"-")</f>
        <v>0.32927792945511891</v>
      </c>
      <c r="K53" s="12"/>
      <c r="L53" s="159">
        <v>1.7995220000000001</v>
      </c>
      <c r="M53" s="159" t="s">
        <v>293</v>
      </c>
      <c r="N53" s="159">
        <v>350</v>
      </c>
      <c r="O53" s="185">
        <f t="shared" si="1"/>
        <v>629.83270000000005</v>
      </c>
      <c r="P53" s="215">
        <f t="shared" si="3"/>
        <v>207.39000735912708</v>
      </c>
      <c r="Q53" s="215" cm="1">
        <f t="array" ref="Q53">IF(P53="-",0,P53/(1+'General inputs'!$H$32)^IFERROR(INDEX('MP Calculations'!$C$40:$C$130,MATCH(F53,'MP Calculations'!$D$40:$D$130,0),0),-1))</f>
        <v>492.05078074592592</v>
      </c>
      <c r="R53" s="207">
        <f t="shared" si="6"/>
        <v>2001</v>
      </c>
      <c r="S53" s="215">
        <f>IF(P53="-",0,P53/(1+'General inputs'!$H$32)^(R53-2023))</f>
        <v>512.71691353725487</v>
      </c>
    </row>
    <row r="54" spans="3:19">
      <c r="C54" s="159"/>
      <c r="D54" s="165" t="s">
        <v>283</v>
      </c>
      <c r="E54" s="161">
        <v>37133</v>
      </c>
      <c r="F54" s="172" t="str">
        <f t="shared" si="0"/>
        <v>2001-02</v>
      </c>
      <c r="G54" s="68"/>
      <c r="H54" s="167" t="s">
        <v>280</v>
      </c>
      <c r="I54" s="173">
        <v>21853.086195380012</v>
      </c>
      <c r="J54" s="168">
        <f>IFERROR(MIN('MP Calculations'!$E$30/I54,1),"-")</f>
        <v>0.32927792945511891</v>
      </c>
      <c r="K54" s="12"/>
      <c r="L54" s="159">
        <v>1.564597</v>
      </c>
      <c r="M54" s="159" t="s">
        <v>293</v>
      </c>
      <c r="N54" s="159">
        <v>350</v>
      </c>
      <c r="O54" s="185">
        <f t="shared" si="1"/>
        <v>547.60895000000005</v>
      </c>
      <c r="P54" s="215">
        <f t="shared" si="3"/>
        <v>180.31554120709177</v>
      </c>
      <c r="Q54" s="215" cm="1">
        <f t="array" ref="Q54">IF(P54="-",0,P54/(1+'General inputs'!$H$32)^IFERROR(INDEX('MP Calculations'!$C$40:$C$130,MATCH(F54,'MP Calculations'!$D$40:$D$130,0),0),-1))</f>
        <v>427.81426145539399</v>
      </c>
      <c r="R54" s="207">
        <f t="shared" si="6"/>
        <v>2001</v>
      </c>
      <c r="S54" s="215">
        <f>IF(P54="-",0,P54/(1+'General inputs'!$H$32)^(R54-2023))</f>
        <v>445.78246043652064</v>
      </c>
    </row>
    <row r="55" spans="3:19">
      <c r="C55" s="159"/>
      <c r="D55" s="165" t="s">
        <v>283</v>
      </c>
      <c r="E55" s="161">
        <v>37133</v>
      </c>
      <c r="F55" s="172" t="str">
        <f t="shared" si="0"/>
        <v>2001-02</v>
      </c>
      <c r="G55" s="68"/>
      <c r="H55" s="167" t="s">
        <v>280</v>
      </c>
      <c r="I55" s="173">
        <v>21853.086195380012</v>
      </c>
      <c r="J55" s="168">
        <f>IFERROR(MIN('MP Calculations'!$E$30/I55,1),"-")</f>
        <v>0.32927792945511891</v>
      </c>
      <c r="K55" s="12"/>
      <c r="L55" s="159">
        <v>13.200279999999999</v>
      </c>
      <c r="M55" s="159" t="s">
        <v>293</v>
      </c>
      <c r="N55" s="159">
        <v>350</v>
      </c>
      <c r="O55" s="185">
        <f t="shared" si="1"/>
        <v>4620.098</v>
      </c>
      <c r="P55" s="215">
        <f t="shared" si="3"/>
        <v>1521.2963033197359</v>
      </c>
      <c r="Q55" s="215" cm="1">
        <f t="array" ref="Q55">IF(P55="-",0,P55/(1+'General inputs'!$H$32)^IFERROR(INDEX('MP Calculations'!$C$40:$C$130,MATCH(F55,'MP Calculations'!$D$40:$D$130,0),0),-1))</f>
        <v>3609.4074315650655</v>
      </c>
      <c r="R55" s="207">
        <f t="shared" si="6"/>
        <v>2001</v>
      </c>
      <c r="S55" s="215">
        <f>IF(P55="-",0,P55/(1+'General inputs'!$H$32)^(R55-2023))</f>
        <v>3761.002543690799</v>
      </c>
    </row>
    <row r="56" spans="3:19">
      <c r="C56" s="159"/>
      <c r="D56" s="165" t="s">
        <v>283</v>
      </c>
      <c r="E56" s="161">
        <v>37133</v>
      </c>
      <c r="F56" s="172" t="str">
        <f t="shared" si="0"/>
        <v>2001-02</v>
      </c>
      <c r="G56" s="68"/>
      <c r="H56" s="167" t="s">
        <v>280</v>
      </c>
      <c r="I56" s="173">
        <v>21853.086195380012</v>
      </c>
      <c r="J56" s="168">
        <f>IFERROR(MIN('MP Calculations'!$E$30/I56,1),"-")</f>
        <v>0.32927792945511891</v>
      </c>
      <c r="K56" s="12"/>
      <c r="L56" s="159">
        <v>15.876701000000001</v>
      </c>
      <c r="M56" s="159" t="s">
        <v>293</v>
      </c>
      <c r="N56" s="159">
        <v>350</v>
      </c>
      <c r="O56" s="185">
        <f t="shared" si="1"/>
        <v>5556.8453500000005</v>
      </c>
      <c r="P56" s="215">
        <f t="shared" si="3"/>
        <v>1829.7465311503058</v>
      </c>
      <c r="Q56" s="215" cm="1">
        <f t="array" ref="Q56">IF(P56="-",0,P56/(1+'General inputs'!$H$32)^IFERROR(INDEX('MP Calculations'!$C$40:$C$130,MATCH(F56,'MP Calculations'!$D$40:$D$130,0),0),-1))</f>
        <v>4341.2323509907765</v>
      </c>
      <c r="R56" s="207">
        <f t="shared" si="6"/>
        <v>2001</v>
      </c>
      <c r="S56" s="215">
        <f>IF(P56="-",0,P56/(1+'General inputs'!$H$32)^(R56-2023))</f>
        <v>4523.5641097323896</v>
      </c>
    </row>
    <row r="57" spans="3:19">
      <c r="C57" s="159"/>
      <c r="D57" s="165" t="s">
        <v>283</v>
      </c>
      <c r="E57" s="161">
        <v>37133</v>
      </c>
      <c r="F57" s="172" t="str">
        <f t="shared" si="0"/>
        <v>2001-02</v>
      </c>
      <c r="G57" s="68"/>
      <c r="H57" s="167" t="s">
        <v>280</v>
      </c>
      <c r="I57" s="173">
        <v>21853.086195380012</v>
      </c>
      <c r="J57" s="168">
        <f>IFERROR(MIN('MP Calculations'!$E$30/I57,1),"-")</f>
        <v>0.32927792945511891</v>
      </c>
      <c r="K57" s="12"/>
      <c r="L57" s="159">
        <v>43.405976000000003</v>
      </c>
      <c r="M57" s="159" t="s">
        <v>293</v>
      </c>
      <c r="N57" s="159">
        <v>350</v>
      </c>
      <c r="O57" s="185">
        <f t="shared" si="1"/>
        <v>15192.091600000002</v>
      </c>
      <c r="P57" s="215">
        <f t="shared" si="3"/>
        <v>5002.4204661405047</v>
      </c>
      <c r="Q57" s="215" cm="1">
        <f t="array" ref="Q57">IF(P57="-",0,P57/(1+'General inputs'!$H$32)^IFERROR(INDEX('MP Calculations'!$C$40:$C$130,MATCH(F57,'MP Calculations'!$D$40:$D$130,0),0),-1))</f>
        <v>11868.67644843404</v>
      </c>
      <c r="R57" s="207">
        <f t="shared" si="6"/>
        <v>2001</v>
      </c>
      <c r="S57" s="215">
        <f>IF(P57="-",0,P57/(1+'General inputs'!$H$32)^(R57-2023))</f>
        <v>12367.160859268271</v>
      </c>
    </row>
    <row r="58" spans="3:19">
      <c r="C58" s="159"/>
      <c r="D58" s="165" t="s">
        <v>283</v>
      </c>
      <c r="E58" s="161">
        <v>37133</v>
      </c>
      <c r="F58" s="172" t="str">
        <f t="shared" si="0"/>
        <v>2001-02</v>
      </c>
      <c r="G58" s="68"/>
      <c r="H58" s="167" t="s">
        <v>280</v>
      </c>
      <c r="I58" s="173">
        <v>21853.086195380012</v>
      </c>
      <c r="J58" s="168">
        <f>IFERROR(MIN('MP Calculations'!$E$30/I58,1),"-")</f>
        <v>0.32927792945511891</v>
      </c>
      <c r="K58" s="12"/>
      <c r="L58" s="159">
        <v>28.300184999999999</v>
      </c>
      <c r="M58" s="159" t="s">
        <v>293</v>
      </c>
      <c r="N58" s="159">
        <v>350</v>
      </c>
      <c r="O58" s="185">
        <f t="shared" si="1"/>
        <v>9905.0647499999995</v>
      </c>
      <c r="P58" s="215">
        <f t="shared" si="3"/>
        <v>3261.5192119988851</v>
      </c>
      <c r="Q58" s="215" cm="1">
        <f t="array" ref="Q58">IF(P58="-",0,P58/(1+'General inputs'!$H$32)^IFERROR(INDEX('MP Calculations'!$C$40:$C$130,MATCH(F58,'MP Calculations'!$D$40:$D$130,0),0),-1))</f>
        <v>7738.2372232760372</v>
      </c>
      <c r="R58" s="207">
        <f t="shared" si="6"/>
        <v>2001</v>
      </c>
      <c r="S58" s="215">
        <f>IF(P58="-",0,P58/(1+'General inputs'!$H$32)^(R58-2023))</f>
        <v>8063.2431866536317</v>
      </c>
    </row>
    <row r="59" spans="3:19">
      <c r="C59" s="159"/>
      <c r="D59" s="165" t="s">
        <v>283</v>
      </c>
      <c r="E59" s="161">
        <v>37133</v>
      </c>
      <c r="F59" s="172" t="str">
        <f t="shared" si="0"/>
        <v>2001-02</v>
      </c>
      <c r="G59" s="68"/>
      <c r="H59" s="167" t="s">
        <v>280</v>
      </c>
      <c r="I59" s="173">
        <v>21853.086195380012</v>
      </c>
      <c r="J59" s="168">
        <f>IFERROR(MIN('MP Calculations'!$E$30/I59,1),"-")</f>
        <v>0.32927792945511891</v>
      </c>
      <c r="K59" s="12"/>
      <c r="L59" s="159">
        <v>0.79996100000000003</v>
      </c>
      <c r="M59" s="159" t="s">
        <v>293</v>
      </c>
      <c r="N59" s="159">
        <v>350</v>
      </c>
      <c r="O59" s="185">
        <f t="shared" si="1"/>
        <v>279.98635000000002</v>
      </c>
      <c r="P59" s="215">
        <f t="shared" si="3"/>
        <v>92.193325603696238</v>
      </c>
      <c r="Q59" s="215" cm="1">
        <f t="array" ref="Q59">IF(P59="-",0,P59/(1+'General inputs'!$H$32)^IFERROR(INDEX('MP Calculations'!$C$40:$C$130,MATCH(F59,'MP Calculations'!$D$40:$D$130,0),0),-1))</f>
        <v>218.73666152249967</v>
      </c>
      <c r="R59" s="207">
        <f t="shared" si="6"/>
        <v>2001</v>
      </c>
      <c r="S59" s="215">
        <f>IF(P59="-",0,P59/(1+'General inputs'!$H$32)^(R59-2023))</f>
        <v>227.92360130644468</v>
      </c>
    </row>
    <row r="60" spans="3:19">
      <c r="C60" s="159"/>
      <c r="D60" s="165" t="s">
        <v>283</v>
      </c>
      <c r="E60" s="161">
        <v>37133</v>
      </c>
      <c r="F60" s="172" t="str">
        <f t="shared" si="0"/>
        <v>2001-02</v>
      </c>
      <c r="G60" s="68"/>
      <c r="H60" s="167" t="s">
        <v>280</v>
      </c>
      <c r="I60" s="173">
        <v>21853.086195380012</v>
      </c>
      <c r="J60" s="168">
        <f>IFERROR(MIN('MP Calculations'!$E$30/I60,1),"-")</f>
        <v>0.32927792945511891</v>
      </c>
      <c r="K60" s="12"/>
      <c r="L60" s="159">
        <v>63.367618</v>
      </c>
      <c r="M60" s="159" t="s">
        <v>293</v>
      </c>
      <c r="N60" s="159">
        <v>350</v>
      </c>
      <c r="O60" s="185">
        <f t="shared" si="1"/>
        <v>22178.666300000001</v>
      </c>
      <c r="P60" s="215">
        <f t="shared" si="3"/>
        <v>7302.9453173400234</v>
      </c>
      <c r="Q60" s="215" cm="1">
        <f t="array" ref="Q60">IF(P60="-",0,P60/(1+'General inputs'!$H$32)^IFERROR(INDEX('MP Calculations'!$C$40:$C$130,MATCH(F60,'MP Calculations'!$D$40:$D$130,0),0),-1))</f>
        <v>17326.871197412194</v>
      </c>
      <c r="R60" s="207">
        <f t="shared" si="6"/>
        <v>2001</v>
      </c>
      <c r="S60" s="215">
        <f>IF(P60="-",0,P60/(1+'General inputs'!$H$32)^(R60-2023))</f>
        <v>18054.599787703508</v>
      </c>
    </row>
    <row r="61" spans="3:19">
      <c r="C61" s="159"/>
      <c r="D61" s="165" t="s">
        <v>283</v>
      </c>
      <c r="E61" s="161">
        <v>37133</v>
      </c>
      <c r="F61" s="172" t="str">
        <f t="shared" si="0"/>
        <v>2001-02</v>
      </c>
      <c r="G61" s="68"/>
      <c r="H61" s="167" t="s">
        <v>280</v>
      </c>
      <c r="I61" s="173">
        <v>21853.086195380012</v>
      </c>
      <c r="J61" s="168">
        <f>IFERROR(MIN('MP Calculations'!$E$30/I61,1),"-")</f>
        <v>0.32927792945511891</v>
      </c>
      <c r="K61" s="12"/>
      <c r="L61" s="159">
        <v>0.99977199999999999</v>
      </c>
      <c r="M61" s="159" t="s">
        <v>293</v>
      </c>
      <c r="N61" s="159">
        <v>350</v>
      </c>
      <c r="O61" s="185">
        <f t="shared" si="1"/>
        <v>349.92020000000002</v>
      </c>
      <c r="P61" s="215">
        <f t="shared" si="3"/>
        <v>115.22099893052111</v>
      </c>
      <c r="Q61" s="215" cm="1">
        <f t="array" ref="Q61">IF(P61="-",0,P61/(1+'General inputs'!$H$32)^IFERROR(INDEX('MP Calculations'!$C$40:$C$130,MATCH(F61,'MP Calculations'!$D$40:$D$130,0),0),-1))</f>
        <v>273.3718138305149</v>
      </c>
      <c r="R61" s="207">
        <f t="shared" si="6"/>
        <v>2001</v>
      </c>
      <c r="S61" s="215">
        <f>IF(P61="-",0,P61/(1+'General inputs'!$H$32)^(R61-2023))</f>
        <v>284.85343001139654</v>
      </c>
    </row>
    <row r="62" spans="3:19">
      <c r="C62" s="159"/>
      <c r="D62" s="165" t="s">
        <v>283</v>
      </c>
      <c r="E62" s="161">
        <v>37133</v>
      </c>
      <c r="F62" s="172" t="str">
        <f t="shared" si="0"/>
        <v>2001-02</v>
      </c>
      <c r="G62" s="68"/>
      <c r="H62" s="167" t="s">
        <v>280</v>
      </c>
      <c r="I62" s="173">
        <v>21853.086195380012</v>
      </c>
      <c r="J62" s="168">
        <f>IFERROR(MIN('MP Calculations'!$E$30/I62,1),"-")</f>
        <v>0.32927792945511891</v>
      </c>
      <c r="K62" s="12"/>
      <c r="L62" s="159">
        <v>0.99811899999999998</v>
      </c>
      <c r="M62" s="159" t="s">
        <v>293</v>
      </c>
      <c r="N62" s="159">
        <v>350</v>
      </c>
      <c r="O62" s="185">
        <f t="shared" si="1"/>
        <v>349.34165000000002</v>
      </c>
      <c r="P62" s="215">
        <f t="shared" si="3"/>
        <v>115.03049518443484</v>
      </c>
      <c r="Q62" s="215" cm="1">
        <f t="array" ref="Q62">IF(P62="-",0,P62/(1+'General inputs'!$H$32)^IFERROR(INDEX('MP Calculations'!$C$40:$C$130,MATCH(F62,'MP Calculations'!$D$40:$D$130,0),0),-1))</f>
        <v>272.91982716929431</v>
      </c>
      <c r="R62" s="207">
        <f t="shared" si="6"/>
        <v>2001</v>
      </c>
      <c r="S62" s="215">
        <f>IF(P62="-",0,P62/(1+'General inputs'!$H$32)^(R62-2023))</f>
        <v>284.38245991040469</v>
      </c>
    </row>
    <row r="63" spans="3:19">
      <c r="C63" s="159"/>
      <c r="D63" s="165" t="s">
        <v>283</v>
      </c>
      <c r="E63" s="161">
        <v>37133</v>
      </c>
      <c r="F63" s="172" t="str">
        <f t="shared" si="0"/>
        <v>2001-02</v>
      </c>
      <c r="G63" s="68"/>
      <c r="H63" s="167" t="s">
        <v>280</v>
      </c>
      <c r="I63" s="173">
        <v>21853.086195380012</v>
      </c>
      <c r="J63" s="168">
        <f>IFERROR(MIN('MP Calculations'!$E$30/I63,1),"-")</f>
        <v>0.32927792945511891</v>
      </c>
      <c r="K63" s="12"/>
      <c r="L63" s="159">
        <v>67.870435000000001</v>
      </c>
      <c r="M63" s="159" t="s">
        <v>293</v>
      </c>
      <c r="N63" s="159">
        <v>350</v>
      </c>
      <c r="O63" s="185">
        <f t="shared" si="1"/>
        <v>23754.652249999999</v>
      </c>
      <c r="P63" s="215">
        <f t="shared" si="3"/>
        <v>7821.8827078063814</v>
      </c>
      <c r="Q63" s="215" cm="1">
        <f t="array" ref="Q63">IF(P63="-",0,P63/(1+'General inputs'!$H$32)^IFERROR(INDEX('MP Calculations'!$C$40:$C$130,MATCH(F63,'MP Calculations'!$D$40:$D$130,0),0),-1))</f>
        <v>18558.095167114163</v>
      </c>
      <c r="R63" s="207">
        <f t="shared" si="6"/>
        <v>2001</v>
      </c>
      <c r="S63" s="215">
        <f>IF(P63="-",0,P63/(1+'General inputs'!$H$32)^(R63-2023))</f>
        <v>19337.535164132962</v>
      </c>
    </row>
    <row r="64" spans="3:19">
      <c r="C64" s="159"/>
      <c r="D64" s="165" t="s">
        <v>283</v>
      </c>
      <c r="E64" s="161">
        <v>37133</v>
      </c>
      <c r="F64" s="172" t="str">
        <f t="shared" si="0"/>
        <v>2001-02</v>
      </c>
      <c r="G64" s="68"/>
      <c r="H64" s="167" t="s">
        <v>280</v>
      </c>
      <c r="I64" s="173">
        <v>21853.086195380012</v>
      </c>
      <c r="J64" s="168">
        <f>IFERROR(MIN('MP Calculations'!$E$30/I64,1),"-")</f>
        <v>0.32927792945511891</v>
      </c>
      <c r="K64" s="12"/>
      <c r="L64" s="159">
        <v>16.893051</v>
      </c>
      <c r="M64" s="159" t="s">
        <v>293</v>
      </c>
      <c r="N64" s="159">
        <v>350</v>
      </c>
      <c r="O64" s="185">
        <f t="shared" si="1"/>
        <v>5912.5678500000004</v>
      </c>
      <c r="P64" s="215">
        <f t="shared" si="3"/>
        <v>1946.8780994109043</v>
      </c>
      <c r="Q64" s="215" cm="1">
        <f t="array" ref="Q64">IF(P64="-",0,P64/(1+'General inputs'!$H$32)^IFERROR(INDEX('MP Calculations'!$C$40:$C$130,MATCH(F64,'MP Calculations'!$D$40:$D$130,0),0),-1))</f>
        <v>4619.1371562730237</v>
      </c>
      <c r="R64" s="207">
        <f t="shared" si="6"/>
        <v>2001</v>
      </c>
      <c r="S64" s="215">
        <f>IF(P64="-",0,P64/(1+'General inputs'!$H$32)^(R64-2023))</f>
        <v>4813.1409168364917</v>
      </c>
    </row>
    <row r="65" spans="3:19">
      <c r="C65" s="159"/>
      <c r="D65" s="165" t="s">
        <v>283</v>
      </c>
      <c r="E65" s="161">
        <v>37133</v>
      </c>
      <c r="F65" s="172" t="str">
        <f t="shared" si="0"/>
        <v>2001-02</v>
      </c>
      <c r="G65" s="68"/>
      <c r="H65" s="167" t="s">
        <v>280</v>
      </c>
      <c r="I65" s="173">
        <v>21853.086195380012</v>
      </c>
      <c r="J65" s="168">
        <f>IFERROR(MIN('MP Calculations'!$E$30/I65,1),"-")</f>
        <v>0.32927792945511891</v>
      </c>
      <c r="K65" s="12"/>
      <c r="L65" s="159">
        <v>1.6999580000000001</v>
      </c>
      <c r="M65" s="159" t="s">
        <v>293</v>
      </c>
      <c r="N65" s="159">
        <v>350</v>
      </c>
      <c r="O65" s="185">
        <f t="shared" si="1"/>
        <v>594.98530000000005</v>
      </c>
      <c r="P65" s="215">
        <f t="shared" si="3"/>
        <v>195.91552764023277</v>
      </c>
      <c r="Q65" s="215" cm="1">
        <f t="array" ref="Q65">IF(P65="-",0,P65/(1+'General inputs'!$H$32)^IFERROR(INDEX('MP Calculations'!$C$40:$C$130,MATCH(F65,'MP Calculations'!$D$40:$D$130,0),0),-1))</f>
        <v>464.8265823564717</v>
      </c>
      <c r="R65" s="207">
        <f t="shared" si="6"/>
        <v>2001</v>
      </c>
      <c r="S65" s="215">
        <f>IF(P65="-",0,P65/(1+'General inputs'!$H$32)^(R65-2023))</f>
        <v>484.3492988154436</v>
      </c>
    </row>
    <row r="66" spans="3:19">
      <c r="C66" s="159"/>
      <c r="D66" s="165" t="s">
        <v>289</v>
      </c>
      <c r="E66" s="161">
        <v>37329</v>
      </c>
      <c r="F66" s="172" t="str">
        <f t="shared" si="0"/>
        <v>2001-02</v>
      </c>
      <c r="G66" s="68"/>
      <c r="H66" s="167" t="s">
        <v>280</v>
      </c>
      <c r="I66" s="173">
        <v>21853.086195380012</v>
      </c>
      <c r="J66" s="168">
        <f>IFERROR(MIN('MP Calculations'!$E$30/I66,1),"-")</f>
        <v>0.32927792945511891</v>
      </c>
      <c r="K66" s="12"/>
      <c r="L66" s="159">
        <v>6.9953250000000002</v>
      </c>
      <c r="M66" s="159" t="s">
        <v>293</v>
      </c>
      <c r="N66" s="159">
        <v>940</v>
      </c>
      <c r="O66" s="185">
        <f t="shared" si="1"/>
        <v>6575.6055000000006</v>
      </c>
      <c r="P66" s="215">
        <f t="shared" si="3"/>
        <v>2165.2017639536921</v>
      </c>
      <c r="Q66" s="215" cm="1">
        <f t="array" ref="Q66">IF(P66="-",0,P66/(1+'General inputs'!$H$32)^IFERROR(INDEX('MP Calculations'!$C$40:$C$130,MATCH(F66,'MP Calculations'!$D$40:$D$130,0),0),-1))</f>
        <v>5137.1289870345008</v>
      </c>
      <c r="R66" s="207">
        <f t="shared" si="6"/>
        <v>2002</v>
      </c>
      <c r="S66" s="215">
        <f>IF(P66="-",0,P66/(1+'General inputs'!$H$32)^(R66-2023))</f>
        <v>5137.1289870345008</v>
      </c>
    </row>
    <row r="67" spans="3:19">
      <c r="C67" s="159"/>
      <c r="D67" s="165" t="s">
        <v>282</v>
      </c>
      <c r="E67" s="161">
        <v>37329</v>
      </c>
      <c r="F67" s="172" t="str">
        <f t="shared" si="0"/>
        <v>2001-02</v>
      </c>
      <c r="G67" s="68"/>
      <c r="H67" s="167" t="s">
        <v>280</v>
      </c>
      <c r="I67" s="173">
        <v>21853.086195380012</v>
      </c>
      <c r="J67" s="168">
        <f>IFERROR(MIN('MP Calculations'!$E$30/I67,1),"-")</f>
        <v>0.32927792945511891</v>
      </c>
      <c r="K67" s="12"/>
      <c r="L67" s="159">
        <v>1.700054</v>
      </c>
      <c r="M67" s="159" t="s">
        <v>293</v>
      </c>
      <c r="N67" s="159">
        <v>511</v>
      </c>
      <c r="O67" s="185">
        <f t="shared" si="1"/>
        <v>868.72759399999995</v>
      </c>
      <c r="P67" s="215">
        <f t="shared" si="3"/>
        <v>286.05282341284715</v>
      </c>
      <c r="Q67" s="215" cm="1">
        <f t="array" ref="Q67">IF(P67="-",0,P67/(1+'General inputs'!$H$32)^IFERROR(INDEX('MP Calculations'!$C$40:$C$130,MATCH(F67,'MP Calculations'!$D$40:$D$130,0),0),-1))</f>
        <v>678.68513477186821</v>
      </c>
      <c r="R67" s="207">
        <f t="shared" si="6"/>
        <v>2002</v>
      </c>
      <c r="S67" s="215">
        <f>IF(P67="-",0,P67/(1+'General inputs'!$H$32)^(R67-2023))</f>
        <v>678.68513477186821</v>
      </c>
    </row>
    <row r="68" spans="3:19">
      <c r="C68" s="159"/>
      <c r="D68" s="165" t="s">
        <v>282</v>
      </c>
      <c r="E68" s="161">
        <v>37329</v>
      </c>
      <c r="F68" s="172" t="str">
        <f t="shared" si="0"/>
        <v>2001-02</v>
      </c>
      <c r="G68" s="68"/>
      <c r="H68" s="167" t="s">
        <v>280</v>
      </c>
      <c r="I68" s="173">
        <v>21853.086195380012</v>
      </c>
      <c r="J68" s="168">
        <f>IFERROR(MIN('MP Calculations'!$E$30/I68,1),"-")</f>
        <v>0.32927792945511891</v>
      </c>
      <c r="K68" s="12"/>
      <c r="L68" s="159">
        <v>1.299995</v>
      </c>
      <c r="M68" s="159" t="s">
        <v>293</v>
      </c>
      <c r="N68" s="159">
        <v>511</v>
      </c>
      <c r="O68" s="185">
        <f t="shared" si="1"/>
        <v>664.29744500000004</v>
      </c>
      <c r="P68" s="215">
        <f t="shared" si="3"/>
        <v>218.73848723192575</v>
      </c>
      <c r="Q68" s="215" cm="1">
        <f t="array" ref="Q68">IF(P68="-",0,P68/(1+'General inputs'!$H$32)^IFERROR(INDEX('MP Calculations'!$C$40:$C$130,MATCH(F68,'MP Calculations'!$D$40:$D$130,0),0),-1))</f>
        <v>518.97603357173068</v>
      </c>
      <c r="R68" s="207">
        <f t="shared" si="6"/>
        <v>2002</v>
      </c>
      <c r="S68" s="215">
        <f>IF(P68="-",0,P68/(1+'General inputs'!$H$32)^(R68-2023))</f>
        <v>518.97603357173068</v>
      </c>
    </row>
    <row r="69" spans="3:19">
      <c r="C69" s="159"/>
      <c r="D69" s="165" t="s">
        <v>282</v>
      </c>
      <c r="E69" s="161">
        <v>37329</v>
      </c>
      <c r="F69" s="172" t="str">
        <f t="shared" si="0"/>
        <v>2001-02</v>
      </c>
      <c r="G69" s="68"/>
      <c r="H69" s="167" t="s">
        <v>280</v>
      </c>
      <c r="I69" s="173">
        <v>21853.086195380012</v>
      </c>
      <c r="J69" s="168">
        <f>IFERROR(MIN('MP Calculations'!$E$30/I69,1),"-")</f>
        <v>0.32927792945511891</v>
      </c>
      <c r="K69" s="12"/>
      <c r="L69" s="159">
        <v>25.176876</v>
      </c>
      <c r="M69" s="159" t="s">
        <v>293</v>
      </c>
      <c r="N69" s="159">
        <v>511</v>
      </c>
      <c r="O69" s="185">
        <f t="shared" si="1"/>
        <v>12865.383636</v>
      </c>
      <c r="P69" s="215">
        <f t="shared" si="3"/>
        <v>4236.2868853078498</v>
      </c>
      <c r="Q69" s="215" cm="1">
        <f t="array" ref="Q69">IF(P69="-",0,P69/(1+'General inputs'!$H$32)^IFERROR(INDEX('MP Calculations'!$C$40:$C$130,MATCH(F69,'MP Calculations'!$D$40:$D$130,0),0),-1))</f>
        <v>10050.958076152063</v>
      </c>
      <c r="R69" s="207">
        <f t="shared" si="6"/>
        <v>2002</v>
      </c>
      <c r="S69" s="215">
        <f>IF(P69="-",0,P69/(1+'General inputs'!$H$32)^(R69-2023))</f>
        <v>10050.958076152063</v>
      </c>
    </row>
    <row r="70" spans="3:19">
      <c r="C70" s="159"/>
      <c r="D70" s="165" t="s">
        <v>282</v>
      </c>
      <c r="E70" s="161">
        <v>37329</v>
      </c>
      <c r="F70" s="172" t="str">
        <f t="shared" si="0"/>
        <v>2001-02</v>
      </c>
      <c r="G70" s="68"/>
      <c r="H70" s="167" t="s">
        <v>280</v>
      </c>
      <c r="I70" s="173">
        <v>21853.086195380012</v>
      </c>
      <c r="J70" s="168">
        <f>IFERROR(MIN('MP Calculations'!$E$30/I70,1),"-")</f>
        <v>0.32927792945511891</v>
      </c>
      <c r="K70" s="12"/>
      <c r="L70" s="159">
        <v>29.112541</v>
      </c>
      <c r="M70" s="159" t="s">
        <v>293</v>
      </c>
      <c r="N70" s="159">
        <v>511</v>
      </c>
      <c r="O70" s="185">
        <f t="shared" si="1"/>
        <v>14876.508451</v>
      </c>
      <c r="P70" s="215">
        <f t="shared" si="3"/>
        <v>4898.5059002668586</v>
      </c>
      <c r="Q70" s="215" cm="1">
        <f t="array" ref="Q70">IF(P70="-",0,P70/(1+'General inputs'!$H$32)^IFERROR(INDEX('MP Calculations'!$C$40:$C$130,MATCH(F70,'MP Calculations'!$D$40:$D$130,0),0),-1))</f>
        <v>11622.130127711558</v>
      </c>
      <c r="R70" s="207">
        <f t="shared" si="6"/>
        <v>2002</v>
      </c>
      <c r="S70" s="215">
        <f>IF(P70="-",0,P70/(1+'General inputs'!$H$32)^(R70-2023))</f>
        <v>11622.130127711558</v>
      </c>
    </row>
    <row r="71" spans="3:19">
      <c r="C71" s="159"/>
      <c r="D71" s="165" t="s">
        <v>282</v>
      </c>
      <c r="E71" s="161">
        <v>37329</v>
      </c>
      <c r="F71" s="172" t="str">
        <f t="shared" si="0"/>
        <v>2001-02</v>
      </c>
      <c r="G71" s="68"/>
      <c r="H71" s="167" t="s">
        <v>280</v>
      </c>
      <c r="I71" s="173">
        <v>21853.086195380012</v>
      </c>
      <c r="J71" s="168">
        <f>IFERROR(MIN('MP Calculations'!$E$30/I71,1),"-")</f>
        <v>0.32927792945511891</v>
      </c>
      <c r="K71" s="12"/>
      <c r="L71" s="159">
        <v>25.719483</v>
      </c>
      <c r="M71" s="159" t="s">
        <v>293</v>
      </c>
      <c r="N71" s="159">
        <v>511</v>
      </c>
      <c r="O71" s="185">
        <f t="shared" si="1"/>
        <v>13142.655812999999</v>
      </c>
      <c r="P71" s="215">
        <f t="shared" si="3"/>
        <v>4327.586493645922</v>
      </c>
      <c r="Q71" s="215" cm="1">
        <f t="array" ref="Q71">IF(P71="-",0,P71/(1+'General inputs'!$H$32)^IFERROR(INDEX('MP Calculations'!$C$40:$C$130,MATCH(F71,'MP Calculations'!$D$40:$D$130,0),0),-1))</f>
        <v>10267.57431594395</v>
      </c>
      <c r="R71" s="207">
        <f t="shared" si="6"/>
        <v>2002</v>
      </c>
      <c r="S71" s="215">
        <f>IF(P71="-",0,P71/(1+'General inputs'!$H$32)^(R71-2023))</f>
        <v>10267.57431594395</v>
      </c>
    </row>
    <row r="72" spans="3:19">
      <c r="C72" s="159"/>
      <c r="D72" s="165" t="s">
        <v>282</v>
      </c>
      <c r="E72" s="161">
        <v>37329</v>
      </c>
      <c r="F72" s="172" t="str">
        <f t="shared" si="0"/>
        <v>2001-02</v>
      </c>
      <c r="G72" s="68"/>
      <c r="H72" s="167" t="s">
        <v>280</v>
      </c>
      <c r="I72" s="173">
        <v>21853.086195380012</v>
      </c>
      <c r="J72" s="168">
        <f>IFERROR(MIN('MP Calculations'!$E$30/I72,1),"-")</f>
        <v>0.32927792945511891</v>
      </c>
      <c r="K72" s="12"/>
      <c r="L72" s="159">
        <v>30.644600000000001</v>
      </c>
      <c r="M72" s="159" t="s">
        <v>293</v>
      </c>
      <c r="N72" s="159">
        <v>511</v>
      </c>
      <c r="O72" s="185">
        <f t="shared" si="1"/>
        <v>15659.390600000001</v>
      </c>
      <c r="P72" s="215">
        <f t="shared" si="3"/>
        <v>5156.2917132969524</v>
      </c>
      <c r="Q72" s="215" cm="1">
        <f t="array" ref="Q72">IF(P72="-",0,P72/(1+'General inputs'!$H$32)^IFERROR(INDEX('MP Calculations'!$C$40:$C$130,MATCH(F72,'MP Calculations'!$D$40:$D$130,0),0),-1))</f>
        <v>12233.749328568385</v>
      </c>
      <c r="R72" s="207">
        <f t="shared" si="6"/>
        <v>2002</v>
      </c>
      <c r="S72" s="215">
        <f>IF(P72="-",0,P72/(1+'General inputs'!$H$32)^(R72-2023))</f>
        <v>12233.749328568385</v>
      </c>
    </row>
    <row r="73" spans="3:19">
      <c r="C73" s="159"/>
      <c r="D73" s="165" t="s">
        <v>282</v>
      </c>
      <c r="E73" s="161">
        <v>37329</v>
      </c>
      <c r="F73" s="172" t="str">
        <f t="shared" si="0"/>
        <v>2001-02</v>
      </c>
      <c r="G73" s="68"/>
      <c r="H73" s="167" t="s">
        <v>280</v>
      </c>
      <c r="I73" s="173">
        <v>21853.086195380012</v>
      </c>
      <c r="J73" s="168">
        <f>IFERROR(MIN('MP Calculations'!$E$30/I73,1),"-")</f>
        <v>0.32927792945511891</v>
      </c>
      <c r="K73" s="12"/>
      <c r="L73" s="159">
        <v>0.93783700000000003</v>
      </c>
      <c r="M73" s="159" t="s">
        <v>293</v>
      </c>
      <c r="N73" s="159">
        <v>511</v>
      </c>
      <c r="O73" s="185">
        <f t="shared" si="1"/>
        <v>479.23470700000001</v>
      </c>
      <c r="P73" s="215">
        <f t="shared" si="3"/>
        <v>157.80141204399058</v>
      </c>
      <c r="Q73" s="215" cm="1">
        <f t="array" ref="Q73">IF(P73="-",0,P73/(1+'General inputs'!$H$32)^IFERROR(INDEX('MP Calculations'!$C$40:$C$130,MATCH(F73,'MP Calculations'!$D$40:$D$130,0),0),-1))</f>
        <v>374.39753721884404</v>
      </c>
      <c r="R73" s="207">
        <f t="shared" si="6"/>
        <v>2002</v>
      </c>
      <c r="S73" s="215">
        <f>IF(P73="-",0,P73/(1+'General inputs'!$H$32)^(R73-2023))</f>
        <v>374.39753721884404</v>
      </c>
    </row>
    <row r="74" spans="3:19">
      <c r="C74" s="159"/>
      <c r="D74" s="165" t="s">
        <v>282</v>
      </c>
      <c r="E74" s="161">
        <v>37329</v>
      </c>
      <c r="F74" s="172" t="str">
        <f t="shared" si="0"/>
        <v>2001-02</v>
      </c>
      <c r="G74" s="68"/>
      <c r="H74" s="167" t="s">
        <v>280</v>
      </c>
      <c r="I74" s="173">
        <v>21853.086195380012</v>
      </c>
      <c r="J74" s="168">
        <f>IFERROR(MIN('MP Calculations'!$E$30/I74,1),"-")</f>
        <v>0.32927792945511891</v>
      </c>
      <c r="K74" s="12"/>
      <c r="L74" s="159">
        <v>1.0557589999999999</v>
      </c>
      <c r="M74" s="159" t="s">
        <v>293</v>
      </c>
      <c r="N74" s="159">
        <v>511</v>
      </c>
      <c r="O74" s="185">
        <f t="shared" si="1"/>
        <v>539.49284899999998</v>
      </c>
      <c r="P74" s="215">
        <f t="shared" si="3"/>
        <v>177.6430882745631</v>
      </c>
      <c r="Q74" s="215" cm="1">
        <f t="array" ref="Q74">IF(P74="-",0,P74/(1+'General inputs'!$H$32)^IFERROR(INDEX('MP Calculations'!$C$40:$C$130,MATCH(F74,'MP Calculations'!$D$40:$D$130,0),0),-1))</f>
        <v>421.47363507371699</v>
      </c>
      <c r="R74" s="207">
        <f t="shared" si="6"/>
        <v>2002</v>
      </c>
      <c r="S74" s="215">
        <f>IF(P74="-",0,P74/(1+'General inputs'!$H$32)^(R74-2023))</f>
        <v>421.47363507371699</v>
      </c>
    </row>
    <row r="75" spans="3:19">
      <c r="C75" s="159"/>
      <c r="D75" s="165" t="s">
        <v>282</v>
      </c>
      <c r="E75" s="161">
        <v>37329</v>
      </c>
      <c r="F75" s="172" t="str">
        <f t="shared" si="0"/>
        <v>2001-02</v>
      </c>
      <c r="G75" s="68"/>
      <c r="H75" s="167" t="s">
        <v>280</v>
      </c>
      <c r="I75" s="173">
        <v>21853.086195380012</v>
      </c>
      <c r="J75" s="168">
        <f>IFERROR(MIN('MP Calculations'!$E$30/I75,1),"-")</f>
        <v>0.32927792945511891</v>
      </c>
      <c r="K75" s="12"/>
      <c r="L75" s="159">
        <v>1.5114179999999999</v>
      </c>
      <c r="M75" s="159" t="s">
        <v>293</v>
      </c>
      <c r="N75" s="159">
        <v>511</v>
      </c>
      <c r="O75" s="185">
        <f t="shared" si="1"/>
        <v>772.33459799999991</v>
      </c>
      <c r="P75" s="215">
        <f t="shared" si="3"/>
        <v>254.31273727599159</v>
      </c>
      <c r="Q75" s="215" cm="1">
        <f t="array" ref="Q75">IF(P75="-",0,P75/(1+'General inputs'!$H$32)^IFERROR(INDEX('MP Calculations'!$C$40:$C$130,MATCH(F75,'MP Calculations'!$D$40:$D$130,0),0),-1))</f>
        <v>603.37902738773448</v>
      </c>
      <c r="R75" s="207">
        <f t="shared" si="6"/>
        <v>2002</v>
      </c>
      <c r="S75" s="215">
        <f>IF(P75="-",0,P75/(1+'General inputs'!$H$32)^(R75-2023))</f>
        <v>603.37902738773448</v>
      </c>
    </row>
    <row r="76" spans="3:19">
      <c r="C76" s="159"/>
      <c r="D76" s="165" t="s">
        <v>282</v>
      </c>
      <c r="E76" s="161">
        <v>37329</v>
      </c>
      <c r="F76" s="172" t="str">
        <f t="shared" si="0"/>
        <v>2001-02</v>
      </c>
      <c r="G76" s="68"/>
      <c r="H76" s="167" t="s">
        <v>280</v>
      </c>
      <c r="I76" s="173">
        <v>21853.086195380012</v>
      </c>
      <c r="J76" s="168">
        <f>IFERROR(MIN('MP Calculations'!$E$30/I76,1),"-")</f>
        <v>0.32927792945511891</v>
      </c>
      <c r="K76" s="12"/>
      <c r="L76" s="159">
        <v>0.78651000000000004</v>
      </c>
      <c r="M76" s="159" t="s">
        <v>293</v>
      </c>
      <c r="N76" s="159">
        <v>511</v>
      </c>
      <c r="O76" s="185">
        <f t="shared" si="1"/>
        <v>401.90661</v>
      </c>
      <c r="P76" s="215">
        <f t="shared" si="3"/>
        <v>132.33897637512598</v>
      </c>
      <c r="Q76" s="215" cm="1">
        <f t="array" ref="Q76">IF(P76="-",0,P76/(1+'General inputs'!$H$32)^IFERROR(INDEX('MP Calculations'!$C$40:$C$130,MATCH(F76,'MP Calculations'!$D$40:$D$130,0),0),-1))</f>
        <v>313.98570007154018</v>
      </c>
      <c r="R76" s="207">
        <f t="shared" si="6"/>
        <v>2002</v>
      </c>
      <c r="S76" s="215">
        <f>IF(P76="-",0,P76/(1+'General inputs'!$H$32)^(R76-2023))</f>
        <v>313.98570007154018</v>
      </c>
    </row>
    <row r="77" spans="3:19">
      <c r="C77" s="159"/>
      <c r="D77" s="165" t="s">
        <v>282</v>
      </c>
      <c r="E77" s="161">
        <v>37329</v>
      </c>
      <c r="F77" s="172" t="str">
        <f t="shared" si="0"/>
        <v>2001-02</v>
      </c>
      <c r="G77" s="68"/>
      <c r="H77" s="167" t="s">
        <v>280</v>
      </c>
      <c r="I77" s="173">
        <v>21853.086195380012</v>
      </c>
      <c r="J77" s="168">
        <f>IFERROR(MIN('MP Calculations'!$E$30/I77,1),"-")</f>
        <v>0.32927792945511891</v>
      </c>
      <c r="K77" s="12"/>
      <c r="L77" s="159">
        <v>0.85953900000000005</v>
      </c>
      <c r="M77" s="159" t="s">
        <v>293</v>
      </c>
      <c r="N77" s="159">
        <v>511</v>
      </c>
      <c r="O77" s="185">
        <f t="shared" si="1"/>
        <v>439.22442900000004</v>
      </c>
      <c r="P77" s="215">
        <f t="shared" si="3"/>
        <v>144.62691054722691</v>
      </c>
      <c r="Q77" s="215" cm="1">
        <f t="array" ref="Q77">IF(P77="-",0,P77/(1+'General inputs'!$H$32)^IFERROR(INDEX('MP Calculations'!$C$40:$C$130,MATCH(F77,'MP Calculations'!$D$40:$D$130,0),0),-1))</f>
        <v>343.13988970743111</v>
      </c>
      <c r="R77" s="207">
        <f t="shared" si="6"/>
        <v>2002</v>
      </c>
      <c r="S77" s="215">
        <f>IF(P77="-",0,P77/(1+'General inputs'!$H$32)^(R77-2023))</f>
        <v>343.13988970743111</v>
      </c>
    </row>
    <row r="78" spans="3:19">
      <c r="C78" s="159"/>
      <c r="D78" s="165" t="s">
        <v>282</v>
      </c>
      <c r="E78" s="161">
        <v>37329</v>
      </c>
      <c r="F78" s="172" t="str">
        <f t="shared" si="0"/>
        <v>2001-02</v>
      </c>
      <c r="G78" s="68"/>
      <c r="H78" s="167" t="s">
        <v>280</v>
      </c>
      <c r="I78" s="173">
        <v>21853.086195380012</v>
      </c>
      <c r="J78" s="168">
        <f>IFERROR(MIN('MP Calculations'!$E$30/I78,1),"-")</f>
        <v>0.32927792945511891</v>
      </c>
      <c r="K78" s="12"/>
      <c r="L78" s="159">
        <v>0.949708</v>
      </c>
      <c r="M78" s="159" t="s">
        <v>293</v>
      </c>
      <c r="N78" s="159">
        <v>511</v>
      </c>
      <c r="O78" s="185">
        <f t="shared" si="1"/>
        <v>485.30078800000001</v>
      </c>
      <c r="P78" s="215">
        <f t="shared" si="3"/>
        <v>159.79883863557762</v>
      </c>
      <c r="Q78" s="215" cm="1">
        <f t="array" ref="Q78">IF(P78="-",0,P78/(1+'General inputs'!$H$32)^IFERROR(INDEX('MP Calculations'!$C$40:$C$130,MATCH(F78,'MP Calculations'!$D$40:$D$130,0),0),-1))</f>
        <v>379.13660505720497</v>
      </c>
      <c r="R78" s="207">
        <f t="shared" si="6"/>
        <v>2002</v>
      </c>
      <c r="S78" s="215">
        <f>IF(P78="-",0,P78/(1+'General inputs'!$H$32)^(R78-2023))</f>
        <v>379.13660505720497</v>
      </c>
    </row>
    <row r="79" spans="3:19">
      <c r="C79" s="159"/>
      <c r="D79" s="165" t="s">
        <v>298</v>
      </c>
      <c r="E79" s="161">
        <v>37438</v>
      </c>
      <c r="F79" s="172" t="str">
        <f t="shared" si="0"/>
        <v>2002-03</v>
      </c>
      <c r="G79" s="68"/>
      <c r="H79" s="167" t="s">
        <v>280</v>
      </c>
      <c r="I79" s="173">
        <v>21853.086195380012</v>
      </c>
      <c r="J79" s="168">
        <f>IFERROR(MIN('MP Calculations'!$E$30/I79,1),"-")</f>
        <v>0.32927792945511891</v>
      </c>
      <c r="K79" s="12"/>
      <c r="L79" s="159">
        <v>1</v>
      </c>
      <c r="M79" s="159" t="s">
        <v>294</v>
      </c>
      <c r="N79" s="159">
        <v>9832.52</v>
      </c>
      <c r="O79" s="185">
        <f t="shared" si="1"/>
        <v>9832.52</v>
      </c>
      <c r="P79" s="215">
        <f t="shared" si="3"/>
        <v>3237.631826926046</v>
      </c>
      <c r="Q79" s="215" cm="1">
        <f t="array" ref="Q79">IF(P79="-",0,P79/(1+'General inputs'!$H$32)^IFERROR(INDEX('MP Calculations'!$C$40:$C$130,MATCH(F79,'MP Calculations'!$D$40:$D$130,0),0),-1))</f>
        <v>7371.9408160097919</v>
      </c>
      <c r="R79" s="207">
        <f t="shared" si="6"/>
        <v>2002</v>
      </c>
      <c r="S79" s="215">
        <f>IF(P79="-",0,P79/(1+'General inputs'!$H$32)^(R79-2023))</f>
        <v>7681.5623302822023</v>
      </c>
    </row>
    <row r="80" spans="3:19">
      <c r="C80" s="159"/>
      <c r="D80" s="165" t="s">
        <v>297</v>
      </c>
      <c r="E80" s="161">
        <v>37438</v>
      </c>
      <c r="F80" s="172" t="str">
        <f t="shared" si="0"/>
        <v>2002-03</v>
      </c>
      <c r="G80" s="68"/>
      <c r="H80" s="167" t="s">
        <v>280</v>
      </c>
      <c r="I80" s="173">
        <v>21853.086195380012</v>
      </c>
      <c r="J80" s="168">
        <f>IFERROR(MIN('MP Calculations'!$E$30/I80,1),"-")</f>
        <v>0.32927792945511891</v>
      </c>
      <c r="K80" s="12"/>
      <c r="L80" s="159">
        <v>1</v>
      </c>
      <c r="M80" s="159" t="s">
        <v>294</v>
      </c>
      <c r="N80" s="159">
        <v>3522.27</v>
      </c>
      <c r="O80" s="185">
        <f t="shared" si="1"/>
        <v>3522.27</v>
      </c>
      <c r="P80" s="215">
        <f t="shared" si="3"/>
        <v>1159.8057725818817</v>
      </c>
      <c r="Q80" s="215" cm="1">
        <f t="array" ref="Q80">IF(P80="-",0,P80/(1+'General inputs'!$H$32)^IFERROR(INDEX('MP Calculations'!$C$40:$C$130,MATCH(F80,'MP Calculations'!$D$40:$D$130,0),0),-1))</f>
        <v>2640.8251371984811</v>
      </c>
      <c r="R80" s="207">
        <f t="shared" si="6"/>
        <v>2002</v>
      </c>
      <c r="S80" s="215">
        <f>IF(P80="-",0,P80/(1+'General inputs'!$H$32)^(R80-2023))</f>
        <v>2751.7397929608169</v>
      </c>
    </row>
    <row r="81" spans="3:19">
      <c r="C81" s="159"/>
      <c r="D81" s="165" t="s">
        <v>299</v>
      </c>
      <c r="E81" s="161">
        <v>37438</v>
      </c>
      <c r="F81" s="172" t="str">
        <f t="shared" si="0"/>
        <v>2002-03</v>
      </c>
      <c r="G81" s="68"/>
      <c r="H81" s="167" t="s">
        <v>280</v>
      </c>
      <c r="I81" s="173">
        <v>21853.086195380012</v>
      </c>
      <c r="J81" s="168">
        <f>IFERROR(MIN('MP Calculations'!$E$30/I81,1),"-")</f>
        <v>0.32927792945511891</v>
      </c>
      <c r="K81" s="12"/>
      <c r="L81" s="159">
        <v>1</v>
      </c>
      <c r="M81" s="159" t="s">
        <v>294</v>
      </c>
      <c r="N81" s="159">
        <v>2440.8200000000002</v>
      </c>
      <c r="O81" s="185">
        <f t="shared" si="1"/>
        <v>2440.8200000000002</v>
      </c>
      <c r="P81" s="215">
        <f t="shared" si="3"/>
        <v>803.70815577264341</v>
      </c>
      <c r="Q81" s="215" cm="1">
        <f t="array" ref="Q81">IF(P81="-",0,P81/(1+'General inputs'!$H$32)^IFERROR(INDEX('MP Calculations'!$C$40:$C$130,MATCH(F81,'MP Calculations'!$D$40:$D$130,0),0),-1))</f>
        <v>1830.0070157531356</v>
      </c>
      <c r="R81" s="207">
        <f t="shared" si="6"/>
        <v>2002</v>
      </c>
      <c r="S81" s="215">
        <f>IF(P81="-",0,P81/(1+'General inputs'!$H$32)^(R81-2023))</f>
        <v>1906.8673104147672</v>
      </c>
    </row>
    <row r="82" spans="3:19">
      <c r="C82" s="159"/>
      <c r="D82" s="165" t="s">
        <v>284</v>
      </c>
      <c r="E82" s="161">
        <v>37560</v>
      </c>
      <c r="F82" s="172" t="str">
        <f t="shared" si="0"/>
        <v>2002-03</v>
      </c>
      <c r="G82" s="68"/>
      <c r="H82" s="167" t="s">
        <v>280</v>
      </c>
      <c r="I82" s="173">
        <v>21853.086195380012</v>
      </c>
      <c r="J82" s="168">
        <f>IFERROR(MIN('MP Calculations'!$E$30/I82,1),"-")</f>
        <v>0.32927792945511891</v>
      </c>
      <c r="K82" s="12"/>
      <c r="L82" s="159">
        <v>2.5884640000000001</v>
      </c>
      <c r="M82" s="159" t="s">
        <v>293</v>
      </c>
      <c r="N82" s="159">
        <v>726</v>
      </c>
      <c r="O82" s="185">
        <f t="shared" si="1"/>
        <v>1879.224864</v>
      </c>
      <c r="P82" s="215">
        <f t="shared" si="3"/>
        <v>618.78727219849748</v>
      </c>
      <c r="Q82" s="215" cm="1">
        <f t="array" ref="Q82">IF(P82="-",0,P82/(1+'General inputs'!$H$32)^IFERROR(INDEX('MP Calculations'!$C$40:$C$130,MATCH(F82,'MP Calculations'!$D$40:$D$130,0),0),-1))</f>
        <v>1408.950551576</v>
      </c>
      <c r="R82" s="207">
        <f t="shared" si="6"/>
        <v>2002</v>
      </c>
      <c r="S82" s="215">
        <f>IF(P82="-",0,P82/(1+'General inputs'!$H$32)^(R82-2023))</f>
        <v>1468.1264747421917</v>
      </c>
    </row>
    <row r="83" spans="3:19">
      <c r="C83" s="159"/>
      <c r="D83" s="165" t="s">
        <v>284</v>
      </c>
      <c r="E83" s="161">
        <v>37560</v>
      </c>
      <c r="F83" s="172" t="str">
        <f t="shared" si="0"/>
        <v>2002-03</v>
      </c>
      <c r="G83" s="68"/>
      <c r="H83" s="167" t="s">
        <v>280</v>
      </c>
      <c r="I83" s="173">
        <v>21853.086195380012</v>
      </c>
      <c r="J83" s="168">
        <f>IFERROR(MIN('MP Calculations'!$E$30/I83,1),"-")</f>
        <v>0.32927792945511891</v>
      </c>
      <c r="K83" s="12"/>
      <c r="L83" s="159">
        <v>3.2915839999999998</v>
      </c>
      <c r="M83" s="159" t="s">
        <v>293</v>
      </c>
      <c r="N83" s="159">
        <v>726</v>
      </c>
      <c r="O83" s="185">
        <f t="shared" si="1"/>
        <v>2389.6899840000001</v>
      </c>
      <c r="P83" s="215">
        <f t="shared" si="3"/>
        <v>786.87216997115627</v>
      </c>
      <c r="Q83" s="215" cm="1">
        <f t="array" ref="Q83">IF(P83="-",0,P83/(1+'General inputs'!$H$32)^IFERROR(INDEX('MP Calculations'!$C$40:$C$130,MATCH(F83,'MP Calculations'!$D$40:$D$130,0),0),-1))</f>
        <v>1791.6722397370547</v>
      </c>
      <c r="R83" s="207">
        <f t="shared" si="6"/>
        <v>2002</v>
      </c>
      <c r="S83" s="215">
        <f>IF(P83="-",0,P83/(1+'General inputs'!$H$32)^(R83-2023))</f>
        <v>1866.9224738060109</v>
      </c>
    </row>
    <row r="84" spans="3:19">
      <c r="C84" s="159"/>
      <c r="D84" s="165" t="s">
        <v>283</v>
      </c>
      <c r="E84" s="161">
        <v>37560</v>
      </c>
      <c r="F84" s="172" t="str">
        <f t="shared" si="0"/>
        <v>2002-03</v>
      </c>
      <c r="G84" s="68"/>
      <c r="H84" s="167" t="s">
        <v>280</v>
      </c>
      <c r="I84" s="173">
        <v>21853.086195380012</v>
      </c>
      <c r="J84" s="168">
        <f>IFERROR(MIN('MP Calculations'!$E$30/I84,1),"-")</f>
        <v>0.32927792945511891</v>
      </c>
      <c r="K84" s="12"/>
      <c r="L84" s="159">
        <v>0.70118499999999995</v>
      </c>
      <c r="M84" s="159" t="s">
        <v>293</v>
      </c>
      <c r="N84" s="159">
        <v>350</v>
      </c>
      <c r="O84" s="185">
        <f t="shared" si="1"/>
        <v>245.41474999999997</v>
      </c>
      <c r="P84" s="215">
        <f t="shared" si="3"/>
        <v>80.809660737745631</v>
      </c>
      <c r="Q84" s="215" cm="1">
        <f t="array" ref="Q84">IF(P84="-",0,P84/(1+'General inputs'!$H$32)^IFERROR(INDEX('MP Calculations'!$C$40:$C$130,MATCH(F84,'MP Calculations'!$D$40:$D$130,0),0),-1))</f>
        <v>183.9999321004014</v>
      </c>
      <c r="R84" s="207">
        <f t="shared" si="6"/>
        <v>2002</v>
      </c>
      <c r="S84" s="215">
        <f>IF(P84="-",0,P84/(1+'General inputs'!$H$32)^(R84-2023))</f>
        <v>191.72792924861824</v>
      </c>
    </row>
    <row r="85" spans="3:19">
      <c r="C85" s="159"/>
      <c r="D85" s="165" t="s">
        <v>284</v>
      </c>
      <c r="E85" s="161">
        <v>37560</v>
      </c>
      <c r="F85" s="172" t="str">
        <f t="shared" si="0"/>
        <v>2002-03</v>
      </c>
      <c r="G85" s="68"/>
      <c r="H85" s="167" t="s">
        <v>280</v>
      </c>
      <c r="I85" s="173">
        <v>21853.086195380012</v>
      </c>
      <c r="J85" s="168">
        <f>IFERROR(MIN('MP Calculations'!$E$30/I85,1),"-")</f>
        <v>0.32927792945511891</v>
      </c>
      <c r="K85" s="12"/>
      <c r="L85" s="159">
        <v>3.5060639999999998</v>
      </c>
      <c r="M85" s="159" t="s">
        <v>293</v>
      </c>
      <c r="N85" s="159">
        <v>726</v>
      </c>
      <c r="O85" s="185">
        <f t="shared" si="1"/>
        <v>2545.4024639999998</v>
      </c>
      <c r="P85" s="215">
        <f t="shared" si="3"/>
        <v>838.14485297587782</v>
      </c>
      <c r="Q85" s="215" cm="1">
        <f t="array" ref="Q85">IF(P85="-",0,P85/(1+'General inputs'!$H$32)^IFERROR(INDEX('MP Calculations'!$C$40:$C$130,MATCH(F85,'MP Calculations'!$D$40:$D$130,0),0),-1))</f>
        <v>1908.4178132903357</v>
      </c>
      <c r="R85" s="207">
        <f t="shared" si="6"/>
        <v>2002</v>
      </c>
      <c r="S85" s="215">
        <f>IF(P85="-",0,P85/(1+'General inputs'!$H$32)^(R85-2023))</f>
        <v>1988.5713614485298</v>
      </c>
    </row>
    <row r="86" spans="3:19">
      <c r="C86" s="159"/>
      <c r="D86" s="165" t="s">
        <v>284</v>
      </c>
      <c r="E86" s="161">
        <v>37560</v>
      </c>
      <c r="F86" s="172" t="str">
        <f t="shared" ref="F86:F149" si="7">IF(E86="","-",IF(OR(E86&lt;$E$15,E86&gt;$E$16),"ERROR - date outside of range",IF(MONTH(E86)&gt;=7,YEAR(E86)&amp;"-"&amp;IF(YEAR(E86)=1999,"00",IF(AND(YEAR(E86)&gt;=2000,YEAR(E86)&lt;2009),"0","")&amp;RIGHT(YEAR(E86),2)+1),RIGHT(YEAR(E86),4)-1&amp;"-"&amp;RIGHT(YEAR(E86),2))))</f>
        <v>2002-03</v>
      </c>
      <c r="G86" s="68"/>
      <c r="H86" s="167" t="s">
        <v>280</v>
      </c>
      <c r="I86" s="173">
        <v>21853.086195380012</v>
      </c>
      <c r="J86" s="168">
        <f>IFERROR(MIN('MP Calculations'!$E$30/I86,1),"-")</f>
        <v>0.32927792945511891</v>
      </c>
      <c r="K86" s="12"/>
      <c r="L86" s="159">
        <v>6.1182530000000002</v>
      </c>
      <c r="M86" s="159" t="s">
        <v>293</v>
      </c>
      <c r="N86" s="159">
        <v>726</v>
      </c>
      <c r="O86" s="185">
        <f t="shared" ref="O86:O127" si="8">IF(N86="","-",L86*N86)</f>
        <v>4441.851678</v>
      </c>
      <c r="P86" s="215">
        <f t="shared" si="3"/>
        <v>1462.6037234785856</v>
      </c>
      <c r="Q86" s="215" cm="1">
        <f t="array" ref="Q86">IF(P86="-",0,P86/(1+'General inputs'!$H$32)^IFERROR(INDEX('MP Calculations'!$C$40:$C$130,MATCH(F86,'MP Calculations'!$D$40:$D$130,0),0),-1))</f>
        <v>3330.2823369502203</v>
      </c>
      <c r="R86" s="207">
        <f t="shared" si="6"/>
        <v>2002</v>
      </c>
      <c r="S86" s="215">
        <f>IF(P86="-",0,P86/(1+'General inputs'!$H$32)^(R86-2023))</f>
        <v>3470.1541951021295</v>
      </c>
    </row>
    <row r="87" spans="3:19">
      <c r="C87" s="159"/>
      <c r="D87" s="165" t="s">
        <v>284</v>
      </c>
      <c r="E87" s="161">
        <v>37560</v>
      </c>
      <c r="F87" s="172" t="str">
        <f t="shared" si="7"/>
        <v>2002-03</v>
      </c>
      <c r="G87" s="68"/>
      <c r="H87" s="167" t="s">
        <v>280</v>
      </c>
      <c r="I87" s="173">
        <v>21853.086195380012</v>
      </c>
      <c r="J87" s="168">
        <f>IFERROR(MIN('MP Calculations'!$E$30/I87,1),"-")</f>
        <v>0.32927792945511891</v>
      </c>
      <c r="K87" s="12"/>
      <c r="L87" s="159">
        <v>3.487625</v>
      </c>
      <c r="M87" s="159" t="s">
        <v>293</v>
      </c>
      <c r="N87" s="159">
        <v>726</v>
      </c>
      <c r="O87" s="185">
        <f t="shared" si="8"/>
        <v>2532.01575</v>
      </c>
      <c r="P87" s="215">
        <f t="shared" ref="P87:P150" si="9">IF(O87="-","-",IF(OR(E87&lt;$E$15,E87&gt;$E$16),0,O87*J87))</f>
        <v>833.73690350774996</v>
      </c>
      <c r="Q87" s="215" cm="1">
        <f t="array" ref="Q87">IF(P87="-",0,P87/(1+'General inputs'!$H$32)^IFERROR(INDEX('MP Calculations'!$C$40:$C$130,MATCH(F87,'MP Calculations'!$D$40:$D$130,0),0),-1))</f>
        <v>1898.3811122890818</v>
      </c>
      <c r="R87" s="207">
        <f t="shared" si="6"/>
        <v>2002</v>
      </c>
      <c r="S87" s="215">
        <f>IF(P87="-",0,P87/(1+'General inputs'!$H$32)^(R87-2023))</f>
        <v>1978.1131190052231</v>
      </c>
    </row>
    <row r="88" spans="3:19">
      <c r="C88" s="159"/>
      <c r="D88" s="165" t="s">
        <v>283</v>
      </c>
      <c r="E88" s="161">
        <v>37560</v>
      </c>
      <c r="F88" s="172" t="str">
        <f t="shared" si="7"/>
        <v>2002-03</v>
      </c>
      <c r="G88" s="68"/>
      <c r="H88" s="167" t="s">
        <v>280</v>
      </c>
      <c r="I88" s="173">
        <v>21853.086195380012</v>
      </c>
      <c r="J88" s="168">
        <f>IFERROR(MIN('MP Calculations'!$E$30/I88,1),"-")</f>
        <v>0.32927792945511891</v>
      </c>
      <c r="K88" s="12"/>
      <c r="L88" s="159">
        <v>0.72025099999999997</v>
      </c>
      <c r="M88" s="159" t="s">
        <v>293</v>
      </c>
      <c r="N88" s="159">
        <v>350</v>
      </c>
      <c r="O88" s="185">
        <f t="shared" si="8"/>
        <v>252.08785</v>
      </c>
      <c r="P88" s="215">
        <f t="shared" si="9"/>
        <v>83.0069652887926</v>
      </c>
      <c r="Q88" s="215" cm="1">
        <f t="array" ref="Q88">IF(P88="-",0,P88/(1+'General inputs'!$H$32)^IFERROR(INDEX('MP Calculations'!$C$40:$C$130,MATCH(F88,'MP Calculations'!$D$40:$D$130,0),0),-1))</f>
        <v>189.00309489684778</v>
      </c>
      <c r="R88" s="207">
        <f t="shared" si="6"/>
        <v>2002</v>
      </c>
      <c r="S88" s="215">
        <f>IF(P88="-",0,P88/(1+'General inputs'!$H$32)^(R88-2023))</f>
        <v>196.9412248825154</v>
      </c>
    </row>
    <row r="89" spans="3:19">
      <c r="C89" s="159"/>
      <c r="D89" s="165" t="s">
        <v>284</v>
      </c>
      <c r="E89" s="161">
        <v>37560</v>
      </c>
      <c r="F89" s="172" t="str">
        <f t="shared" si="7"/>
        <v>2002-03</v>
      </c>
      <c r="G89" s="68"/>
      <c r="H89" s="167" t="s">
        <v>280</v>
      </c>
      <c r="I89" s="173">
        <v>21853.086195380012</v>
      </c>
      <c r="J89" s="168">
        <f>IFERROR(MIN('MP Calculations'!$E$30/I89,1),"-")</f>
        <v>0.32927792945511891</v>
      </c>
      <c r="K89" s="12"/>
      <c r="L89" s="159">
        <v>4.3917659999999996</v>
      </c>
      <c r="M89" s="159" t="s">
        <v>293</v>
      </c>
      <c r="N89" s="159">
        <v>726</v>
      </c>
      <c r="O89" s="185">
        <f t="shared" si="8"/>
        <v>3188.4221159999997</v>
      </c>
      <c r="P89" s="215">
        <f t="shared" si="9"/>
        <v>1049.8770325853889</v>
      </c>
      <c r="Q89" s="215" cm="1">
        <f t="array" ref="Q89">IF(P89="-",0,P89/(1+'General inputs'!$H$32)^IFERROR(INDEX('MP Calculations'!$C$40:$C$130,MATCH(F89,'MP Calculations'!$D$40:$D$130,0),0),-1))</f>
        <v>2390.5223824216682</v>
      </c>
      <c r="R89" s="207">
        <f t="shared" si="6"/>
        <v>2002</v>
      </c>
      <c r="S89" s="215">
        <f>IF(P89="-",0,P89/(1+'General inputs'!$H$32)^(R89-2023))</f>
        <v>2490.9243224833785</v>
      </c>
    </row>
    <row r="90" spans="3:19">
      <c r="C90" s="159"/>
      <c r="D90" s="165" t="s">
        <v>284</v>
      </c>
      <c r="E90" s="161">
        <v>37560</v>
      </c>
      <c r="F90" s="172" t="str">
        <f t="shared" si="7"/>
        <v>2002-03</v>
      </c>
      <c r="G90" s="68"/>
      <c r="H90" s="167" t="s">
        <v>280</v>
      </c>
      <c r="I90" s="173">
        <v>21853.086195380012</v>
      </c>
      <c r="J90" s="168">
        <f>IFERROR(MIN('MP Calculations'!$E$30/I90,1),"-")</f>
        <v>0.32927792945511891</v>
      </c>
      <c r="K90" s="12"/>
      <c r="L90" s="159">
        <v>3.8262299999999998</v>
      </c>
      <c r="M90" s="159" t="s">
        <v>293</v>
      </c>
      <c r="N90" s="159">
        <v>726</v>
      </c>
      <c r="O90" s="185">
        <f t="shared" si="8"/>
        <v>2777.8429799999999</v>
      </c>
      <c r="P90" s="215">
        <f t="shared" si="9"/>
        <v>914.68238480583727</v>
      </c>
      <c r="Q90" s="215" cm="1">
        <f t="array" ref="Q90">IF(P90="-",0,P90/(1+'General inputs'!$H$32)^IFERROR(INDEX('MP Calculations'!$C$40:$C$130,MATCH(F90,'MP Calculations'!$D$40:$D$130,0),0),-1))</f>
        <v>2082.6903016447736</v>
      </c>
      <c r="R90" s="207">
        <f t="shared" si="6"/>
        <v>2002</v>
      </c>
      <c r="S90" s="215">
        <f>IF(P90="-",0,P90/(1+'General inputs'!$H$32)^(R90-2023))</f>
        <v>2170.1632943138538</v>
      </c>
    </row>
    <row r="91" spans="3:19">
      <c r="C91" s="159"/>
      <c r="D91" s="165" t="s">
        <v>283</v>
      </c>
      <c r="E91" s="161">
        <v>37560</v>
      </c>
      <c r="F91" s="172" t="str">
        <f t="shared" si="7"/>
        <v>2002-03</v>
      </c>
      <c r="G91" s="68"/>
      <c r="H91" s="167" t="s">
        <v>280</v>
      </c>
      <c r="I91" s="173">
        <v>21853.086195380012</v>
      </c>
      <c r="J91" s="168">
        <f>IFERROR(MIN('MP Calculations'!$E$30/I91,1),"-")</f>
        <v>0.32927792945511891</v>
      </c>
      <c r="K91" s="12"/>
      <c r="L91" s="159">
        <v>0.77654699999999999</v>
      </c>
      <c r="M91" s="159" t="s">
        <v>293</v>
      </c>
      <c r="N91" s="159">
        <v>350</v>
      </c>
      <c r="O91" s="185">
        <f t="shared" si="8"/>
        <v>271.79145</v>
      </c>
      <c r="P91" s="215">
        <f t="shared" si="9"/>
        <v>89.494925899604482</v>
      </c>
      <c r="Q91" s="215" cm="1">
        <f t="array" ref="Q91">IF(P91="-",0,P91/(1+'General inputs'!$H$32)^IFERROR(INDEX('MP Calculations'!$C$40:$C$130,MATCH(F91,'MP Calculations'!$D$40:$D$130,0),0),-1))</f>
        <v>203.77588692395076</v>
      </c>
      <c r="R91" s="207">
        <f t="shared" si="6"/>
        <v>2002</v>
      </c>
      <c r="S91" s="215">
        <f>IF(P91="-",0,P91/(1+'General inputs'!$H$32)^(R91-2023))</f>
        <v>212.33447417475671</v>
      </c>
    </row>
    <row r="92" spans="3:19">
      <c r="C92" s="159"/>
      <c r="D92" s="165" t="s">
        <v>284</v>
      </c>
      <c r="E92" s="161">
        <v>37560</v>
      </c>
      <c r="F92" s="172" t="str">
        <f t="shared" si="7"/>
        <v>2002-03</v>
      </c>
      <c r="G92" s="68"/>
      <c r="H92" s="167" t="s">
        <v>280</v>
      </c>
      <c r="I92" s="173">
        <v>21853.086195380012</v>
      </c>
      <c r="J92" s="168">
        <f>IFERROR(MIN('MP Calculations'!$E$30/I92,1),"-")</f>
        <v>0.32927792945511891</v>
      </c>
      <c r="K92" s="12"/>
      <c r="L92" s="159">
        <v>3.4888690000000002</v>
      </c>
      <c r="M92" s="159" t="s">
        <v>293</v>
      </c>
      <c r="N92" s="159">
        <v>726</v>
      </c>
      <c r="O92" s="185">
        <f t="shared" si="8"/>
        <v>2532.9188940000004</v>
      </c>
      <c r="P92" s="215">
        <f t="shared" si="9"/>
        <v>834.03428889406996</v>
      </c>
      <c r="Q92" s="215" cm="1">
        <f t="array" ref="Q92">IF(P92="-",0,P92/(1+'General inputs'!$H$32)^IFERROR(INDEX('MP Calculations'!$C$40:$C$130,MATCH(F92,'MP Calculations'!$D$40:$D$130,0),0),-1))</f>
        <v>1899.0582453247978</v>
      </c>
      <c r="R92" s="207">
        <f t="shared" si="6"/>
        <v>2002</v>
      </c>
      <c r="S92" s="215">
        <f>IF(P92="-",0,P92/(1+'General inputs'!$H$32)^(R92-2023))</f>
        <v>1978.8186916284392</v>
      </c>
    </row>
    <row r="93" spans="3:19">
      <c r="C93" s="159"/>
      <c r="D93" s="165" t="s">
        <v>284</v>
      </c>
      <c r="E93" s="161">
        <v>37560</v>
      </c>
      <c r="F93" s="172" t="str">
        <f t="shared" si="7"/>
        <v>2002-03</v>
      </c>
      <c r="G93" s="68"/>
      <c r="H93" s="167" t="s">
        <v>280</v>
      </c>
      <c r="I93" s="173">
        <v>21853.086195380012</v>
      </c>
      <c r="J93" s="168">
        <f>IFERROR(MIN('MP Calculations'!$E$30/I93,1),"-")</f>
        <v>0.32927792945511891</v>
      </c>
      <c r="K93" s="12"/>
      <c r="L93" s="159">
        <v>4.2943360000000004</v>
      </c>
      <c r="M93" s="159" t="s">
        <v>293</v>
      </c>
      <c r="N93" s="159">
        <v>726</v>
      </c>
      <c r="O93" s="185">
        <f t="shared" si="8"/>
        <v>3117.6879360000003</v>
      </c>
      <c r="P93" s="215">
        <f t="shared" si="9"/>
        <v>1026.5858282532834</v>
      </c>
      <c r="Q93" s="215" cm="1">
        <f t="array" ref="Q93">IF(P93="-",0,P93/(1+'General inputs'!$H$32)^IFERROR(INDEX('MP Calculations'!$C$40:$C$130,MATCH(F93,'MP Calculations'!$D$40:$D$130,0),0),-1))</f>
        <v>2337.4893666099561</v>
      </c>
      <c r="R93" s="207">
        <f t="shared" si="6"/>
        <v>2002</v>
      </c>
      <c r="S93" s="215">
        <f>IF(P93="-",0,P93/(1+'General inputs'!$H$32)^(R93-2023))</f>
        <v>2435.6639200075738</v>
      </c>
    </row>
    <row r="94" spans="3:19">
      <c r="C94" s="159"/>
      <c r="D94" s="165" t="s">
        <v>284</v>
      </c>
      <c r="E94" s="161">
        <v>37560</v>
      </c>
      <c r="F94" s="172" t="str">
        <f t="shared" si="7"/>
        <v>2002-03</v>
      </c>
      <c r="G94" s="68"/>
      <c r="H94" s="167" t="s">
        <v>280</v>
      </c>
      <c r="I94" s="173">
        <v>21853.086195380012</v>
      </c>
      <c r="J94" s="168">
        <f>IFERROR(MIN('MP Calculations'!$E$30/I94,1),"-")</f>
        <v>0.32927792945511891</v>
      </c>
      <c r="K94" s="12"/>
      <c r="L94" s="159">
        <v>4.3946769999999997</v>
      </c>
      <c r="M94" s="159" t="s">
        <v>293</v>
      </c>
      <c r="N94" s="159">
        <v>726</v>
      </c>
      <c r="O94" s="185">
        <f t="shared" si="8"/>
        <v>3190.5355019999997</v>
      </c>
      <c r="P94" s="215">
        <f t="shared" si="9"/>
        <v>1050.5729239516083</v>
      </c>
      <c r="Q94" s="215" cm="1">
        <f t="array" ref="Q94">IF(P94="-",0,P94/(1+'General inputs'!$H$32)^IFERROR(INDEX('MP Calculations'!$C$40:$C$130,MATCH(F94,'MP Calculations'!$D$40:$D$130,0),0),-1))</f>
        <v>2392.1068954980096</v>
      </c>
      <c r="R94" s="207">
        <f t="shared" si="6"/>
        <v>2002</v>
      </c>
      <c r="S94" s="215">
        <f>IF(P94="-",0,P94/(1+'General inputs'!$H$32)^(R94-2023))</f>
        <v>2492.5753851089257</v>
      </c>
    </row>
    <row r="95" spans="3:19">
      <c r="C95" s="159"/>
      <c r="D95" s="165" t="s">
        <v>284</v>
      </c>
      <c r="E95" s="161">
        <v>37560</v>
      </c>
      <c r="F95" s="172" t="str">
        <f t="shared" si="7"/>
        <v>2002-03</v>
      </c>
      <c r="G95" s="68"/>
      <c r="H95" s="167" t="s">
        <v>280</v>
      </c>
      <c r="I95" s="173">
        <v>21853.086195380012</v>
      </c>
      <c r="J95" s="168">
        <f>IFERROR(MIN('MP Calculations'!$E$30/I95,1),"-")</f>
        <v>0.32927792945511891</v>
      </c>
      <c r="K95" s="12"/>
      <c r="L95" s="159">
        <v>290.68601799999999</v>
      </c>
      <c r="M95" s="159" t="s">
        <v>293</v>
      </c>
      <c r="N95" s="159">
        <v>726</v>
      </c>
      <c r="O95" s="185">
        <f t="shared" si="8"/>
        <v>211038.04906799999</v>
      </c>
      <c r="P95" s="215">
        <f t="shared" si="9"/>
        <v>69490.171833358821</v>
      </c>
      <c r="Q95" s="215" cm="1">
        <f t="array" ref="Q95">IF(P95="-",0,P95/(1+'General inputs'!$H$32)^IFERROR(INDEX('MP Calculations'!$C$40:$C$130,MATCH(F95,'MP Calculations'!$D$40:$D$130,0),0),-1))</f>
        <v>158225.96929937252</v>
      </c>
      <c r="R95" s="207">
        <f t="shared" si="6"/>
        <v>2002</v>
      </c>
      <c r="S95" s="215">
        <f>IF(P95="-",0,P95/(1+'General inputs'!$H$32)^(R95-2023))</f>
        <v>164871.46000994614</v>
      </c>
    </row>
    <row r="96" spans="3:19">
      <c r="C96" s="159"/>
      <c r="D96" s="165" t="s">
        <v>284</v>
      </c>
      <c r="E96" s="161">
        <v>37560</v>
      </c>
      <c r="F96" s="172" t="str">
        <f t="shared" si="7"/>
        <v>2002-03</v>
      </c>
      <c r="G96" s="68"/>
      <c r="H96" s="167" t="s">
        <v>280</v>
      </c>
      <c r="I96" s="173">
        <v>21853.086195380012</v>
      </c>
      <c r="J96" s="168">
        <f>IFERROR(MIN('MP Calculations'!$E$30/I96,1),"-")</f>
        <v>0.32927792945511891</v>
      </c>
      <c r="K96" s="12"/>
      <c r="L96" s="159">
        <v>1.8024789999999999</v>
      </c>
      <c r="M96" s="159" t="s">
        <v>293</v>
      </c>
      <c r="N96" s="159">
        <v>726</v>
      </c>
      <c r="O96" s="185">
        <f t="shared" si="8"/>
        <v>1308.5997539999998</v>
      </c>
      <c r="P96" s="215">
        <f t="shared" si="9"/>
        <v>430.89301748259788</v>
      </c>
      <c r="Q96" s="215" cm="1">
        <f t="array" ref="Q96">IF(P96="-",0,P96/(1+'General inputs'!$H$32)^IFERROR(INDEX('MP Calculations'!$C$40:$C$130,MATCH(F96,'MP Calculations'!$D$40:$D$130,0),0),-1))</f>
        <v>981.12385617654172</v>
      </c>
      <c r="R96" s="207">
        <f t="shared" si="6"/>
        <v>2002</v>
      </c>
      <c r="S96" s="215">
        <f>IF(P96="-",0,P96/(1+'General inputs'!$H$32)^(R96-2023))</f>
        <v>1022.3310581359565</v>
      </c>
    </row>
    <row r="97" spans="3:19">
      <c r="C97" s="159"/>
      <c r="D97" s="165" t="s">
        <v>284</v>
      </c>
      <c r="E97" s="161">
        <v>37560</v>
      </c>
      <c r="F97" s="172" t="str">
        <f t="shared" si="7"/>
        <v>2002-03</v>
      </c>
      <c r="G97" s="68"/>
      <c r="H97" s="167" t="s">
        <v>280</v>
      </c>
      <c r="I97" s="173">
        <v>21853.086195380012</v>
      </c>
      <c r="J97" s="168">
        <f>IFERROR(MIN('MP Calculations'!$E$30/I97,1),"-")</f>
        <v>0.32927792945511891</v>
      </c>
      <c r="K97" s="12"/>
      <c r="L97" s="159">
        <v>183.13752199999999</v>
      </c>
      <c r="M97" s="159" t="s">
        <v>293</v>
      </c>
      <c r="N97" s="159">
        <v>726</v>
      </c>
      <c r="O97" s="185">
        <f t="shared" si="8"/>
        <v>132957.84097200001</v>
      </c>
      <c r="P97" s="215">
        <f t="shared" si="9"/>
        <v>43780.082580083137</v>
      </c>
      <c r="Q97" s="215" cm="1">
        <f t="array" ref="Q97">IF(P97="-",0,P97/(1+'General inputs'!$H$32)^IFERROR(INDEX('MP Calculations'!$C$40:$C$130,MATCH(F97,'MP Calculations'!$D$40:$D$130,0),0),-1))</f>
        <v>99685.262238981028</v>
      </c>
      <c r="R97" s="207">
        <f t="shared" si="6"/>
        <v>2002</v>
      </c>
      <c r="S97" s="215">
        <f>IF(P97="-",0,P97/(1+'General inputs'!$H$32)^(R97-2023))</f>
        <v>103872.04325301823</v>
      </c>
    </row>
    <row r="98" spans="3:19">
      <c r="C98" s="159"/>
      <c r="D98" s="165" t="s">
        <v>284</v>
      </c>
      <c r="E98" s="161">
        <v>37560</v>
      </c>
      <c r="F98" s="172" t="str">
        <f t="shared" si="7"/>
        <v>2002-03</v>
      </c>
      <c r="G98" s="68"/>
      <c r="H98" s="167" t="s">
        <v>280</v>
      </c>
      <c r="I98" s="173">
        <v>21853.086195380012</v>
      </c>
      <c r="J98" s="168">
        <f>IFERROR(MIN('MP Calculations'!$E$30/I98,1),"-")</f>
        <v>0.32927792945511891</v>
      </c>
      <c r="K98" s="12"/>
      <c r="L98" s="159">
        <v>1.707355</v>
      </c>
      <c r="M98" s="159" t="s">
        <v>293</v>
      </c>
      <c r="N98" s="159">
        <v>726</v>
      </c>
      <c r="O98" s="185">
        <f t="shared" si="8"/>
        <v>1239.53973</v>
      </c>
      <c r="P98" s="215">
        <f t="shared" si="9"/>
        <v>408.15307577175713</v>
      </c>
      <c r="Q98" s="215" cm="1">
        <f t="array" ref="Q98">IF(P98="-",0,P98/(1+'General inputs'!$H$32)^IFERROR(INDEX('MP Calculations'!$C$40:$C$130,MATCH(F98,'MP Calculations'!$D$40:$D$130,0),0),-1))</f>
        <v>929.34604034904135</v>
      </c>
      <c r="R98" s="207">
        <f t="shared" si="6"/>
        <v>2002</v>
      </c>
      <c r="S98" s="215">
        <f>IF(P98="-",0,P98/(1+'General inputs'!$H$32)^(R98-2023))</f>
        <v>968.37857404370106</v>
      </c>
    </row>
    <row r="99" spans="3:19">
      <c r="C99" s="159"/>
      <c r="D99" s="165" t="s">
        <v>284</v>
      </c>
      <c r="E99" s="161">
        <v>37560</v>
      </c>
      <c r="F99" s="172" t="str">
        <f t="shared" si="7"/>
        <v>2002-03</v>
      </c>
      <c r="G99" s="68"/>
      <c r="H99" s="167" t="s">
        <v>280</v>
      </c>
      <c r="I99" s="173">
        <v>21853.086195380012</v>
      </c>
      <c r="J99" s="168">
        <f>IFERROR(MIN('MP Calculations'!$E$30/I99,1),"-")</f>
        <v>0.32927792945511891</v>
      </c>
      <c r="K99" s="12"/>
      <c r="L99" s="159">
        <v>330.79535900000002</v>
      </c>
      <c r="M99" s="159" t="s">
        <v>293</v>
      </c>
      <c r="N99" s="159">
        <v>726</v>
      </c>
      <c r="O99" s="185">
        <f t="shared" si="8"/>
        <v>240157.43063400002</v>
      </c>
      <c r="P99" s="215">
        <f t="shared" si="9"/>
        <v>79078.541502424865</v>
      </c>
      <c r="Q99" s="215" cm="1">
        <f t="array" ref="Q99">IF(P99="-",0,P99/(1+'General inputs'!$H$32)^IFERROR(INDEX('MP Calculations'!$C$40:$C$130,MATCH(F99,'MP Calculations'!$D$40:$D$130,0),0),-1))</f>
        <v>180058.25212242891</v>
      </c>
      <c r="R99" s="207">
        <f t="shared" si="6"/>
        <v>2002</v>
      </c>
      <c r="S99" s="215">
        <f>IF(P99="-",0,P99/(1+'General inputs'!$H$32)^(R99-2023))</f>
        <v>187620.69871157093</v>
      </c>
    </row>
    <row r="100" spans="3:19">
      <c r="C100" s="159"/>
      <c r="D100" s="165" t="s">
        <v>284</v>
      </c>
      <c r="E100" s="161">
        <v>37560</v>
      </c>
      <c r="F100" s="172" t="str">
        <f t="shared" si="7"/>
        <v>2002-03</v>
      </c>
      <c r="G100" s="68"/>
      <c r="H100" s="167" t="s">
        <v>280</v>
      </c>
      <c r="I100" s="173">
        <v>21853.086195380012</v>
      </c>
      <c r="J100" s="168">
        <f>IFERROR(MIN('MP Calculations'!$E$30/I100,1),"-")</f>
        <v>0.32927792945511891</v>
      </c>
      <c r="K100" s="12"/>
      <c r="L100" s="159">
        <v>332.58981599999998</v>
      </c>
      <c r="M100" s="159" t="s">
        <v>293</v>
      </c>
      <c r="N100" s="159">
        <v>726</v>
      </c>
      <c r="O100" s="185">
        <f t="shared" si="8"/>
        <v>241460.206416</v>
      </c>
      <c r="P100" s="215">
        <f t="shared" si="9"/>
        <v>79507.5168144661</v>
      </c>
      <c r="Q100" s="215" cm="1">
        <f t="array" ref="Q100">IF(P100="-",0,P100/(1+'General inputs'!$H$32)^IFERROR(INDEX('MP Calculations'!$C$40:$C$130,MATCH(F100,'MP Calculations'!$D$40:$D$130,0),0),-1))</f>
        <v>181035.00945029958</v>
      </c>
      <c r="R100" s="207">
        <f t="shared" si="6"/>
        <v>2002</v>
      </c>
      <c r="S100" s="215">
        <f>IF(P100="-",0,P100/(1+'General inputs'!$H$32)^(R100-2023))</f>
        <v>188638.47984721218</v>
      </c>
    </row>
    <row r="101" spans="3:19">
      <c r="C101" s="159"/>
      <c r="D101" s="165" t="s">
        <v>284</v>
      </c>
      <c r="E101" s="161">
        <v>37560</v>
      </c>
      <c r="F101" s="172" t="str">
        <f t="shared" si="7"/>
        <v>2002-03</v>
      </c>
      <c r="G101" s="68"/>
      <c r="H101" s="167" t="s">
        <v>280</v>
      </c>
      <c r="I101" s="173">
        <v>21853.086195380012</v>
      </c>
      <c r="J101" s="168">
        <f>IFERROR(MIN('MP Calculations'!$E$30/I101,1),"-")</f>
        <v>0.32927792945511891</v>
      </c>
      <c r="K101" s="12"/>
      <c r="L101" s="159">
        <v>278.20417700000002</v>
      </c>
      <c r="M101" s="159" t="s">
        <v>293</v>
      </c>
      <c r="N101" s="159">
        <v>726</v>
      </c>
      <c r="O101" s="185">
        <f t="shared" si="8"/>
        <v>201976.232502</v>
      </c>
      <c r="P101" s="215">
        <f t="shared" si="9"/>
        <v>66506.315637404245</v>
      </c>
      <c r="Q101" s="215" cm="1">
        <f t="array" ref="Q101">IF(P101="-",0,P101/(1+'General inputs'!$H$32)^IFERROR(INDEX('MP Calculations'!$C$40:$C$130,MATCH(F101,'MP Calculations'!$D$40:$D$130,0),0),-1))</f>
        <v>151431.86408422023</v>
      </c>
      <c r="R101" s="207">
        <f t="shared" si="6"/>
        <v>2002</v>
      </c>
      <c r="S101" s="215">
        <f>IF(P101="-",0,P101/(1+'General inputs'!$H$32)^(R101-2023))</f>
        <v>157792.00237575747</v>
      </c>
    </row>
    <row r="102" spans="3:19">
      <c r="C102" s="159"/>
      <c r="D102" s="165" t="s">
        <v>284</v>
      </c>
      <c r="E102" s="161">
        <v>37560</v>
      </c>
      <c r="F102" s="172" t="str">
        <f t="shared" si="7"/>
        <v>2002-03</v>
      </c>
      <c r="G102" s="68"/>
      <c r="H102" s="167" t="s">
        <v>280</v>
      </c>
      <c r="I102" s="173">
        <v>21853.086195380012</v>
      </c>
      <c r="J102" s="168">
        <f>IFERROR(MIN('MP Calculations'!$E$30/I102,1),"-")</f>
        <v>0.32927792945511891</v>
      </c>
      <c r="K102" s="12"/>
      <c r="L102" s="159">
        <v>264.50826899999998</v>
      </c>
      <c r="M102" s="159" t="s">
        <v>293</v>
      </c>
      <c r="N102" s="159">
        <v>726</v>
      </c>
      <c r="O102" s="185">
        <f t="shared" si="8"/>
        <v>192033.00329399999</v>
      </c>
      <c r="P102" s="215">
        <f t="shared" si="9"/>
        <v>63232.229711696345</v>
      </c>
      <c r="Q102" s="215" cm="1">
        <f t="array" ref="Q102">IF(P102="-",0,P102/(1+'General inputs'!$H$32)^IFERROR(INDEX('MP Calculations'!$C$40:$C$130,MATCH(F102,'MP Calculations'!$D$40:$D$130,0),0),-1))</f>
        <v>143976.91893878489</v>
      </c>
      <c r="R102" s="207">
        <f t="shared" si="6"/>
        <v>2002</v>
      </c>
      <c r="S102" s="215">
        <f>IF(P102="-",0,P102/(1+'General inputs'!$H$32)^(R102-2023))</f>
        <v>150023.94953421384</v>
      </c>
    </row>
    <row r="103" spans="3:19">
      <c r="C103" s="159"/>
      <c r="D103" s="165" t="s">
        <v>284</v>
      </c>
      <c r="E103" s="161">
        <v>37560</v>
      </c>
      <c r="F103" s="172" t="str">
        <f t="shared" si="7"/>
        <v>2002-03</v>
      </c>
      <c r="G103" s="68"/>
      <c r="H103" s="167" t="s">
        <v>280</v>
      </c>
      <c r="I103" s="173">
        <v>21853.086195380012</v>
      </c>
      <c r="J103" s="168">
        <f>IFERROR(MIN('MP Calculations'!$E$30/I103,1),"-")</f>
        <v>0.32927792945511891</v>
      </c>
      <c r="K103" s="12"/>
      <c r="L103" s="159">
        <v>0.92728100000000002</v>
      </c>
      <c r="M103" s="159" t="s">
        <v>293</v>
      </c>
      <c r="N103" s="159">
        <v>726</v>
      </c>
      <c r="O103" s="185">
        <f t="shared" si="8"/>
        <v>673.206006</v>
      </c>
      <c r="P103" s="215">
        <f t="shared" si="9"/>
        <v>221.67187975243036</v>
      </c>
      <c r="Q103" s="215" cm="1">
        <f t="array" ref="Q103">IF(P103="-",0,P103/(1+'General inputs'!$H$32)^IFERROR(INDEX('MP Calculations'!$C$40:$C$130,MATCH(F103,'MP Calculations'!$D$40:$D$130,0),0),-1))</f>
        <v>504.73681550755373</v>
      </c>
      <c r="R103" s="207">
        <f t="shared" si="6"/>
        <v>2002</v>
      </c>
      <c r="S103" s="215">
        <f>IF(P103="-",0,P103/(1+'General inputs'!$H$32)^(R103-2023))</f>
        <v>525.93576175887097</v>
      </c>
    </row>
    <row r="104" spans="3:19">
      <c r="C104" s="159"/>
      <c r="D104" s="165" t="s">
        <v>284</v>
      </c>
      <c r="E104" s="161">
        <v>37560</v>
      </c>
      <c r="F104" s="172" t="str">
        <f t="shared" si="7"/>
        <v>2002-03</v>
      </c>
      <c r="G104" s="68"/>
      <c r="H104" s="167" t="s">
        <v>280</v>
      </c>
      <c r="I104" s="173">
        <v>21853.086195380012</v>
      </c>
      <c r="J104" s="168">
        <f>IFERROR(MIN('MP Calculations'!$E$30/I104,1),"-")</f>
        <v>0.32927792945511891</v>
      </c>
      <c r="K104" s="12"/>
      <c r="L104" s="159">
        <v>0.99962600000000001</v>
      </c>
      <c r="M104" s="159" t="s">
        <v>293</v>
      </c>
      <c r="N104" s="159">
        <v>726</v>
      </c>
      <c r="O104" s="185">
        <f t="shared" si="8"/>
        <v>725.728476</v>
      </c>
      <c r="P104" s="215">
        <f t="shared" si="9"/>
        <v>238.96636992389895</v>
      </c>
      <c r="Q104" s="215" cm="1">
        <f t="array" ref="Q104">IF(P104="-",0,P104/(1+'General inputs'!$H$32)^IFERROR(INDEX('MP Calculations'!$C$40:$C$130,MATCH(F104,'MP Calculations'!$D$40:$D$130,0),0),-1))</f>
        <v>544.11558517704339</v>
      </c>
      <c r="R104" s="207">
        <f t="shared" si="6"/>
        <v>2002</v>
      </c>
      <c r="S104" s="215">
        <f>IF(P104="-",0,P104/(1+'General inputs'!$H$32)^(R104-2023))</f>
        <v>566.96843975447916</v>
      </c>
    </row>
    <row r="105" spans="3:19">
      <c r="C105" s="159"/>
      <c r="D105" s="165" t="s">
        <v>284</v>
      </c>
      <c r="E105" s="161">
        <v>37560</v>
      </c>
      <c r="F105" s="172" t="str">
        <f t="shared" si="7"/>
        <v>2002-03</v>
      </c>
      <c r="G105" s="68"/>
      <c r="H105" s="167" t="s">
        <v>280</v>
      </c>
      <c r="I105" s="173">
        <v>21853.086195380012</v>
      </c>
      <c r="J105" s="168">
        <f>IFERROR(MIN('MP Calculations'!$E$30/I105,1),"-")</f>
        <v>0.32927792945511891</v>
      </c>
      <c r="K105" s="12"/>
      <c r="L105" s="159">
        <v>4.0081449999999998</v>
      </c>
      <c r="M105" s="159" t="s">
        <v>293</v>
      </c>
      <c r="N105" s="159">
        <v>726</v>
      </c>
      <c r="O105" s="185">
        <f t="shared" si="8"/>
        <v>2909.91327</v>
      </c>
      <c r="P105" s="215">
        <f t="shared" si="9"/>
        <v>958.17021643957435</v>
      </c>
      <c r="Q105" s="215" cm="1">
        <f t="array" ref="Q105">IF(P105="-",0,P105/(1+'General inputs'!$H$32)^IFERROR(INDEX('MP Calculations'!$C$40:$C$130,MATCH(F105,'MP Calculations'!$D$40:$D$130,0),0),-1))</f>
        <v>2181.7101217349691</v>
      </c>
      <c r="R105" s="207">
        <f t="shared" si="6"/>
        <v>2002</v>
      </c>
      <c r="S105" s="215">
        <f>IF(P105="-",0,P105/(1+'General inputs'!$H$32)^(R105-2023))</f>
        <v>2273.3419468478378</v>
      </c>
    </row>
    <row r="106" spans="3:19">
      <c r="C106" s="159"/>
      <c r="D106" s="165" t="s">
        <v>284</v>
      </c>
      <c r="E106" s="161">
        <v>37560</v>
      </c>
      <c r="F106" s="172" t="str">
        <f t="shared" si="7"/>
        <v>2002-03</v>
      </c>
      <c r="G106" s="68"/>
      <c r="H106" s="167" t="s">
        <v>280</v>
      </c>
      <c r="I106" s="173">
        <v>21853.086195380012</v>
      </c>
      <c r="J106" s="168">
        <f>IFERROR(MIN('MP Calculations'!$E$30/I106,1),"-")</f>
        <v>0.32927792945511891</v>
      </c>
      <c r="K106" s="12"/>
      <c r="L106" s="159">
        <v>1.2000850000000001</v>
      </c>
      <c r="M106" s="159" t="s">
        <v>293</v>
      </c>
      <c r="N106" s="159">
        <v>726</v>
      </c>
      <c r="O106" s="185">
        <f t="shared" si="8"/>
        <v>871.26170999999999</v>
      </c>
      <c r="P106" s="215">
        <f t="shared" si="9"/>
        <v>286.88725188232627</v>
      </c>
      <c r="Q106" s="215" cm="1">
        <f t="array" ref="Q106">IF(P106="-",0,P106/(1+'General inputs'!$H$32)^IFERROR(INDEX('MP Calculations'!$C$40:$C$130,MATCH(F106,'MP Calculations'!$D$40:$D$130,0),0),-1))</f>
        <v>653.22925978034993</v>
      </c>
      <c r="R106" s="207">
        <f t="shared" ref="R106:R169" si="10">YEAR(E106)</f>
        <v>2002</v>
      </c>
      <c r="S106" s="215">
        <f>IF(P106="-",0,P106/(1+'General inputs'!$H$32)^(R106-2023))</f>
        <v>680.66488869112459</v>
      </c>
    </row>
    <row r="107" spans="3:19">
      <c r="C107" s="159"/>
      <c r="D107" s="165" t="s">
        <v>284</v>
      </c>
      <c r="E107" s="161">
        <v>37560</v>
      </c>
      <c r="F107" s="172" t="str">
        <f t="shared" si="7"/>
        <v>2002-03</v>
      </c>
      <c r="G107" s="68"/>
      <c r="H107" s="167" t="s">
        <v>280</v>
      </c>
      <c r="I107" s="173">
        <v>21853.086195380012</v>
      </c>
      <c r="J107" s="168">
        <f>IFERROR(MIN('MP Calculations'!$E$30/I107,1),"-")</f>
        <v>0.32927792945511891</v>
      </c>
      <c r="K107" s="12"/>
      <c r="L107" s="159">
        <v>26.990468</v>
      </c>
      <c r="M107" s="159" t="s">
        <v>293</v>
      </c>
      <c r="N107" s="159">
        <v>726</v>
      </c>
      <c r="O107" s="185">
        <f t="shared" si="8"/>
        <v>19595.079768</v>
      </c>
      <c r="P107" s="215">
        <f t="shared" si="9"/>
        <v>6452.2272935149322</v>
      </c>
      <c r="Q107" s="215" cm="1">
        <f t="array" ref="Q107">IF(P107="-",0,P107/(1+'General inputs'!$H$32)^IFERROR(INDEX('MP Calculations'!$C$40:$C$130,MATCH(F107,'MP Calculations'!$D$40:$D$130,0),0),-1))</f>
        <v>14691.428884425039</v>
      </c>
      <c r="R107" s="207">
        <f t="shared" si="10"/>
        <v>2002</v>
      </c>
      <c r="S107" s="215">
        <f>IF(P107="-",0,P107/(1+'General inputs'!$H$32)^(R107-2023))</f>
        <v>15308.468897570889</v>
      </c>
    </row>
    <row r="108" spans="3:19">
      <c r="C108" s="159"/>
      <c r="D108" s="165" t="s">
        <v>284</v>
      </c>
      <c r="E108" s="161">
        <v>37560</v>
      </c>
      <c r="F108" s="172" t="str">
        <f t="shared" si="7"/>
        <v>2002-03</v>
      </c>
      <c r="G108" s="68"/>
      <c r="H108" s="167" t="s">
        <v>280</v>
      </c>
      <c r="I108" s="173">
        <v>21853.086195380012</v>
      </c>
      <c r="J108" s="168">
        <f>IFERROR(MIN('MP Calculations'!$E$30/I108,1),"-")</f>
        <v>0.32927792945511891</v>
      </c>
      <c r="K108" s="12"/>
      <c r="L108" s="159">
        <v>0.34546300000000002</v>
      </c>
      <c r="M108" s="159" t="s">
        <v>293</v>
      </c>
      <c r="N108" s="159">
        <v>726</v>
      </c>
      <c r="O108" s="185">
        <f t="shared" si="8"/>
        <v>250.806138</v>
      </c>
      <c r="P108" s="215">
        <f t="shared" si="9"/>
        <v>82.584925815274815</v>
      </c>
      <c r="Q108" s="215" cm="1">
        <f t="array" ref="Q108">IF(P108="-",0,P108/(1+'General inputs'!$H$32)^IFERROR(INDEX('MP Calculations'!$C$40:$C$130,MATCH(F108,'MP Calculations'!$D$40:$D$130,0),0),-1))</f>
        <v>188.04213015869627</v>
      </c>
      <c r="R108" s="207">
        <f t="shared" si="10"/>
        <v>2002</v>
      </c>
      <c r="S108" s="215">
        <f>IF(P108="-",0,P108/(1+'General inputs'!$H$32)^(R108-2023))</f>
        <v>195.93989962536151</v>
      </c>
    </row>
    <row r="109" spans="3:19">
      <c r="C109" s="159"/>
      <c r="D109" s="165" t="s">
        <v>284</v>
      </c>
      <c r="E109" s="161">
        <v>37560</v>
      </c>
      <c r="F109" s="172" t="str">
        <f t="shared" si="7"/>
        <v>2002-03</v>
      </c>
      <c r="G109" s="68"/>
      <c r="H109" s="167" t="s">
        <v>280</v>
      </c>
      <c r="I109" s="173">
        <v>21853.086195380012</v>
      </c>
      <c r="J109" s="168">
        <f>IFERROR(MIN('MP Calculations'!$E$30/I109,1),"-")</f>
        <v>0.32927792945511891</v>
      </c>
      <c r="K109" s="12"/>
      <c r="L109" s="159">
        <v>1.9748920000000001</v>
      </c>
      <c r="M109" s="159" t="s">
        <v>293</v>
      </c>
      <c r="N109" s="159">
        <v>726</v>
      </c>
      <c r="O109" s="185">
        <f t="shared" si="8"/>
        <v>1433.7715920000001</v>
      </c>
      <c r="P109" s="215">
        <f t="shared" si="9"/>
        <v>472.10934112532954</v>
      </c>
      <c r="Q109" s="215" cm="1">
        <f t="array" ref="Q109">IF(P109="-",0,P109/(1+'General inputs'!$H$32)^IFERROR(INDEX('MP Calculations'!$C$40:$C$130,MATCH(F109,'MP Calculations'!$D$40:$D$130,0),0),-1))</f>
        <v>1074.971555603257</v>
      </c>
      <c r="R109" s="207">
        <f t="shared" si="10"/>
        <v>2002</v>
      </c>
      <c r="S109" s="215">
        <f>IF(P109="-",0,P109/(1+'General inputs'!$H$32)^(R109-2023))</f>
        <v>1120.1203609385939</v>
      </c>
    </row>
    <row r="110" spans="3:19">
      <c r="C110" s="159"/>
      <c r="D110" s="165" t="s">
        <v>284</v>
      </c>
      <c r="E110" s="161">
        <v>37560</v>
      </c>
      <c r="F110" s="172" t="str">
        <f t="shared" si="7"/>
        <v>2002-03</v>
      </c>
      <c r="G110" s="68"/>
      <c r="H110" s="167" t="s">
        <v>280</v>
      </c>
      <c r="I110" s="173">
        <v>21853.086195380012</v>
      </c>
      <c r="J110" s="168">
        <f>IFERROR(MIN('MP Calculations'!$E$30/I110,1),"-")</f>
        <v>0.32927792945511891</v>
      </c>
      <c r="K110" s="12"/>
      <c r="L110" s="159">
        <v>119.50746599999999</v>
      </c>
      <c r="M110" s="159" t="s">
        <v>293</v>
      </c>
      <c r="N110" s="159">
        <v>726</v>
      </c>
      <c r="O110" s="185">
        <f t="shared" si="8"/>
        <v>86762.420315999989</v>
      </c>
      <c r="P110" s="215">
        <f t="shared" si="9"/>
        <v>28568.95011616722</v>
      </c>
      <c r="Q110" s="215" cm="1">
        <f t="array" ref="Q110">IF(P110="-",0,P110/(1+'General inputs'!$H$32)^IFERROR(INDEX('MP Calculations'!$C$40:$C$130,MATCH(F110,'MP Calculations'!$D$40:$D$130,0),0),-1))</f>
        <v>65050.203571751437</v>
      </c>
      <c r="R110" s="207">
        <f t="shared" si="10"/>
        <v>2002</v>
      </c>
      <c r="S110" s="215">
        <f>IF(P110="-",0,P110/(1+'General inputs'!$H$32)^(R110-2023))</f>
        <v>67782.31212176499</v>
      </c>
    </row>
    <row r="111" spans="3:19">
      <c r="C111" s="159"/>
      <c r="D111" s="165" t="s">
        <v>284</v>
      </c>
      <c r="E111" s="161">
        <v>37560</v>
      </c>
      <c r="F111" s="172" t="str">
        <f t="shared" si="7"/>
        <v>2002-03</v>
      </c>
      <c r="G111" s="68"/>
      <c r="H111" s="167" t="s">
        <v>280</v>
      </c>
      <c r="I111" s="173">
        <v>21853.086195380012</v>
      </c>
      <c r="J111" s="168">
        <f>IFERROR(MIN('MP Calculations'!$E$30/I111,1),"-")</f>
        <v>0.32927792945511891</v>
      </c>
      <c r="K111" s="12"/>
      <c r="L111" s="159">
        <v>23.443061</v>
      </c>
      <c r="M111" s="159" t="s">
        <v>293</v>
      </c>
      <c r="N111" s="159">
        <v>726</v>
      </c>
      <c r="O111" s="185">
        <f t="shared" si="8"/>
        <v>17019.662285999999</v>
      </c>
      <c r="P111" s="215">
        <f t="shared" si="9"/>
        <v>5604.1991575594557</v>
      </c>
      <c r="Q111" s="215" cm="1">
        <f t="array" ref="Q111">IF(P111="-",0,P111/(1+'General inputs'!$H$32)^IFERROR(INDEX('MP Calculations'!$C$40:$C$130,MATCH(F111,'MP Calculations'!$D$40:$D$130,0),0),-1))</f>
        <v>12760.507284080368</v>
      </c>
      <c r="R111" s="207">
        <f t="shared" si="10"/>
        <v>2002</v>
      </c>
      <c r="S111" s="215">
        <f>IF(P111="-",0,P111/(1+'General inputs'!$H$32)^(R111-2023))</f>
        <v>13296.448590011743</v>
      </c>
    </row>
    <row r="112" spans="3:19">
      <c r="C112" s="159"/>
      <c r="D112" s="165" t="s">
        <v>284</v>
      </c>
      <c r="E112" s="161">
        <v>37560</v>
      </c>
      <c r="F112" s="172" t="str">
        <f t="shared" si="7"/>
        <v>2002-03</v>
      </c>
      <c r="G112" s="68"/>
      <c r="H112" s="167" t="s">
        <v>280</v>
      </c>
      <c r="I112" s="173">
        <v>21853.086195380012</v>
      </c>
      <c r="J112" s="168">
        <f>IFERROR(MIN('MP Calculations'!$E$30/I112,1),"-")</f>
        <v>0.32927792945511891</v>
      </c>
      <c r="K112" s="12"/>
      <c r="L112" s="159">
        <v>0.30370999999999998</v>
      </c>
      <c r="M112" s="159" t="s">
        <v>293</v>
      </c>
      <c r="N112" s="159">
        <v>726</v>
      </c>
      <c r="O112" s="185">
        <f t="shared" si="8"/>
        <v>220.49346</v>
      </c>
      <c r="P112" s="215">
        <f t="shared" si="9"/>
        <v>72.60362996719509</v>
      </c>
      <c r="Q112" s="215" cm="1">
        <f t="array" ref="Q112">IF(P112="-",0,P112/(1+'General inputs'!$H$32)^IFERROR(INDEX('MP Calculations'!$C$40:$C$130,MATCH(F112,'MP Calculations'!$D$40:$D$130,0),0),-1))</f>
        <v>165.31517224854079</v>
      </c>
      <c r="R112" s="207">
        <f t="shared" si="10"/>
        <v>2002</v>
      </c>
      <c r="S112" s="215">
        <f>IF(P112="-",0,P112/(1+'General inputs'!$H$32)^(R112-2023))</f>
        <v>172.25840948297952</v>
      </c>
    </row>
    <row r="113" spans="3:19">
      <c r="C113" s="159"/>
      <c r="D113" s="165" t="s">
        <v>284</v>
      </c>
      <c r="E113" s="161">
        <v>37560</v>
      </c>
      <c r="F113" s="172" t="str">
        <f t="shared" si="7"/>
        <v>2002-03</v>
      </c>
      <c r="G113" s="68"/>
      <c r="H113" s="167" t="s">
        <v>280</v>
      </c>
      <c r="I113" s="173">
        <v>21853.086195380012</v>
      </c>
      <c r="J113" s="168">
        <f>IFERROR(MIN('MP Calculations'!$E$30/I113,1),"-")</f>
        <v>0.32927792945511891</v>
      </c>
      <c r="K113" s="12"/>
      <c r="L113" s="159">
        <v>4.4598240000000002</v>
      </c>
      <c r="M113" s="159" t="s">
        <v>293</v>
      </c>
      <c r="N113" s="159">
        <v>726</v>
      </c>
      <c r="O113" s="185">
        <f t="shared" si="8"/>
        <v>3237.8322240000002</v>
      </c>
      <c r="P113" s="215">
        <f t="shared" si="9"/>
        <v>1066.1466906417829</v>
      </c>
      <c r="Q113" s="215" cm="1">
        <f t="array" ref="Q113">IF(P113="-",0,P113/(1+'General inputs'!$H$32)^IFERROR(INDEX('MP Calculations'!$C$40:$C$130,MATCH(F113,'MP Calculations'!$D$40:$D$130,0),0),-1))</f>
        <v>2427.5676558499104</v>
      </c>
      <c r="R113" s="207">
        <f t="shared" si="10"/>
        <v>2002</v>
      </c>
      <c r="S113" s="215">
        <f>IF(P113="-",0,P113/(1+'General inputs'!$H$32)^(R113-2023))</f>
        <v>2529.5254973956066</v>
      </c>
    </row>
    <row r="114" spans="3:19">
      <c r="C114" s="159"/>
      <c r="D114" s="165" t="s">
        <v>284</v>
      </c>
      <c r="E114" s="161">
        <v>37560</v>
      </c>
      <c r="F114" s="172" t="str">
        <f t="shared" si="7"/>
        <v>2002-03</v>
      </c>
      <c r="G114" s="68"/>
      <c r="H114" s="167" t="s">
        <v>280</v>
      </c>
      <c r="I114" s="173">
        <v>21853.086195380012</v>
      </c>
      <c r="J114" s="168">
        <f>IFERROR(MIN('MP Calculations'!$E$30/I114,1),"-")</f>
        <v>0.32927792945511891</v>
      </c>
      <c r="K114" s="12"/>
      <c r="L114" s="159">
        <v>5.999339</v>
      </c>
      <c r="M114" s="159" t="s">
        <v>293</v>
      </c>
      <c r="N114" s="159">
        <v>726</v>
      </c>
      <c r="O114" s="185">
        <f t="shared" si="8"/>
        <v>4355.5201139999999</v>
      </c>
      <c r="P114" s="215">
        <f t="shared" si="9"/>
        <v>1434.1766448380436</v>
      </c>
      <c r="Q114" s="215" cm="1">
        <f t="array" ref="Q114">IF(P114="-",0,P114/(1+'General inputs'!$H$32)^IFERROR(INDEX('MP Calculations'!$C$40:$C$130,MATCH(F114,'MP Calculations'!$D$40:$D$130,0),0),-1))</f>
        <v>3265.5551682934001</v>
      </c>
      <c r="R114" s="207">
        <f t="shared" si="10"/>
        <v>2002</v>
      </c>
      <c r="S114" s="215">
        <f>IF(P114="-",0,P114/(1+'General inputs'!$H$32)^(R114-2023))</f>
        <v>3402.7084853617225</v>
      </c>
    </row>
    <row r="115" spans="3:19">
      <c r="C115" s="159"/>
      <c r="D115" s="165" t="s">
        <v>284</v>
      </c>
      <c r="E115" s="161">
        <v>37560</v>
      </c>
      <c r="F115" s="172" t="str">
        <f t="shared" si="7"/>
        <v>2002-03</v>
      </c>
      <c r="G115" s="68"/>
      <c r="H115" s="167" t="s">
        <v>280</v>
      </c>
      <c r="I115" s="173">
        <v>21853.086195380012</v>
      </c>
      <c r="J115" s="168">
        <f>IFERROR(MIN('MP Calculations'!$E$30/I115,1),"-")</f>
        <v>0.32927792945511891</v>
      </c>
      <c r="K115" s="12"/>
      <c r="L115" s="159">
        <v>372.63111700000002</v>
      </c>
      <c r="M115" s="159" t="s">
        <v>293</v>
      </c>
      <c r="N115" s="159">
        <v>726</v>
      </c>
      <c r="O115" s="185">
        <f t="shared" si="8"/>
        <v>270530.19094200002</v>
      </c>
      <c r="P115" s="215">
        <f t="shared" si="9"/>
        <v>89079.621128479732</v>
      </c>
      <c r="Q115" s="215" cm="1">
        <f t="array" ref="Q115">IF(P115="-",0,P115/(1+'General inputs'!$H$32)^IFERROR(INDEX('MP Calculations'!$C$40:$C$130,MATCH(F115,'MP Calculations'!$D$40:$D$130,0),0),-1))</f>
        <v>202830.25679767266</v>
      </c>
      <c r="R115" s="207">
        <f t="shared" si="10"/>
        <v>2002</v>
      </c>
      <c r="S115" s="215">
        <f>IF(P115="-",0,P115/(1+'General inputs'!$H$32)^(R115-2023))</f>
        <v>211349.12758317488</v>
      </c>
    </row>
    <row r="116" spans="3:19">
      <c r="C116" s="159"/>
      <c r="D116" s="165" t="s">
        <v>284</v>
      </c>
      <c r="E116" s="161">
        <v>37560</v>
      </c>
      <c r="F116" s="172" t="str">
        <f t="shared" si="7"/>
        <v>2002-03</v>
      </c>
      <c r="G116" s="68"/>
      <c r="H116" s="167" t="s">
        <v>280</v>
      </c>
      <c r="I116" s="173">
        <v>21853.086195380012</v>
      </c>
      <c r="J116" s="168">
        <f>IFERROR(MIN('MP Calculations'!$E$30/I116,1),"-")</f>
        <v>0.32927792945511891</v>
      </c>
      <c r="K116" s="12"/>
      <c r="L116" s="159">
        <v>253.90831399999999</v>
      </c>
      <c r="M116" s="159" t="s">
        <v>293</v>
      </c>
      <c r="N116" s="159">
        <v>726</v>
      </c>
      <c r="O116" s="185">
        <f t="shared" si="8"/>
        <v>184337.435964</v>
      </c>
      <c r="P116" s="215">
        <f t="shared" si="9"/>
        <v>60698.249235291492</v>
      </c>
      <c r="Q116" s="215" cm="1">
        <f t="array" ref="Q116">IF(P116="-",0,P116/(1+'General inputs'!$H$32)^IFERROR(INDEX('MP Calculations'!$C$40:$C$130,MATCH(F116,'MP Calculations'!$D$40:$D$130,0),0),-1))</f>
        <v>138207.16033139042</v>
      </c>
      <c r="R116" s="207">
        <f t="shared" si="10"/>
        <v>2002</v>
      </c>
      <c r="S116" s="215">
        <f>IF(P116="-",0,P116/(1+'General inputs'!$H$32)^(R116-2023))</f>
        <v>144011.8610653088</v>
      </c>
    </row>
    <row r="117" spans="3:19">
      <c r="C117" s="159"/>
      <c r="D117" s="165" t="s">
        <v>284</v>
      </c>
      <c r="E117" s="161">
        <v>37560</v>
      </c>
      <c r="F117" s="172" t="str">
        <f t="shared" si="7"/>
        <v>2002-03</v>
      </c>
      <c r="G117" s="68"/>
      <c r="H117" s="167" t="s">
        <v>280</v>
      </c>
      <c r="I117" s="173">
        <v>21853.086195380012</v>
      </c>
      <c r="J117" s="168">
        <f>IFERROR(MIN('MP Calculations'!$E$30/I117,1),"-")</f>
        <v>0.32927792945511891</v>
      </c>
      <c r="K117" s="12"/>
      <c r="L117" s="159">
        <v>4.1869180000000004</v>
      </c>
      <c r="M117" s="159" t="s">
        <v>293</v>
      </c>
      <c r="N117" s="159">
        <v>726</v>
      </c>
      <c r="O117" s="185">
        <f t="shared" si="8"/>
        <v>3039.7024680000004</v>
      </c>
      <c r="P117" s="215">
        <f t="shared" si="9"/>
        <v>1000.906934822655</v>
      </c>
      <c r="Q117" s="215" cm="1">
        <f t="array" ref="Q117">IF(P117="-",0,P117/(1+'General inputs'!$H$32)^IFERROR(INDEX('MP Calculations'!$C$40:$C$130,MATCH(F117,'MP Calculations'!$D$40:$D$130,0),0),-1))</f>
        <v>2279.0196910227387</v>
      </c>
      <c r="R117" s="207">
        <f t="shared" si="10"/>
        <v>2002</v>
      </c>
      <c r="S117" s="215">
        <f>IF(P117="-",0,P117/(1+'General inputs'!$H$32)^(R117-2023))</f>
        <v>2374.7385180456936</v>
      </c>
    </row>
    <row r="118" spans="3:19">
      <c r="C118" s="159"/>
      <c r="D118" s="165" t="s">
        <v>284</v>
      </c>
      <c r="E118" s="161">
        <v>37560</v>
      </c>
      <c r="F118" s="172" t="str">
        <f t="shared" si="7"/>
        <v>2002-03</v>
      </c>
      <c r="G118" s="68"/>
      <c r="H118" s="167" t="s">
        <v>280</v>
      </c>
      <c r="I118" s="173">
        <v>21853.086195380012</v>
      </c>
      <c r="J118" s="168">
        <f>IFERROR(MIN('MP Calculations'!$E$30/I118,1),"-")</f>
        <v>0.32927792945511891</v>
      </c>
      <c r="K118" s="12"/>
      <c r="L118" s="159">
        <v>244.64523199999999</v>
      </c>
      <c r="M118" s="159" t="s">
        <v>293</v>
      </c>
      <c r="N118" s="159">
        <v>726</v>
      </c>
      <c r="O118" s="185">
        <f t="shared" si="8"/>
        <v>177612.438432</v>
      </c>
      <c r="P118" s="215">
        <f t="shared" si="9"/>
        <v>58483.855972363745</v>
      </c>
      <c r="Q118" s="215" cm="1">
        <f t="array" ref="Q118">IF(P118="-",0,P118/(1+'General inputs'!$H$32)^IFERROR(INDEX('MP Calculations'!$C$40:$C$130,MATCH(F118,'MP Calculations'!$D$40:$D$130,0),0),-1))</f>
        <v>133165.08731310864</v>
      </c>
      <c r="R118" s="207">
        <f t="shared" si="10"/>
        <v>2002</v>
      </c>
      <c r="S118" s="215">
        <f>IF(P118="-",0,P118/(1+'General inputs'!$H$32)^(R118-2023))</f>
        <v>138758.02098025917</v>
      </c>
    </row>
    <row r="119" spans="3:19">
      <c r="C119" s="159"/>
      <c r="D119" s="165" t="s">
        <v>284</v>
      </c>
      <c r="E119" s="161">
        <v>37560</v>
      </c>
      <c r="F119" s="172" t="str">
        <f t="shared" si="7"/>
        <v>2002-03</v>
      </c>
      <c r="G119" s="68"/>
      <c r="H119" s="167" t="s">
        <v>280</v>
      </c>
      <c r="I119" s="173">
        <v>21853.086195380012</v>
      </c>
      <c r="J119" s="168">
        <f>IFERROR(MIN('MP Calculations'!$E$30/I119,1),"-")</f>
        <v>0.32927792945511891</v>
      </c>
      <c r="K119" s="12"/>
      <c r="L119" s="159">
        <v>368.81773299999998</v>
      </c>
      <c r="M119" s="159" t="s">
        <v>293</v>
      </c>
      <c r="N119" s="159">
        <v>726</v>
      </c>
      <c r="O119" s="185">
        <f t="shared" si="8"/>
        <v>267761.67415799998</v>
      </c>
      <c r="P119" s="215">
        <f t="shared" si="9"/>
        <v>88168.009654182461</v>
      </c>
      <c r="Q119" s="215" cm="1">
        <f t="array" ref="Q119">IF(P119="-",0,P119/(1+'General inputs'!$H$32)^IFERROR(INDEX('MP Calculations'!$C$40:$C$130,MATCH(F119,'MP Calculations'!$D$40:$D$130,0),0),-1))</f>
        <v>200754.55881996421</v>
      </c>
      <c r="R119" s="207">
        <f t="shared" si="10"/>
        <v>2002</v>
      </c>
      <c r="S119" s="215">
        <f>IF(P119="-",0,P119/(1+'General inputs'!$H$32)^(R119-2023))</f>
        <v>209186.25029040268</v>
      </c>
    </row>
    <row r="120" spans="3:19">
      <c r="C120" s="159"/>
      <c r="D120" s="165" t="s">
        <v>284</v>
      </c>
      <c r="E120" s="161">
        <v>37560</v>
      </c>
      <c r="F120" s="172" t="str">
        <f t="shared" si="7"/>
        <v>2002-03</v>
      </c>
      <c r="G120" s="68"/>
      <c r="H120" s="167" t="s">
        <v>280</v>
      </c>
      <c r="I120" s="173">
        <v>21853.086195380012</v>
      </c>
      <c r="J120" s="168">
        <f>IFERROR(MIN('MP Calculations'!$E$30/I120,1),"-")</f>
        <v>0.32927792945511891</v>
      </c>
      <c r="K120" s="12"/>
      <c r="L120" s="159">
        <v>61.201543000000001</v>
      </c>
      <c r="M120" s="159" t="s">
        <v>293</v>
      </c>
      <c r="N120" s="159">
        <v>726</v>
      </c>
      <c r="O120" s="185">
        <f t="shared" si="8"/>
        <v>44432.320218000001</v>
      </c>
      <c r="P120" s="215">
        <f t="shared" si="9"/>
        <v>14630.582402269858</v>
      </c>
      <c r="Q120" s="215" cm="1">
        <f t="array" ref="Q120">IF(P120="-",0,P120/(1+'General inputs'!$H$32)^IFERROR(INDEX('MP Calculations'!$C$40:$C$130,MATCH(F120,'MP Calculations'!$D$40:$D$130,0),0),-1))</f>
        <v>33313.17250970161</v>
      </c>
      <c r="R120" s="207">
        <f t="shared" si="10"/>
        <v>2002</v>
      </c>
      <c r="S120" s="215">
        <f>IF(P120="-",0,P120/(1+'General inputs'!$H$32)^(R120-2023))</f>
        <v>34712.325755109079</v>
      </c>
    </row>
    <row r="121" spans="3:19">
      <c r="C121" s="159"/>
      <c r="D121" s="165" t="s">
        <v>284</v>
      </c>
      <c r="E121" s="161">
        <v>37560</v>
      </c>
      <c r="F121" s="172" t="str">
        <f t="shared" si="7"/>
        <v>2002-03</v>
      </c>
      <c r="G121" s="68"/>
      <c r="H121" s="167" t="s">
        <v>280</v>
      </c>
      <c r="I121" s="173">
        <v>21853.086195380012</v>
      </c>
      <c r="J121" s="168">
        <f>IFERROR(MIN('MP Calculations'!$E$30/I121,1),"-")</f>
        <v>0.32927792945511891</v>
      </c>
      <c r="K121" s="12"/>
      <c r="L121" s="159">
        <v>486.02858500000002</v>
      </c>
      <c r="M121" s="159" t="s">
        <v>293</v>
      </c>
      <c r="N121" s="159">
        <v>726</v>
      </c>
      <c r="O121" s="185">
        <f t="shared" si="8"/>
        <v>352856.75271000003</v>
      </c>
      <c r="P121" s="215">
        <f t="shared" si="9"/>
        <v>116187.94092660573</v>
      </c>
      <c r="Q121" s="215" cm="1">
        <f t="array" ref="Q121">IF(P121="-",0,P121/(1+'General inputs'!$H$32)^IFERROR(INDEX('MP Calculations'!$C$40:$C$130,MATCH(F121,'MP Calculations'!$D$40:$D$130,0),0),-1))</f>
        <v>264554.67138714419</v>
      </c>
      <c r="R121" s="207">
        <f t="shared" si="10"/>
        <v>2002</v>
      </c>
      <c r="S121" s="215">
        <f>IF(P121="-",0,P121/(1+'General inputs'!$H$32)^(R121-2023))</f>
        <v>275665.96758540423</v>
      </c>
    </row>
    <row r="122" spans="3:19">
      <c r="C122" s="159"/>
      <c r="D122" s="165" t="s">
        <v>284</v>
      </c>
      <c r="E122" s="161">
        <v>37560</v>
      </c>
      <c r="F122" s="172" t="str">
        <f t="shared" si="7"/>
        <v>2002-03</v>
      </c>
      <c r="G122" s="68"/>
      <c r="H122" s="167" t="s">
        <v>280</v>
      </c>
      <c r="I122" s="173">
        <v>21853.086195380012</v>
      </c>
      <c r="J122" s="168">
        <f>IFERROR(MIN('MP Calculations'!$E$30/I122,1),"-")</f>
        <v>0.32927792945511891</v>
      </c>
      <c r="K122" s="12"/>
      <c r="L122" s="159">
        <v>6.1894270000000002</v>
      </c>
      <c r="M122" s="159" t="s">
        <v>293</v>
      </c>
      <c r="N122" s="159">
        <v>726</v>
      </c>
      <c r="O122" s="185">
        <f t="shared" si="8"/>
        <v>4493.5240020000001</v>
      </c>
      <c r="P122" s="215">
        <f t="shared" si="9"/>
        <v>1479.6182793354396</v>
      </c>
      <c r="Q122" s="215" cm="1">
        <f t="array" ref="Q122">IF(P122="-",0,P122/(1+'General inputs'!$H$32)^IFERROR(INDEX('MP Calculations'!$C$40:$C$130,MATCH(F122,'MP Calculations'!$D$40:$D$130,0),0),-1))</f>
        <v>3369.0237088827139</v>
      </c>
      <c r="R122" s="207">
        <f t="shared" si="10"/>
        <v>2002</v>
      </c>
      <c r="S122" s="215">
        <f>IF(P122="-",0,P122/(1+'General inputs'!$H$32)^(R122-2023))</f>
        <v>3510.5227046557879</v>
      </c>
    </row>
    <row r="123" spans="3:19">
      <c r="C123" s="159"/>
      <c r="D123" s="165" t="s">
        <v>284</v>
      </c>
      <c r="E123" s="161">
        <v>37560</v>
      </c>
      <c r="F123" s="172" t="str">
        <f t="shared" si="7"/>
        <v>2002-03</v>
      </c>
      <c r="G123" s="68"/>
      <c r="H123" s="167" t="s">
        <v>280</v>
      </c>
      <c r="I123" s="173">
        <v>21853.086195380012</v>
      </c>
      <c r="J123" s="168">
        <f>IFERROR(MIN('MP Calculations'!$E$30/I123,1),"-")</f>
        <v>0.32927792945511891</v>
      </c>
      <c r="K123" s="12"/>
      <c r="L123" s="159">
        <v>138.74198100000001</v>
      </c>
      <c r="M123" s="159" t="s">
        <v>293</v>
      </c>
      <c r="N123" s="159">
        <v>726</v>
      </c>
      <c r="O123" s="185">
        <f t="shared" si="8"/>
        <v>100726.67820600001</v>
      </c>
      <c r="P123" s="215">
        <f t="shared" si="9"/>
        <v>33167.072040563733</v>
      </c>
      <c r="Q123" s="215" cm="1">
        <f t="array" ref="Q123">IF(P123="-",0,P123/(1+'General inputs'!$H$32)^IFERROR(INDEX('MP Calculations'!$C$40:$C$130,MATCH(F123,'MP Calculations'!$D$40:$D$130,0),0),-1))</f>
        <v>75519.91863000486</v>
      </c>
      <c r="R123" s="207">
        <f t="shared" si="10"/>
        <v>2002</v>
      </c>
      <c r="S123" s="215">
        <f>IF(P123="-",0,P123/(1+'General inputs'!$H$32)^(R123-2023))</f>
        <v>78691.755212465054</v>
      </c>
    </row>
    <row r="124" spans="3:19">
      <c r="C124" s="159"/>
      <c r="D124" s="165" t="s">
        <v>284</v>
      </c>
      <c r="E124" s="161">
        <v>37560</v>
      </c>
      <c r="F124" s="172" t="str">
        <f t="shared" si="7"/>
        <v>2002-03</v>
      </c>
      <c r="G124" s="68"/>
      <c r="H124" s="167" t="s">
        <v>280</v>
      </c>
      <c r="I124" s="173">
        <v>21853.086195380012</v>
      </c>
      <c r="J124" s="168">
        <f>IFERROR(MIN('MP Calculations'!$E$30/I124,1),"-")</f>
        <v>0.32927792945511891</v>
      </c>
      <c r="K124" s="12"/>
      <c r="L124" s="159">
        <v>190.74475200000001</v>
      </c>
      <c r="M124" s="159" t="s">
        <v>293</v>
      </c>
      <c r="N124" s="159">
        <v>726</v>
      </c>
      <c r="O124" s="185">
        <f t="shared" si="8"/>
        <v>138480.68995200002</v>
      </c>
      <c r="P124" s="215">
        <f t="shared" si="9"/>
        <v>45598.634856910852</v>
      </c>
      <c r="Q124" s="215" cm="1">
        <f t="array" ref="Q124">IF(P124="-",0,P124/(1+'General inputs'!$H$32)^IFERROR(INDEX('MP Calculations'!$C$40:$C$130,MATCH(F124,'MP Calculations'!$D$40:$D$130,0),0),-1))</f>
        <v>103826.02328663922</v>
      </c>
      <c r="R124" s="207">
        <f t="shared" si="10"/>
        <v>2002</v>
      </c>
      <c r="S124" s="215">
        <f>IF(P124="-",0,P124/(1+'General inputs'!$H$32)^(R124-2023))</f>
        <v>108186.71626467806</v>
      </c>
    </row>
    <row r="125" spans="3:19">
      <c r="C125" s="159"/>
      <c r="D125" s="165" t="s">
        <v>284</v>
      </c>
      <c r="E125" s="161">
        <v>37560</v>
      </c>
      <c r="F125" s="172" t="str">
        <f t="shared" si="7"/>
        <v>2002-03</v>
      </c>
      <c r="G125" s="68"/>
      <c r="H125" s="167" t="s">
        <v>280</v>
      </c>
      <c r="I125" s="173">
        <v>21853.086195380012</v>
      </c>
      <c r="J125" s="168">
        <f>IFERROR(MIN('MP Calculations'!$E$30/I125,1),"-")</f>
        <v>0.32927792945511891</v>
      </c>
      <c r="K125" s="12"/>
      <c r="L125" s="159">
        <v>1.235071</v>
      </c>
      <c r="M125" s="159" t="s">
        <v>293</v>
      </c>
      <c r="N125" s="159">
        <v>726</v>
      </c>
      <c r="O125" s="185">
        <f t="shared" si="8"/>
        <v>896.66154600000004</v>
      </c>
      <c r="P125" s="215">
        <f t="shared" si="9"/>
        <v>295.25085728890588</v>
      </c>
      <c r="Q125" s="215" cm="1">
        <f t="array" ref="Q125">IF(P125="-",0,P125/(1+'General inputs'!$H$32)^IFERROR(INDEX('MP Calculations'!$C$40:$C$130,MATCH(F125,'MP Calculations'!$D$40:$D$130,0),0),-1))</f>
        <v>672.27280993111037</v>
      </c>
      <c r="R125" s="207">
        <f t="shared" si="10"/>
        <v>2002</v>
      </c>
      <c r="S125" s="215">
        <f>IF(P125="-",0,P125/(1+'General inputs'!$H$32)^(R125-2023))</f>
        <v>700.50826794821694</v>
      </c>
    </row>
    <row r="126" spans="3:19">
      <c r="C126" s="159"/>
      <c r="D126" s="165" t="s">
        <v>284</v>
      </c>
      <c r="E126" s="161">
        <v>37560</v>
      </c>
      <c r="F126" s="172" t="str">
        <f t="shared" si="7"/>
        <v>2002-03</v>
      </c>
      <c r="G126" s="68"/>
      <c r="H126" s="167" t="s">
        <v>280</v>
      </c>
      <c r="I126" s="173">
        <v>21853.086195380012</v>
      </c>
      <c r="J126" s="168">
        <f>IFERROR(MIN('MP Calculations'!$E$30/I126,1),"-")</f>
        <v>0.32927792945511891</v>
      </c>
      <c r="K126" s="12"/>
      <c r="L126" s="159">
        <v>75.954026999999996</v>
      </c>
      <c r="M126" s="159" t="s">
        <v>293</v>
      </c>
      <c r="N126" s="159">
        <v>726</v>
      </c>
      <c r="O126" s="185">
        <f t="shared" si="8"/>
        <v>55142.623602</v>
      </c>
      <c r="P126" s="215">
        <f t="shared" si="9"/>
        <v>18157.248924389532</v>
      </c>
      <c r="Q126" s="215" cm="1">
        <f t="array" ref="Q126">IF(P126="-",0,P126/(1+'General inputs'!$H$32)^IFERROR(INDEX('MP Calculations'!$C$40:$C$130,MATCH(F126,'MP Calculations'!$D$40:$D$130,0),0),-1))</f>
        <v>41343.232216506927</v>
      </c>
      <c r="R126" s="207">
        <f t="shared" si="10"/>
        <v>2002</v>
      </c>
      <c r="S126" s="215">
        <f>IF(P126="-",0,P126/(1+'General inputs'!$H$32)^(R126-2023))</f>
        <v>43079.647969600213</v>
      </c>
    </row>
    <row r="127" spans="3:19">
      <c r="C127" s="159"/>
      <c r="D127" s="165" t="s">
        <v>284</v>
      </c>
      <c r="E127" s="161">
        <v>37560</v>
      </c>
      <c r="F127" s="172" t="str">
        <f t="shared" si="7"/>
        <v>2002-03</v>
      </c>
      <c r="G127" s="68"/>
      <c r="H127" s="167" t="s">
        <v>280</v>
      </c>
      <c r="I127" s="173">
        <v>21853.086195380012</v>
      </c>
      <c r="J127" s="168">
        <f>IFERROR(MIN('MP Calculations'!$E$30/I127,1),"-")</f>
        <v>0.32927792945511891</v>
      </c>
      <c r="K127" s="12"/>
      <c r="L127" s="159">
        <v>237.54070100000001</v>
      </c>
      <c r="M127" s="159" t="s">
        <v>293</v>
      </c>
      <c r="N127" s="159">
        <v>726</v>
      </c>
      <c r="O127" s="185">
        <f t="shared" si="8"/>
        <v>172454.54892600002</v>
      </c>
      <c r="P127" s="215">
        <f t="shared" si="9"/>
        <v>56785.476795469789</v>
      </c>
      <c r="Q127" s="215" cm="1">
        <f t="array" ref="Q127">IF(P127="-",0,P127/(1+'General inputs'!$H$32)^IFERROR(INDEX('MP Calculations'!$C$40:$C$130,MATCH(F127,'MP Calculations'!$D$40:$D$130,0),0),-1))</f>
        <v>129297.95496313632</v>
      </c>
      <c r="R127" s="207">
        <f t="shared" si="10"/>
        <v>2002</v>
      </c>
      <c r="S127" s="215">
        <f>IF(P127="-",0,P127/(1+'General inputs'!$H$32)^(R127-2023))</f>
        <v>134728.46907158804</v>
      </c>
    </row>
    <row r="128" spans="3:19">
      <c r="C128" s="159"/>
      <c r="D128" s="165" t="s">
        <v>284</v>
      </c>
      <c r="E128" s="161">
        <v>37560</v>
      </c>
      <c r="F128" s="172" t="str">
        <f t="shared" si="7"/>
        <v>2002-03</v>
      </c>
      <c r="G128" s="68"/>
      <c r="H128" s="167" t="s">
        <v>280</v>
      </c>
      <c r="I128" s="173">
        <v>21853.086195380012</v>
      </c>
      <c r="J128" s="168">
        <f>IFERROR(MIN('MP Calculations'!$E$30/I128,1),"-")</f>
        <v>0.32927792945511891</v>
      </c>
      <c r="K128" s="12"/>
      <c r="L128" s="159">
        <v>50.634115000000001</v>
      </c>
      <c r="M128" s="159" t="s">
        <v>293</v>
      </c>
      <c r="N128" s="159">
        <v>726</v>
      </c>
      <c r="O128" s="185">
        <f>IF(N128="","-",L128*N128)</f>
        <v>36760.367490000004</v>
      </c>
      <c r="P128" s="215">
        <f t="shared" si="9"/>
        <v>12104.377693116468</v>
      </c>
      <c r="Q128" s="215" cm="1">
        <f t="array" ref="Q128">IF(P128="-",0,P128/(1+'General inputs'!$H$32)^IFERROR(INDEX('MP Calculations'!$C$40:$C$130,MATCH(F128,'MP Calculations'!$D$40:$D$130,0),0),-1))</f>
        <v>27561.118971642107</v>
      </c>
      <c r="R128" s="207">
        <f t="shared" si="10"/>
        <v>2002</v>
      </c>
      <c r="S128" s="215">
        <f>IF(P128="-",0,P128/(1+'General inputs'!$H$32)^(R128-2023))</f>
        <v>28718.685968451075</v>
      </c>
    </row>
    <row r="129" spans="3:19">
      <c r="C129" s="159"/>
      <c r="D129" s="165" t="s">
        <v>284</v>
      </c>
      <c r="E129" s="161">
        <v>37560</v>
      </c>
      <c r="F129" s="172" t="str">
        <f t="shared" si="7"/>
        <v>2002-03</v>
      </c>
      <c r="G129" s="68"/>
      <c r="H129" s="167" t="s">
        <v>280</v>
      </c>
      <c r="I129" s="173">
        <v>21853.086195380012</v>
      </c>
      <c r="J129" s="168">
        <f>IFERROR(MIN('MP Calculations'!$E$30/I129,1),"-")</f>
        <v>0.32927792945511891</v>
      </c>
      <c r="K129" s="12"/>
      <c r="L129" s="159">
        <v>324.153525</v>
      </c>
      <c r="M129" s="159" t="s">
        <v>293</v>
      </c>
      <c r="N129" s="159">
        <v>726</v>
      </c>
      <c r="O129" s="185">
        <f t="shared" ref="O129:O192" si="11">IF(N129="","-",L129*N129)</f>
        <v>235335.45915000001</v>
      </c>
      <c r="P129" s="215">
        <f t="shared" si="9"/>
        <v>77490.772716281717</v>
      </c>
      <c r="Q129" s="215" cm="1">
        <f t="array" ref="Q129">IF(P129="-",0,P129/(1+'General inputs'!$H$32)^IFERROR(INDEX('MP Calculations'!$C$40:$C$130,MATCH(F129,'MP Calculations'!$D$40:$D$130,0),0),-1))</f>
        <v>176442.97461508238</v>
      </c>
      <c r="R129" s="207">
        <f t="shared" si="10"/>
        <v>2002</v>
      </c>
      <c r="S129" s="215">
        <f>IF(P129="-",0,P129/(1+'General inputs'!$H$32)^(R129-2023))</f>
        <v>183853.57954891585</v>
      </c>
    </row>
    <row r="130" spans="3:19">
      <c r="C130" s="159"/>
      <c r="D130" s="165" t="s">
        <v>283</v>
      </c>
      <c r="E130" s="161">
        <v>37560</v>
      </c>
      <c r="F130" s="172" t="str">
        <f t="shared" si="7"/>
        <v>2002-03</v>
      </c>
      <c r="G130" s="68"/>
      <c r="H130" s="167" t="s">
        <v>280</v>
      </c>
      <c r="I130" s="173">
        <v>21853.086195380012</v>
      </c>
      <c r="J130" s="168">
        <f>IFERROR(MIN('MP Calculations'!$E$30/I130,1),"-")</f>
        <v>0.32927792945511891</v>
      </c>
      <c r="K130" s="12"/>
      <c r="L130" s="159">
        <v>0.71413499999999996</v>
      </c>
      <c r="M130" s="159" t="s">
        <v>293</v>
      </c>
      <c r="N130" s="159">
        <v>350</v>
      </c>
      <c r="O130" s="185">
        <f t="shared" si="11"/>
        <v>249.94725</v>
      </c>
      <c r="P130" s="215">
        <f t="shared" si="9"/>
        <v>82.302112953000972</v>
      </c>
      <c r="Q130" s="215" cm="1">
        <f t="array" ref="Q130">IF(P130="-",0,P130/(1+'General inputs'!$H$32)^IFERROR(INDEX('MP Calculations'!$C$40:$C$130,MATCH(F130,'MP Calculations'!$D$40:$D$130,0),0),-1))</f>
        <v>187.39817809924651</v>
      </c>
      <c r="R130" s="207">
        <f t="shared" si="10"/>
        <v>2002</v>
      </c>
      <c r="S130" s="215">
        <f>IF(P130="-",0,P130/(1+'General inputs'!$H$32)^(R130-2023))</f>
        <v>195.26890157941486</v>
      </c>
    </row>
    <row r="131" spans="3:19">
      <c r="C131" s="159"/>
      <c r="D131" s="165" t="s">
        <v>300</v>
      </c>
      <c r="E131" s="161">
        <v>37593</v>
      </c>
      <c r="F131" s="172" t="str">
        <f t="shared" si="7"/>
        <v>2002-03</v>
      </c>
      <c r="G131" s="68"/>
      <c r="H131" s="167" t="s">
        <v>280</v>
      </c>
      <c r="I131" s="173">
        <v>21853.086195380012</v>
      </c>
      <c r="J131" s="168">
        <f>IFERROR(MIN('MP Calculations'!$E$30/I131,1),"-")</f>
        <v>0.32927792945511891</v>
      </c>
      <c r="K131" s="12"/>
      <c r="L131" s="159">
        <v>1</v>
      </c>
      <c r="M131" s="159" t="s">
        <v>294</v>
      </c>
      <c r="N131" s="159">
        <v>180241.46</v>
      </c>
      <c r="O131" s="185">
        <f t="shared" si="11"/>
        <v>180241.46</v>
      </c>
      <c r="P131" s="215">
        <f t="shared" si="9"/>
        <v>59349.534750767634</v>
      </c>
      <c r="Q131" s="215" cm="1">
        <f t="array" ref="Q131">IF(P131="-",0,P131/(1+'General inputs'!$H$32)^IFERROR(INDEX('MP Calculations'!$C$40:$C$130,MATCH(F131,'MP Calculations'!$D$40:$D$130,0),0),-1))</f>
        <v>135136.19862570288</v>
      </c>
      <c r="R131" s="207">
        <f t="shared" si="10"/>
        <v>2002</v>
      </c>
      <c r="S131" s="215">
        <f>IF(P131="-",0,P131/(1+'General inputs'!$H$32)^(R131-2023))</f>
        <v>140811.9189679824</v>
      </c>
    </row>
    <row r="132" spans="3:19">
      <c r="C132" s="159"/>
      <c r="D132" s="165" t="s">
        <v>302</v>
      </c>
      <c r="E132" s="161">
        <v>37593</v>
      </c>
      <c r="F132" s="172" t="str">
        <f t="shared" si="7"/>
        <v>2002-03</v>
      </c>
      <c r="G132" s="68"/>
      <c r="H132" s="167" t="s">
        <v>280</v>
      </c>
      <c r="I132" s="173">
        <v>21853.086195380012</v>
      </c>
      <c r="J132" s="168">
        <f>IFERROR(MIN('MP Calculations'!$E$30/I132,1),"-")</f>
        <v>0.32927792945511891</v>
      </c>
      <c r="K132" s="12"/>
      <c r="L132" s="159">
        <v>1</v>
      </c>
      <c r="M132" s="159" t="s">
        <v>294</v>
      </c>
      <c r="N132" s="159">
        <v>49946.07</v>
      </c>
      <c r="O132" s="185">
        <f t="shared" si="11"/>
        <v>49946.07</v>
      </c>
      <c r="P132" s="215">
        <f t="shared" si="9"/>
        <v>16446.138514020429</v>
      </c>
      <c r="Q132" s="215" cm="1">
        <f t="array" ref="Q132">IF(P132="-",0,P132/(1+'General inputs'!$H$32)^IFERROR(INDEX('MP Calculations'!$C$40:$C$130,MATCH(F132,'MP Calculations'!$D$40:$D$130,0),0),-1))</f>
        <v>37447.111425380484</v>
      </c>
      <c r="R132" s="207">
        <f t="shared" si="10"/>
        <v>2002</v>
      </c>
      <c r="S132" s="215">
        <f>IF(P132="-",0,P132/(1+'General inputs'!$H$32)^(R132-2023))</f>
        <v>39019.890105246464</v>
      </c>
    </row>
    <row r="133" spans="3:19">
      <c r="C133" s="159"/>
      <c r="D133" s="165" t="s">
        <v>301</v>
      </c>
      <c r="E133" s="161">
        <v>37593</v>
      </c>
      <c r="F133" s="172" t="str">
        <f t="shared" si="7"/>
        <v>2002-03</v>
      </c>
      <c r="G133" s="68"/>
      <c r="H133" s="167" t="s">
        <v>280</v>
      </c>
      <c r="I133" s="173">
        <v>21853.086195380012</v>
      </c>
      <c r="J133" s="168">
        <f>IFERROR(MIN('MP Calculations'!$E$30/I133,1),"-")</f>
        <v>0.32927792945511891</v>
      </c>
      <c r="K133" s="12"/>
      <c r="L133" s="159">
        <v>1</v>
      </c>
      <c r="M133" s="159" t="s">
        <v>294</v>
      </c>
      <c r="N133" s="159">
        <v>77973.27</v>
      </c>
      <c r="O133" s="185">
        <f t="shared" si="11"/>
        <v>77973.27</v>
      </c>
      <c r="P133" s="215">
        <f t="shared" si="9"/>
        <v>25674.876898444942</v>
      </c>
      <c r="Q133" s="215" cm="1">
        <f t="array" ref="Q133">IF(P133="-",0,P133/(1+'General inputs'!$H$32)^IFERROR(INDEX('MP Calculations'!$C$40:$C$130,MATCH(F133,'MP Calculations'!$D$40:$D$130,0),0),-1))</f>
        <v>58460.530125619051</v>
      </c>
      <c r="R133" s="207">
        <f t="shared" si="10"/>
        <v>2002</v>
      </c>
      <c r="S133" s="215">
        <f>IF(P133="-",0,P133/(1+'General inputs'!$H$32)^(R133-2023))</f>
        <v>60915.872390895049</v>
      </c>
    </row>
    <row r="134" spans="3:19">
      <c r="C134" s="159"/>
      <c r="D134" s="165" t="s">
        <v>303</v>
      </c>
      <c r="E134" s="161">
        <v>37593</v>
      </c>
      <c r="F134" s="172" t="str">
        <f t="shared" si="7"/>
        <v>2002-03</v>
      </c>
      <c r="G134" s="68"/>
      <c r="H134" s="167" t="s">
        <v>280</v>
      </c>
      <c r="I134" s="173">
        <v>21853.086195380012</v>
      </c>
      <c r="J134" s="168">
        <f>IFERROR(MIN('MP Calculations'!$E$30/I134,1),"-")</f>
        <v>0.32927792945511891</v>
      </c>
      <c r="K134" s="12"/>
      <c r="L134" s="159">
        <v>1</v>
      </c>
      <c r="M134" s="159" t="s">
        <v>294</v>
      </c>
      <c r="N134" s="159">
        <v>21057.05</v>
      </c>
      <c r="O134" s="185">
        <f t="shared" si="11"/>
        <v>21057.05</v>
      </c>
      <c r="P134" s="215">
        <f t="shared" si="9"/>
        <v>6933.6218244329111</v>
      </c>
      <c r="Q134" s="215" cm="1">
        <f t="array" ref="Q134">IF(P134="-",0,P134/(1+'General inputs'!$H$32)^IFERROR(INDEX('MP Calculations'!$C$40:$C$130,MATCH(F134,'MP Calculations'!$D$40:$D$130,0),0),-1))</f>
        <v>15787.542396024515</v>
      </c>
      <c r="R134" s="207">
        <f t="shared" si="10"/>
        <v>2002</v>
      </c>
      <c r="S134" s="215">
        <f>IF(P134="-",0,P134/(1+'General inputs'!$H$32)^(R134-2023))</f>
        <v>16450.619176657543</v>
      </c>
    </row>
    <row r="135" spans="3:19">
      <c r="C135" s="159"/>
      <c r="D135" s="165" t="s">
        <v>284</v>
      </c>
      <c r="E135" s="161">
        <v>37594</v>
      </c>
      <c r="F135" s="172" t="str">
        <f t="shared" si="7"/>
        <v>2002-03</v>
      </c>
      <c r="G135" s="68"/>
      <c r="H135" s="167" t="s">
        <v>280</v>
      </c>
      <c r="I135" s="173">
        <v>21853.086195380012</v>
      </c>
      <c r="J135" s="168">
        <f>IFERROR(MIN('MP Calculations'!$E$30/I135,1),"-")</f>
        <v>0.32927792945511891</v>
      </c>
      <c r="K135" s="12"/>
      <c r="L135" s="159">
        <v>285.68275799999998</v>
      </c>
      <c r="M135" s="159" t="s">
        <v>293</v>
      </c>
      <c r="N135" s="159">
        <v>726</v>
      </c>
      <c r="O135" s="185">
        <f t="shared" si="11"/>
        <v>207405.68230799999</v>
      </c>
      <c r="P135" s="215">
        <f t="shared" si="9"/>
        <v>68294.113627604427</v>
      </c>
      <c r="Q135" s="215" cm="1">
        <f t="array" ref="Q135">IF(P135="-",0,P135/(1+'General inputs'!$H$32)^IFERROR(INDEX('MP Calculations'!$C$40:$C$130,MATCH(F135,'MP Calculations'!$D$40:$D$130,0),0),-1))</f>
        <v>155502.59901619371</v>
      </c>
      <c r="R135" s="207">
        <f t="shared" si="10"/>
        <v>2002</v>
      </c>
      <c r="S135" s="215">
        <f>IF(P135="-",0,P135/(1+'General inputs'!$H$32)^(R135-2023))</f>
        <v>162033.70817487384</v>
      </c>
    </row>
    <row r="136" spans="3:19">
      <c r="C136" s="159"/>
      <c r="D136" s="165" t="s">
        <v>284</v>
      </c>
      <c r="E136" s="161">
        <v>37594</v>
      </c>
      <c r="F136" s="172" t="str">
        <f t="shared" si="7"/>
        <v>2002-03</v>
      </c>
      <c r="G136" s="68"/>
      <c r="H136" s="167" t="s">
        <v>280</v>
      </c>
      <c r="I136" s="173">
        <v>21853.086195380012</v>
      </c>
      <c r="J136" s="168">
        <f>IFERROR(MIN('MP Calculations'!$E$30/I136,1),"-")</f>
        <v>0.32927792945511891</v>
      </c>
      <c r="K136" s="12"/>
      <c r="L136" s="159">
        <v>232.645938</v>
      </c>
      <c r="M136" s="159" t="s">
        <v>293</v>
      </c>
      <c r="N136" s="159">
        <v>726</v>
      </c>
      <c r="O136" s="185">
        <f t="shared" si="11"/>
        <v>168900.950988</v>
      </c>
      <c r="P136" s="215">
        <f t="shared" si="9"/>
        <v>55615.355424329158</v>
      </c>
      <c r="Q136" s="215" cm="1">
        <f t="array" ref="Q136">IF(P136="-",0,P136/(1+'General inputs'!$H$32)^IFERROR(INDEX('MP Calculations'!$C$40:$C$130,MATCH(F136,'MP Calculations'!$D$40:$D$130,0),0),-1))</f>
        <v>126633.64167591893</v>
      </c>
      <c r="R136" s="207">
        <f t="shared" si="10"/>
        <v>2002</v>
      </c>
      <c r="S136" s="215">
        <f>IF(P136="-",0,P136/(1+'General inputs'!$H$32)^(R136-2023))</f>
        <v>131952.25462630752</v>
      </c>
    </row>
    <row r="137" spans="3:19">
      <c r="C137" s="159"/>
      <c r="D137" s="165" t="s">
        <v>284</v>
      </c>
      <c r="E137" s="161">
        <v>37594</v>
      </c>
      <c r="F137" s="172" t="str">
        <f t="shared" si="7"/>
        <v>2002-03</v>
      </c>
      <c r="G137" s="68"/>
      <c r="H137" s="167" t="s">
        <v>280</v>
      </c>
      <c r="I137" s="173">
        <v>21853.086195380012</v>
      </c>
      <c r="J137" s="168">
        <f>IFERROR(MIN('MP Calculations'!$E$30/I137,1),"-")</f>
        <v>0.32927792945511891</v>
      </c>
      <c r="K137" s="12"/>
      <c r="L137" s="159">
        <v>307.15018300000003</v>
      </c>
      <c r="M137" s="159" t="s">
        <v>293</v>
      </c>
      <c r="N137" s="159">
        <v>726</v>
      </c>
      <c r="O137" s="185">
        <f t="shared" si="11"/>
        <v>222991.03285800002</v>
      </c>
      <c r="P137" s="215">
        <f t="shared" si="9"/>
        <v>73426.025586540636</v>
      </c>
      <c r="Q137" s="215" cm="1">
        <f t="array" ref="Q137">IF(P137="-",0,P137/(1+'General inputs'!$H$32)^IFERROR(INDEX('MP Calculations'!$C$40:$C$130,MATCH(F137,'MP Calculations'!$D$40:$D$130,0),0),-1))</f>
        <v>167187.72977121541</v>
      </c>
      <c r="R137" s="207">
        <f t="shared" si="10"/>
        <v>2002</v>
      </c>
      <c r="S137" s="215">
        <f>IF(P137="-",0,P137/(1+'General inputs'!$H$32)^(R137-2023))</f>
        <v>174209.61442160644</v>
      </c>
    </row>
    <row r="138" spans="3:19">
      <c r="C138" s="159"/>
      <c r="D138" s="165" t="s">
        <v>284</v>
      </c>
      <c r="E138" s="161">
        <v>37594</v>
      </c>
      <c r="F138" s="172" t="str">
        <f t="shared" si="7"/>
        <v>2002-03</v>
      </c>
      <c r="G138" s="68"/>
      <c r="H138" s="167" t="s">
        <v>280</v>
      </c>
      <c r="I138" s="173">
        <v>21853.086195380012</v>
      </c>
      <c r="J138" s="168">
        <f>IFERROR(MIN('MP Calculations'!$E$30/I138,1),"-")</f>
        <v>0.32927792945511891</v>
      </c>
      <c r="K138" s="12"/>
      <c r="L138" s="159">
        <v>20.126307000000001</v>
      </c>
      <c r="M138" s="159" t="s">
        <v>293</v>
      </c>
      <c r="N138" s="159">
        <v>726</v>
      </c>
      <c r="O138" s="185">
        <f t="shared" si="11"/>
        <v>14611.698882000001</v>
      </c>
      <c r="P138" s="215">
        <f t="shared" si="9"/>
        <v>4811.3099536866357</v>
      </c>
      <c r="Q138" s="215" cm="1">
        <f t="array" ref="Q138">IF(P138="-",0,P138/(1+'General inputs'!$H$32)^IFERROR(INDEX('MP Calculations'!$C$40:$C$130,MATCH(F138,'MP Calculations'!$D$40:$D$130,0),0),-1))</f>
        <v>10955.134531072445</v>
      </c>
      <c r="R138" s="207">
        <f t="shared" si="10"/>
        <v>2002</v>
      </c>
      <c r="S138" s="215">
        <f>IF(P138="-",0,P138/(1+'General inputs'!$H$32)^(R138-2023))</f>
        <v>11415.250181377487</v>
      </c>
    </row>
    <row r="139" spans="3:19">
      <c r="C139" s="159"/>
      <c r="D139" s="165" t="s">
        <v>284</v>
      </c>
      <c r="E139" s="161">
        <v>37594</v>
      </c>
      <c r="F139" s="172" t="str">
        <f t="shared" si="7"/>
        <v>2002-03</v>
      </c>
      <c r="G139" s="68"/>
      <c r="H139" s="167" t="s">
        <v>280</v>
      </c>
      <c r="I139" s="173">
        <v>21853.086195380012</v>
      </c>
      <c r="J139" s="168">
        <f>IFERROR(MIN('MP Calculations'!$E$30/I139,1),"-")</f>
        <v>0.32927792945511891</v>
      </c>
      <c r="K139" s="12"/>
      <c r="L139" s="159">
        <v>334.88389999999998</v>
      </c>
      <c r="M139" s="159" t="s">
        <v>293</v>
      </c>
      <c r="N139" s="159">
        <v>726</v>
      </c>
      <c r="O139" s="185">
        <f t="shared" si="11"/>
        <v>243125.7114</v>
      </c>
      <c r="P139" s="215">
        <f t="shared" si="9"/>
        <v>80055.930847094802</v>
      </c>
      <c r="Q139" s="215" cm="1">
        <f t="array" ref="Q139">IF(P139="-",0,P139/(1+'General inputs'!$H$32)^IFERROR(INDEX('MP Calculations'!$C$40:$C$130,MATCH(F139,'MP Calculations'!$D$40:$D$130,0),0),-1))</f>
        <v>182283.72332739492</v>
      </c>
      <c r="R139" s="207">
        <f t="shared" si="10"/>
        <v>2002</v>
      </c>
      <c r="S139" s="215">
        <f>IF(P139="-",0,P139/(1+'General inputs'!$H$32)^(R139-2023))</f>
        <v>189939.63970714548</v>
      </c>
    </row>
    <row r="140" spans="3:19">
      <c r="C140" s="159"/>
      <c r="D140" s="165" t="s">
        <v>284</v>
      </c>
      <c r="E140" s="161">
        <v>37594</v>
      </c>
      <c r="F140" s="172" t="str">
        <f t="shared" si="7"/>
        <v>2002-03</v>
      </c>
      <c r="G140" s="68"/>
      <c r="H140" s="167" t="s">
        <v>280</v>
      </c>
      <c r="I140" s="173">
        <v>21853.086195380012</v>
      </c>
      <c r="J140" s="168">
        <f>IFERROR(MIN('MP Calculations'!$E$30/I140,1),"-")</f>
        <v>0.32927792945511891</v>
      </c>
      <c r="K140" s="12"/>
      <c r="L140" s="159">
        <v>269.43604299999998</v>
      </c>
      <c r="M140" s="159" t="s">
        <v>293</v>
      </c>
      <c r="N140" s="159">
        <v>726</v>
      </c>
      <c r="O140" s="185">
        <f t="shared" si="11"/>
        <v>195610.56721799998</v>
      </c>
      <c r="P140" s="215">
        <f t="shared" si="9"/>
        <v>64410.242553084398</v>
      </c>
      <c r="Q140" s="215" cm="1">
        <f t="array" ref="Q140">IF(P140="-",0,P140/(1+'General inputs'!$H$32)^IFERROR(INDEX('MP Calculations'!$C$40:$C$130,MATCH(F140,'MP Calculations'!$D$40:$D$130,0),0),-1))</f>
        <v>146659.20074581093</v>
      </c>
      <c r="R140" s="207">
        <f t="shared" si="10"/>
        <v>2002</v>
      </c>
      <c r="S140" s="215">
        <f>IF(P140="-",0,P140/(1+'General inputs'!$H$32)^(R140-2023))</f>
        <v>152818.88717713498</v>
      </c>
    </row>
    <row r="141" spans="3:19">
      <c r="C141" s="159"/>
      <c r="D141" s="165" t="s">
        <v>284</v>
      </c>
      <c r="E141" s="161">
        <v>37594</v>
      </c>
      <c r="F141" s="172" t="str">
        <f t="shared" si="7"/>
        <v>2002-03</v>
      </c>
      <c r="G141" s="68"/>
      <c r="H141" s="167" t="s">
        <v>280</v>
      </c>
      <c r="I141" s="173">
        <v>21853.086195380012</v>
      </c>
      <c r="J141" s="168">
        <f>IFERROR(MIN('MP Calculations'!$E$30/I141,1),"-")</f>
        <v>0.32927792945511891</v>
      </c>
      <c r="K141" s="12"/>
      <c r="L141" s="159">
        <v>2.6174620000000002</v>
      </c>
      <c r="M141" s="159" t="s">
        <v>293</v>
      </c>
      <c r="N141" s="159">
        <v>726</v>
      </c>
      <c r="O141" s="185">
        <f t="shared" si="11"/>
        <v>1900.2774120000001</v>
      </c>
      <c r="P141" s="215">
        <f t="shared" si="9"/>
        <v>625.71941161369193</v>
      </c>
      <c r="Q141" s="215" cm="1">
        <f t="array" ref="Q141">IF(P141="-",0,P141/(1+'General inputs'!$H$32)^IFERROR(INDEX('MP Calculations'!$C$40:$C$130,MATCH(F141,'MP Calculations'!$D$40:$D$130,0),0),-1))</f>
        <v>1424.7347185934282</v>
      </c>
      <c r="R141" s="207">
        <f t="shared" si="10"/>
        <v>2002</v>
      </c>
      <c r="S141" s="215">
        <f>IF(P141="-",0,P141/(1+'General inputs'!$H$32)^(R141-2023))</f>
        <v>1484.573576774352</v>
      </c>
    </row>
    <row r="142" spans="3:19">
      <c r="C142" s="159"/>
      <c r="D142" s="165" t="s">
        <v>284</v>
      </c>
      <c r="E142" s="161">
        <v>37594</v>
      </c>
      <c r="F142" s="172" t="str">
        <f t="shared" si="7"/>
        <v>2002-03</v>
      </c>
      <c r="G142" s="68"/>
      <c r="H142" s="167" t="s">
        <v>280</v>
      </c>
      <c r="I142" s="173">
        <v>21853.086195380012</v>
      </c>
      <c r="J142" s="168">
        <f>IFERROR(MIN('MP Calculations'!$E$30/I142,1),"-")</f>
        <v>0.32927792945511891</v>
      </c>
      <c r="K142" s="12"/>
      <c r="L142" s="159">
        <v>115.82706399999999</v>
      </c>
      <c r="M142" s="159" t="s">
        <v>293</v>
      </c>
      <c r="N142" s="159">
        <v>726</v>
      </c>
      <c r="O142" s="185">
        <f t="shared" si="11"/>
        <v>84090.448464000001</v>
      </c>
      <c r="P142" s="215">
        <f t="shared" si="9"/>
        <v>27689.128757178303</v>
      </c>
      <c r="Q142" s="215" cm="1">
        <f t="array" ref="Q142">IF(P142="-",0,P142/(1+'General inputs'!$H$32)^IFERROR(INDEX('MP Calculations'!$C$40:$C$130,MATCH(F142,'MP Calculations'!$D$40:$D$130,0),0),-1))</f>
        <v>63046.890244650349</v>
      </c>
      <c r="R142" s="207">
        <f t="shared" si="10"/>
        <v>2002</v>
      </c>
      <c r="S142" s="215">
        <f>IF(P142="-",0,P142/(1+'General inputs'!$H$32)^(R142-2023))</f>
        <v>65694.859634925655</v>
      </c>
    </row>
    <row r="143" spans="3:19">
      <c r="C143" s="159"/>
      <c r="D143" s="165" t="s">
        <v>284</v>
      </c>
      <c r="E143" s="161">
        <v>37594</v>
      </c>
      <c r="F143" s="172" t="str">
        <f t="shared" si="7"/>
        <v>2002-03</v>
      </c>
      <c r="G143" s="68"/>
      <c r="H143" s="167" t="s">
        <v>280</v>
      </c>
      <c r="I143" s="173">
        <v>21853.086195380012</v>
      </c>
      <c r="J143" s="168">
        <f>IFERROR(MIN('MP Calculations'!$E$30/I143,1),"-")</f>
        <v>0.32927792945511891</v>
      </c>
      <c r="K143" s="12"/>
      <c r="L143" s="159">
        <v>395.866694</v>
      </c>
      <c r="M143" s="159" t="s">
        <v>293</v>
      </c>
      <c r="N143" s="159">
        <v>726</v>
      </c>
      <c r="O143" s="185">
        <f t="shared" si="11"/>
        <v>287399.21984400001</v>
      </c>
      <c r="P143" s="215">
        <f t="shared" si="9"/>
        <v>94634.220037248844</v>
      </c>
      <c r="Q143" s="215" cm="1">
        <f t="array" ref="Q143">IF(P143="-",0,P143/(1+'General inputs'!$H$32)^IFERROR(INDEX('MP Calculations'!$C$40:$C$130,MATCH(F143,'MP Calculations'!$D$40:$D$130,0),0),-1))</f>
        <v>215477.82656504688</v>
      </c>
      <c r="R143" s="207">
        <f t="shared" si="10"/>
        <v>2002</v>
      </c>
      <c r="S143" s="215">
        <f>IF(P143="-",0,P143/(1+'General inputs'!$H$32)^(R143-2023))</f>
        <v>224527.89528077884</v>
      </c>
    </row>
    <row r="144" spans="3:19">
      <c r="C144" s="159"/>
      <c r="D144" s="165" t="s">
        <v>284</v>
      </c>
      <c r="E144" s="161">
        <v>37594</v>
      </c>
      <c r="F144" s="172" t="str">
        <f t="shared" si="7"/>
        <v>2002-03</v>
      </c>
      <c r="G144" s="68"/>
      <c r="H144" s="167" t="s">
        <v>280</v>
      </c>
      <c r="I144" s="173">
        <v>21853.086195380012</v>
      </c>
      <c r="J144" s="168">
        <f>IFERROR(MIN('MP Calculations'!$E$30/I144,1),"-")</f>
        <v>0.32927792945511891</v>
      </c>
      <c r="K144" s="12"/>
      <c r="L144" s="159">
        <v>203.681802</v>
      </c>
      <c r="M144" s="159" t="s">
        <v>293</v>
      </c>
      <c r="N144" s="159">
        <v>726</v>
      </c>
      <c r="O144" s="185">
        <f t="shared" si="11"/>
        <v>147872.98825200001</v>
      </c>
      <c r="P144" s="215">
        <f t="shared" si="9"/>
        <v>48691.311393959688</v>
      </c>
      <c r="Q144" s="215" cm="1">
        <f t="array" ref="Q144">IF(P144="-",0,P144/(1+'General inputs'!$H$32)^IFERROR(INDEX('MP Calculations'!$C$40:$C$130,MATCH(F144,'MP Calculations'!$D$40:$D$130,0),0),-1))</f>
        <v>110867.90748254316</v>
      </c>
      <c r="R144" s="207">
        <f t="shared" si="10"/>
        <v>2002</v>
      </c>
      <c r="S144" s="215">
        <f>IF(P144="-",0,P144/(1+'General inputs'!$H$32)^(R144-2023))</f>
        <v>115524.35959680997</v>
      </c>
    </row>
    <row r="145" spans="3:19">
      <c r="C145" s="159"/>
      <c r="D145" s="165" t="s">
        <v>284</v>
      </c>
      <c r="E145" s="161">
        <v>37594</v>
      </c>
      <c r="F145" s="172" t="str">
        <f t="shared" si="7"/>
        <v>2002-03</v>
      </c>
      <c r="G145" s="68"/>
      <c r="H145" s="167" t="s">
        <v>280</v>
      </c>
      <c r="I145" s="173">
        <v>21853.086195380012</v>
      </c>
      <c r="J145" s="168">
        <f>IFERROR(MIN('MP Calculations'!$E$30/I145,1),"-")</f>
        <v>0.32927792945511891</v>
      </c>
      <c r="K145" s="12"/>
      <c r="L145" s="159">
        <v>57.192324999999997</v>
      </c>
      <c r="M145" s="159" t="s">
        <v>293</v>
      </c>
      <c r="N145" s="159">
        <v>726</v>
      </c>
      <c r="O145" s="185">
        <f t="shared" si="11"/>
        <v>41521.627949999995</v>
      </c>
      <c r="P145" s="215">
        <f t="shared" si="9"/>
        <v>13672.155678981791</v>
      </c>
      <c r="Q145" s="215" cm="1">
        <f t="array" ref="Q145">IF(P145="-",0,P145/(1+'General inputs'!$H$32)^IFERROR(INDEX('MP Calculations'!$C$40:$C$130,MATCH(F145,'MP Calculations'!$D$40:$D$130,0),0),-1))</f>
        <v>31130.878333507371</v>
      </c>
      <c r="R145" s="207">
        <f t="shared" si="10"/>
        <v>2002</v>
      </c>
      <c r="S145" s="215">
        <f>IF(P145="-",0,P145/(1+'General inputs'!$H$32)^(R145-2023))</f>
        <v>32438.375223514682</v>
      </c>
    </row>
    <row r="146" spans="3:19">
      <c r="C146" s="159"/>
      <c r="D146" s="165" t="s">
        <v>284</v>
      </c>
      <c r="E146" s="161">
        <v>37594</v>
      </c>
      <c r="F146" s="172" t="str">
        <f t="shared" si="7"/>
        <v>2002-03</v>
      </c>
      <c r="G146" s="68"/>
      <c r="H146" s="167" t="s">
        <v>280</v>
      </c>
      <c r="I146" s="173">
        <v>21853.086195380012</v>
      </c>
      <c r="J146" s="168">
        <f>IFERROR(MIN('MP Calculations'!$E$30/I146,1),"-")</f>
        <v>0.32927792945511891</v>
      </c>
      <c r="K146" s="12"/>
      <c r="L146" s="159">
        <v>2.1323460000000001</v>
      </c>
      <c r="M146" s="159" t="s">
        <v>293</v>
      </c>
      <c r="N146" s="159">
        <v>726</v>
      </c>
      <c r="O146" s="185">
        <f t="shared" si="11"/>
        <v>1548.083196</v>
      </c>
      <c r="P146" s="215">
        <f t="shared" si="9"/>
        <v>509.74962940314305</v>
      </c>
      <c r="Q146" s="215" cm="1">
        <f t="array" ref="Q146">IF(P146="-",0,P146/(1+'General inputs'!$H$32)^IFERROR(INDEX('MP Calculations'!$C$40:$C$130,MATCH(F146,'MP Calculations'!$D$40:$D$130,0),0),-1))</f>
        <v>1160.6767847074084</v>
      </c>
      <c r="R146" s="207">
        <f t="shared" si="10"/>
        <v>2002</v>
      </c>
      <c r="S146" s="215">
        <f>IF(P146="-",0,P146/(1+'General inputs'!$H$32)^(R146-2023))</f>
        <v>1209.4252096651194</v>
      </c>
    </row>
    <row r="147" spans="3:19">
      <c r="C147" s="159"/>
      <c r="D147" s="165" t="s">
        <v>284</v>
      </c>
      <c r="E147" s="161">
        <v>37594</v>
      </c>
      <c r="F147" s="172" t="str">
        <f t="shared" si="7"/>
        <v>2002-03</v>
      </c>
      <c r="G147" s="68"/>
      <c r="H147" s="167" t="s">
        <v>280</v>
      </c>
      <c r="I147" s="173">
        <v>21853.086195380012</v>
      </c>
      <c r="J147" s="168">
        <f>IFERROR(MIN('MP Calculations'!$E$30/I147,1),"-")</f>
        <v>0.32927792945511891</v>
      </c>
      <c r="K147" s="12"/>
      <c r="L147" s="159">
        <v>192.28004300000001</v>
      </c>
      <c r="M147" s="159" t="s">
        <v>293</v>
      </c>
      <c r="N147" s="159">
        <v>726</v>
      </c>
      <c r="O147" s="185">
        <f t="shared" si="11"/>
        <v>139595.31121800002</v>
      </c>
      <c r="P147" s="215">
        <f t="shared" si="9"/>
        <v>45965.655039505982</v>
      </c>
      <c r="Q147" s="215" cm="1">
        <f t="array" ref="Q147">IF(P147="-",0,P147/(1+'General inputs'!$H$32)^IFERROR(INDEX('MP Calculations'!$C$40:$C$130,MATCH(F147,'MP Calculations'!$D$40:$D$130,0),0),-1))</f>
        <v>104661.71159494859</v>
      </c>
      <c r="R147" s="207">
        <f t="shared" si="10"/>
        <v>2002</v>
      </c>
      <c r="S147" s="215">
        <f>IF(P147="-",0,P147/(1+'General inputs'!$H$32)^(R147-2023))</f>
        <v>109057.50348193642</v>
      </c>
    </row>
    <row r="148" spans="3:19">
      <c r="C148" s="159"/>
      <c r="D148" s="165" t="s">
        <v>284</v>
      </c>
      <c r="E148" s="161">
        <v>37594</v>
      </c>
      <c r="F148" s="172" t="str">
        <f t="shared" si="7"/>
        <v>2002-03</v>
      </c>
      <c r="G148" s="68"/>
      <c r="H148" s="167" t="s">
        <v>280</v>
      </c>
      <c r="I148" s="173">
        <v>21853.086195380012</v>
      </c>
      <c r="J148" s="168">
        <f>IFERROR(MIN('MP Calculations'!$E$30/I148,1),"-")</f>
        <v>0.32927792945511891</v>
      </c>
      <c r="K148" s="12"/>
      <c r="L148" s="159">
        <v>247.49625700000001</v>
      </c>
      <c r="M148" s="159" t="s">
        <v>293</v>
      </c>
      <c r="N148" s="159">
        <v>726</v>
      </c>
      <c r="O148" s="185">
        <f t="shared" si="11"/>
        <v>179682.28258200001</v>
      </c>
      <c r="P148" s="215">
        <f t="shared" si="9"/>
        <v>59165.409968370543</v>
      </c>
      <c r="Q148" s="215" cm="1">
        <f t="array" ref="Q148">IF(P148="-",0,P148/(1+'General inputs'!$H$32)^IFERROR(INDEX('MP Calculations'!$C$40:$C$130,MATCH(F148,'MP Calculations'!$D$40:$D$130,0),0),-1))</f>
        <v>134716.95484779601</v>
      </c>
      <c r="R148" s="207">
        <f t="shared" si="10"/>
        <v>2002</v>
      </c>
      <c r="S148" s="215">
        <f>IF(P148="-",0,P148/(1+'General inputs'!$H$32)^(R148-2023))</f>
        <v>140375.06695140342</v>
      </c>
    </row>
    <row r="149" spans="3:19">
      <c r="C149" s="159"/>
      <c r="D149" s="165" t="s">
        <v>284</v>
      </c>
      <c r="E149" s="161">
        <v>37594</v>
      </c>
      <c r="F149" s="172" t="str">
        <f t="shared" si="7"/>
        <v>2002-03</v>
      </c>
      <c r="G149" s="68"/>
      <c r="H149" s="167" t="s">
        <v>280</v>
      </c>
      <c r="I149" s="173">
        <v>21853.086195380012</v>
      </c>
      <c r="J149" s="168">
        <f>IFERROR(MIN('MP Calculations'!$E$30/I149,1),"-")</f>
        <v>0.32927792945511891</v>
      </c>
      <c r="K149" s="12"/>
      <c r="L149" s="159">
        <v>324.550028</v>
      </c>
      <c r="M149" s="159" t="s">
        <v>293</v>
      </c>
      <c r="N149" s="159">
        <v>726</v>
      </c>
      <c r="O149" s="185">
        <f t="shared" si="11"/>
        <v>235623.320328</v>
      </c>
      <c r="P149" s="215">
        <f t="shared" si="9"/>
        <v>77585.559048944066</v>
      </c>
      <c r="Q149" s="215" cm="1">
        <f t="array" ref="Q149">IF(P149="-",0,P149/(1+'General inputs'!$H$32)^IFERROR(INDEX('MP Calculations'!$C$40:$C$130,MATCH(F149,'MP Calculations'!$D$40:$D$130,0),0),-1))</f>
        <v>176658.79879519521</v>
      </c>
      <c r="R149" s="207">
        <f t="shared" si="10"/>
        <v>2002</v>
      </c>
      <c r="S149" s="215">
        <f>IF(P149="-",0,P149/(1+'General inputs'!$H$32)^(R149-2023))</f>
        <v>184078.46834459339</v>
      </c>
    </row>
    <row r="150" spans="3:19">
      <c r="C150" s="159"/>
      <c r="D150" s="165" t="s">
        <v>284</v>
      </c>
      <c r="E150" s="161">
        <v>37594</v>
      </c>
      <c r="F150" s="172" t="str">
        <f t="shared" ref="F150:F213" si="12">IF(E150="","-",IF(OR(E150&lt;$E$15,E150&gt;$E$16),"ERROR - date outside of range",IF(MONTH(E150)&gt;=7,YEAR(E150)&amp;"-"&amp;IF(YEAR(E150)=1999,"00",IF(AND(YEAR(E150)&gt;=2000,YEAR(E150)&lt;2009),"0","")&amp;RIGHT(YEAR(E150),2)+1),RIGHT(YEAR(E150),4)-1&amp;"-"&amp;RIGHT(YEAR(E150),2))))</f>
        <v>2002-03</v>
      </c>
      <c r="G150" s="68"/>
      <c r="H150" s="167" t="s">
        <v>280</v>
      </c>
      <c r="I150" s="173">
        <v>21853.086195380012</v>
      </c>
      <c r="J150" s="168">
        <f>IFERROR(MIN('MP Calculations'!$E$30/I150,1),"-")</f>
        <v>0.32927792945511891</v>
      </c>
      <c r="K150" s="12"/>
      <c r="L150" s="159">
        <v>316.128984</v>
      </c>
      <c r="M150" s="159" t="s">
        <v>293</v>
      </c>
      <c r="N150" s="159">
        <v>726</v>
      </c>
      <c r="O150" s="185">
        <f t="shared" si="11"/>
        <v>229509.64238400001</v>
      </c>
      <c r="P150" s="215">
        <f t="shared" si="9"/>
        <v>75572.459834188325</v>
      </c>
      <c r="Q150" s="215" cm="1">
        <f t="array" ref="Q150">IF(P150="-",0,P150/(1+'General inputs'!$H$32)^IFERROR(INDEX('MP Calculations'!$C$40:$C$130,MATCH(F150,'MP Calculations'!$D$40:$D$130,0),0),-1))</f>
        <v>172075.06319421882</v>
      </c>
      <c r="R150" s="207">
        <f t="shared" si="10"/>
        <v>2002</v>
      </c>
      <c r="S150" s="215">
        <f>IF(P150="-",0,P150/(1+'General inputs'!$H$32)^(R150-2023))</f>
        <v>179302.21584837601</v>
      </c>
    </row>
    <row r="151" spans="3:19">
      <c r="C151" s="159"/>
      <c r="D151" s="165" t="s">
        <v>284</v>
      </c>
      <c r="E151" s="161">
        <v>37594</v>
      </c>
      <c r="F151" s="172" t="str">
        <f t="shared" si="12"/>
        <v>2002-03</v>
      </c>
      <c r="G151" s="68"/>
      <c r="H151" s="167" t="s">
        <v>280</v>
      </c>
      <c r="I151" s="173">
        <v>21853.086195380012</v>
      </c>
      <c r="J151" s="168">
        <f>IFERROR(MIN('MP Calculations'!$E$30/I151,1),"-")</f>
        <v>0.32927792945511891</v>
      </c>
      <c r="K151" s="12"/>
      <c r="L151" s="159">
        <v>26.170945</v>
      </c>
      <c r="M151" s="159" t="s">
        <v>293</v>
      </c>
      <c r="N151" s="159">
        <v>726</v>
      </c>
      <c r="O151" s="185">
        <f t="shared" si="11"/>
        <v>19000.106069999998</v>
      </c>
      <c r="P151" s="215">
        <f t="shared" ref="P151:P214" si="13">IF(O151="-","-",IF(OR(E151&lt;$E$15,E151&gt;$E$16),0,O151*J151))</f>
        <v>6256.3155861572359</v>
      </c>
      <c r="Q151" s="215" cm="1">
        <f t="array" ref="Q151">IF(P151="-",0,P151/(1+'General inputs'!$H$32)^IFERROR(INDEX('MP Calculations'!$C$40:$C$130,MATCH(F151,'MP Calculations'!$D$40:$D$130,0),0),-1))</f>
        <v>14245.346813019285</v>
      </c>
      <c r="R151" s="207">
        <f t="shared" si="10"/>
        <v>2002</v>
      </c>
      <c r="S151" s="215">
        <f>IF(P151="-",0,P151/(1+'General inputs'!$H$32)^(R151-2023))</f>
        <v>14843.651379166093</v>
      </c>
    </row>
    <row r="152" spans="3:19">
      <c r="C152" s="159"/>
      <c r="D152" s="165" t="s">
        <v>284</v>
      </c>
      <c r="E152" s="161">
        <v>37594</v>
      </c>
      <c r="F152" s="172" t="str">
        <f t="shared" si="12"/>
        <v>2002-03</v>
      </c>
      <c r="G152" s="68"/>
      <c r="H152" s="167" t="s">
        <v>280</v>
      </c>
      <c r="I152" s="173">
        <v>21853.086195380012</v>
      </c>
      <c r="J152" s="168">
        <f>IFERROR(MIN('MP Calculations'!$E$30/I152,1),"-")</f>
        <v>0.32927792945511891</v>
      </c>
      <c r="K152" s="12"/>
      <c r="L152" s="159">
        <v>273.74355100000002</v>
      </c>
      <c r="M152" s="159" t="s">
        <v>293</v>
      </c>
      <c r="N152" s="159">
        <v>726</v>
      </c>
      <c r="O152" s="185">
        <f t="shared" si="11"/>
        <v>198737.81802600002</v>
      </c>
      <c r="P152" s="215">
        <f t="shared" si="13"/>
        <v>65439.977224029491</v>
      </c>
      <c r="Q152" s="215" cm="1">
        <f t="array" ref="Q152">IF(P152="-",0,P152/(1+'General inputs'!$H$32)^IFERROR(INDEX('MP Calculations'!$C$40:$C$130,MATCH(F152,'MP Calculations'!$D$40:$D$130,0),0),-1))</f>
        <v>149003.85988440359</v>
      </c>
      <c r="R152" s="207">
        <f t="shared" si="10"/>
        <v>2002</v>
      </c>
      <c r="S152" s="215">
        <f>IF(P152="-",0,P152/(1+'General inputs'!$H$32)^(R152-2023))</f>
        <v>155262.02199954854</v>
      </c>
    </row>
    <row r="153" spans="3:19">
      <c r="C153" s="159"/>
      <c r="D153" s="165" t="s">
        <v>284</v>
      </c>
      <c r="E153" s="161">
        <v>37594</v>
      </c>
      <c r="F153" s="172" t="str">
        <f t="shared" si="12"/>
        <v>2002-03</v>
      </c>
      <c r="G153" s="68"/>
      <c r="H153" s="167" t="s">
        <v>280</v>
      </c>
      <c r="I153" s="173">
        <v>21853.086195380012</v>
      </c>
      <c r="J153" s="168">
        <f>IFERROR(MIN('MP Calculations'!$E$30/I153,1),"-")</f>
        <v>0.32927792945511891</v>
      </c>
      <c r="K153" s="12"/>
      <c r="L153" s="159">
        <v>263.94956200000001</v>
      </c>
      <c r="M153" s="159" t="s">
        <v>293</v>
      </c>
      <c r="N153" s="159">
        <v>726</v>
      </c>
      <c r="O153" s="185">
        <f t="shared" si="11"/>
        <v>191627.38201200002</v>
      </c>
      <c r="P153" s="215">
        <f t="shared" si="13"/>
        <v>63098.667575816464</v>
      </c>
      <c r="Q153" s="215" cm="1">
        <f t="array" ref="Q153">IF(P153="-",0,P153/(1+'General inputs'!$H$32)^IFERROR(INDEX('MP Calculations'!$C$40:$C$130,MATCH(F153,'MP Calculations'!$D$40:$D$130,0),0),-1))</f>
        <v>143672.80401355537</v>
      </c>
      <c r="R153" s="207">
        <f t="shared" si="10"/>
        <v>2002</v>
      </c>
      <c r="S153" s="215">
        <f>IF(P153="-",0,P153/(1+'General inputs'!$H$32)^(R153-2023))</f>
        <v>149707.06178212469</v>
      </c>
    </row>
    <row r="154" spans="3:19">
      <c r="C154" s="159"/>
      <c r="D154" s="165" t="s">
        <v>284</v>
      </c>
      <c r="E154" s="161">
        <v>37594</v>
      </c>
      <c r="F154" s="172" t="str">
        <f t="shared" si="12"/>
        <v>2002-03</v>
      </c>
      <c r="G154" s="68"/>
      <c r="H154" s="167" t="s">
        <v>280</v>
      </c>
      <c r="I154" s="173">
        <v>21853.086195380012</v>
      </c>
      <c r="J154" s="168">
        <f>IFERROR(MIN('MP Calculations'!$E$30/I154,1),"-")</f>
        <v>0.32927792945511891</v>
      </c>
      <c r="K154" s="12"/>
      <c r="L154" s="159">
        <v>512.63043900000002</v>
      </c>
      <c r="M154" s="159" t="s">
        <v>293</v>
      </c>
      <c r="N154" s="159">
        <v>726</v>
      </c>
      <c r="O154" s="185">
        <f t="shared" si="11"/>
        <v>372169.698714</v>
      </c>
      <c r="P154" s="215">
        <f t="shared" si="13"/>
        <v>122547.26779848135</v>
      </c>
      <c r="Q154" s="215" cm="1">
        <f t="array" ref="Q154">IF(P154="-",0,P154/(1+'General inputs'!$H$32)^IFERROR(INDEX('MP Calculations'!$C$40:$C$130,MATCH(F154,'MP Calculations'!$D$40:$D$130,0),0),-1))</f>
        <v>279034.57022531389</v>
      </c>
      <c r="R154" s="207">
        <f t="shared" si="10"/>
        <v>2002</v>
      </c>
      <c r="S154" s="215">
        <f>IF(P154="-",0,P154/(1+'General inputs'!$H$32)^(R154-2023))</f>
        <v>290754.02217477706</v>
      </c>
    </row>
    <row r="155" spans="3:19">
      <c r="C155" s="159"/>
      <c r="D155" s="165" t="s">
        <v>284</v>
      </c>
      <c r="E155" s="161">
        <v>37594</v>
      </c>
      <c r="F155" s="172" t="str">
        <f t="shared" si="12"/>
        <v>2002-03</v>
      </c>
      <c r="G155" s="68"/>
      <c r="H155" s="167" t="s">
        <v>280</v>
      </c>
      <c r="I155" s="173">
        <v>21853.086195380012</v>
      </c>
      <c r="J155" s="168">
        <f>IFERROR(MIN('MP Calculations'!$E$30/I155,1),"-")</f>
        <v>0.32927792945511891</v>
      </c>
      <c r="K155" s="12"/>
      <c r="L155" s="159">
        <v>296.95223700000003</v>
      </c>
      <c r="M155" s="159" t="s">
        <v>293</v>
      </c>
      <c r="N155" s="159">
        <v>726</v>
      </c>
      <c r="O155" s="185">
        <f t="shared" si="11"/>
        <v>215587.32406200003</v>
      </c>
      <c r="P155" s="215">
        <f t="shared" si="13"/>
        <v>70988.147683905103</v>
      </c>
      <c r="Q155" s="215" cm="1">
        <f t="array" ref="Q155">IF(P155="-",0,P155/(1+'General inputs'!$H$32)^IFERROR(INDEX('MP Calculations'!$C$40:$C$130,MATCH(F155,'MP Calculations'!$D$40:$D$130,0),0),-1))</f>
        <v>161636.79236523167</v>
      </c>
      <c r="R155" s="207">
        <f t="shared" si="10"/>
        <v>2002</v>
      </c>
      <c r="S155" s="215">
        <f>IF(P155="-",0,P155/(1+'General inputs'!$H$32)^(R155-2023))</f>
        <v>168425.53764457139</v>
      </c>
    </row>
    <row r="156" spans="3:19">
      <c r="C156" s="159"/>
      <c r="D156" s="165" t="s">
        <v>284</v>
      </c>
      <c r="E156" s="161">
        <v>37594</v>
      </c>
      <c r="F156" s="172" t="str">
        <f t="shared" si="12"/>
        <v>2002-03</v>
      </c>
      <c r="G156" s="68"/>
      <c r="H156" s="167" t="s">
        <v>280</v>
      </c>
      <c r="I156" s="173">
        <v>21853.086195380012</v>
      </c>
      <c r="J156" s="168">
        <f>IFERROR(MIN('MP Calculations'!$E$30/I156,1),"-")</f>
        <v>0.32927792945511891</v>
      </c>
      <c r="K156" s="12"/>
      <c r="L156" s="159">
        <v>302.20788900000002</v>
      </c>
      <c r="M156" s="159" t="s">
        <v>293</v>
      </c>
      <c r="N156" s="159">
        <v>726</v>
      </c>
      <c r="O156" s="185">
        <f t="shared" si="11"/>
        <v>219402.92741400001</v>
      </c>
      <c r="P156" s="215">
        <f t="shared" si="13"/>
        <v>72244.541655273671</v>
      </c>
      <c r="Q156" s="215" cm="1">
        <f t="array" ref="Q156">IF(P156="-",0,P156/(1+'General inputs'!$H$32)^IFERROR(INDEX('MP Calculations'!$C$40:$C$130,MATCH(F156,'MP Calculations'!$D$40:$D$130,0),0),-1))</f>
        <v>164497.54444997828</v>
      </c>
      <c r="R156" s="207">
        <f t="shared" si="10"/>
        <v>2002</v>
      </c>
      <c r="S156" s="215">
        <f>IF(P156="-",0,P156/(1+'General inputs'!$H$32)^(R156-2023))</f>
        <v>171406.44131687735</v>
      </c>
    </row>
    <row r="157" spans="3:19">
      <c r="C157" s="159"/>
      <c r="D157" s="165" t="s">
        <v>284</v>
      </c>
      <c r="E157" s="161">
        <v>37594</v>
      </c>
      <c r="F157" s="172" t="str">
        <f t="shared" si="12"/>
        <v>2002-03</v>
      </c>
      <c r="G157" s="68"/>
      <c r="H157" s="167" t="s">
        <v>280</v>
      </c>
      <c r="I157" s="173">
        <v>21853.086195380012</v>
      </c>
      <c r="J157" s="168">
        <f>IFERROR(MIN('MP Calculations'!$E$30/I157,1),"-")</f>
        <v>0.32927792945511891</v>
      </c>
      <c r="K157" s="12"/>
      <c r="L157" s="159">
        <v>247.45176599999999</v>
      </c>
      <c r="M157" s="159" t="s">
        <v>293</v>
      </c>
      <c r="N157" s="159">
        <v>726</v>
      </c>
      <c r="O157" s="185">
        <f t="shared" si="11"/>
        <v>179649.982116</v>
      </c>
      <c r="P157" s="215">
        <f t="shared" si="13"/>
        <v>59154.774137805623</v>
      </c>
      <c r="Q157" s="215" cm="1">
        <f t="array" ref="Q157">IF(P157="-",0,P157/(1+'General inputs'!$H$32)^IFERROR(INDEX('MP Calculations'!$C$40:$C$130,MATCH(F157,'MP Calculations'!$D$40:$D$130,0),0),-1))</f>
        <v>134692.73754402428</v>
      </c>
      <c r="R157" s="207">
        <f t="shared" si="10"/>
        <v>2002</v>
      </c>
      <c r="S157" s="215">
        <f>IF(P157="-",0,P157/(1+'General inputs'!$H$32)^(R157-2023))</f>
        <v>140349.83252087329</v>
      </c>
    </row>
    <row r="158" spans="3:19">
      <c r="C158" s="159"/>
      <c r="D158" s="165" t="s">
        <v>284</v>
      </c>
      <c r="E158" s="161">
        <v>37594</v>
      </c>
      <c r="F158" s="172" t="str">
        <f t="shared" si="12"/>
        <v>2002-03</v>
      </c>
      <c r="G158" s="68"/>
      <c r="H158" s="167" t="s">
        <v>280</v>
      </c>
      <c r="I158" s="173">
        <v>21853.086195380012</v>
      </c>
      <c r="J158" s="168">
        <f>IFERROR(MIN('MP Calculations'!$E$30/I158,1),"-")</f>
        <v>0.32927792945511891</v>
      </c>
      <c r="K158" s="12"/>
      <c r="L158" s="159">
        <v>263.94703900000002</v>
      </c>
      <c r="M158" s="159" t="s">
        <v>293</v>
      </c>
      <c r="N158" s="159">
        <v>726</v>
      </c>
      <c r="O158" s="185">
        <f t="shared" si="11"/>
        <v>191625.55031400002</v>
      </c>
      <c r="P158" s="215">
        <f t="shared" si="13"/>
        <v>63098.064438091642</v>
      </c>
      <c r="Q158" s="215" cm="1">
        <f t="array" ref="Q158">IF(P158="-",0,P158/(1+'General inputs'!$H$32)^IFERROR(INDEX('MP Calculations'!$C$40:$C$130,MATCH(F158,'MP Calculations'!$D$40:$D$130,0),0),-1))</f>
        <v>143671.43069631333</v>
      </c>
      <c r="R158" s="207">
        <f t="shared" si="10"/>
        <v>2002</v>
      </c>
      <c r="S158" s="215">
        <f>IF(P158="-",0,P158/(1+'General inputs'!$H$32)^(R158-2023))</f>
        <v>149705.63078555849</v>
      </c>
    </row>
    <row r="159" spans="3:19">
      <c r="C159" s="159"/>
      <c r="D159" s="165" t="s">
        <v>284</v>
      </c>
      <c r="E159" s="161">
        <v>37594</v>
      </c>
      <c r="F159" s="172" t="str">
        <f t="shared" si="12"/>
        <v>2002-03</v>
      </c>
      <c r="G159" s="68"/>
      <c r="H159" s="167" t="s">
        <v>280</v>
      </c>
      <c r="I159" s="173">
        <v>21853.086195380012</v>
      </c>
      <c r="J159" s="168">
        <f>IFERROR(MIN('MP Calculations'!$E$30/I159,1),"-")</f>
        <v>0.32927792945511891</v>
      </c>
      <c r="K159" s="12"/>
      <c r="L159" s="159">
        <v>329.959047</v>
      </c>
      <c r="M159" s="159" t="s">
        <v>293</v>
      </c>
      <c r="N159" s="159">
        <v>726</v>
      </c>
      <c r="O159" s="185">
        <f t="shared" si="11"/>
        <v>239550.26812200001</v>
      </c>
      <c r="P159" s="215">
        <f t="shared" si="13"/>
        <v>78878.616287630735</v>
      </c>
      <c r="Q159" s="215" cm="1">
        <f t="array" ref="Q159">IF(P159="-",0,P159/(1+'General inputs'!$H$32)^IFERROR(INDEX('MP Calculations'!$C$40:$C$130,MATCH(F159,'MP Calculations'!$D$40:$D$130,0),0),-1))</f>
        <v>179603.0314766368</v>
      </c>
      <c r="R159" s="207">
        <f t="shared" si="10"/>
        <v>2002</v>
      </c>
      <c r="S159" s="215">
        <f>IF(P159="-",0,P159/(1+'General inputs'!$H$32)^(R159-2023))</f>
        <v>187146.35879865554</v>
      </c>
    </row>
    <row r="160" spans="3:19">
      <c r="C160" s="159"/>
      <c r="D160" s="165" t="s">
        <v>284</v>
      </c>
      <c r="E160" s="161">
        <v>37594</v>
      </c>
      <c r="F160" s="172" t="str">
        <f t="shared" si="12"/>
        <v>2002-03</v>
      </c>
      <c r="G160" s="68"/>
      <c r="H160" s="167" t="s">
        <v>280</v>
      </c>
      <c r="I160" s="173">
        <v>21853.086195380012</v>
      </c>
      <c r="J160" s="168">
        <f>IFERROR(MIN('MP Calculations'!$E$30/I160,1),"-")</f>
        <v>0.32927792945511891</v>
      </c>
      <c r="K160" s="12"/>
      <c r="L160" s="159">
        <v>2.0523639999999999</v>
      </c>
      <c r="M160" s="159" t="s">
        <v>293</v>
      </c>
      <c r="N160" s="159">
        <v>726</v>
      </c>
      <c r="O160" s="185">
        <f t="shared" si="11"/>
        <v>1490.0162639999999</v>
      </c>
      <c r="P160" s="215">
        <f t="shared" si="13"/>
        <v>490.62947026437178</v>
      </c>
      <c r="Q160" s="215" cm="1">
        <f t="array" ref="Q160">IF(P160="-",0,P160/(1+'General inputs'!$H$32)^IFERROR(INDEX('MP Calculations'!$C$40:$C$130,MATCH(F160,'MP Calculations'!$D$40:$D$130,0),0),-1))</f>
        <v>1117.1410496088511</v>
      </c>
      <c r="R160" s="207">
        <f t="shared" si="10"/>
        <v>2002</v>
      </c>
      <c r="S160" s="215">
        <f>IF(P160="-",0,P160/(1+'General inputs'!$H$32)^(R160-2023))</f>
        <v>1164.0609736924227</v>
      </c>
    </row>
    <row r="161" spans="3:19">
      <c r="C161" s="159"/>
      <c r="D161" s="165" t="s">
        <v>284</v>
      </c>
      <c r="E161" s="161">
        <v>37594</v>
      </c>
      <c r="F161" s="172" t="str">
        <f t="shared" si="12"/>
        <v>2002-03</v>
      </c>
      <c r="G161" s="68"/>
      <c r="H161" s="167" t="s">
        <v>280</v>
      </c>
      <c r="I161" s="173">
        <v>21853.086195380012</v>
      </c>
      <c r="J161" s="168">
        <f>IFERROR(MIN('MP Calculations'!$E$30/I161,1),"-")</f>
        <v>0.32927792945511891</v>
      </c>
      <c r="K161" s="12"/>
      <c r="L161" s="159">
        <v>21.964100999999999</v>
      </c>
      <c r="M161" s="159" t="s">
        <v>293</v>
      </c>
      <c r="N161" s="159">
        <v>726</v>
      </c>
      <c r="O161" s="185">
        <f t="shared" si="11"/>
        <v>15945.937325999999</v>
      </c>
      <c r="P161" s="215">
        <f t="shared" si="13"/>
        <v>5250.6452259263751</v>
      </c>
      <c r="Q161" s="215" cm="1">
        <f t="array" ref="Q161">IF(P161="-",0,P161/(1+'General inputs'!$H$32)^IFERROR(INDEX('MP Calculations'!$C$40:$C$130,MATCH(F161,'MP Calculations'!$D$40:$D$130,0),0),-1))</f>
        <v>11955.481018403565</v>
      </c>
      <c r="R161" s="207">
        <f t="shared" si="10"/>
        <v>2002</v>
      </c>
      <c r="S161" s="215">
        <f>IF(P161="-",0,P161/(1+'General inputs'!$H$32)^(R161-2023))</f>
        <v>12457.611221176514</v>
      </c>
    </row>
    <row r="162" spans="3:19">
      <c r="C162" s="159"/>
      <c r="D162" s="165" t="s">
        <v>284</v>
      </c>
      <c r="E162" s="161">
        <v>37594</v>
      </c>
      <c r="F162" s="172" t="str">
        <f t="shared" si="12"/>
        <v>2002-03</v>
      </c>
      <c r="G162" s="68"/>
      <c r="H162" s="167" t="s">
        <v>280</v>
      </c>
      <c r="I162" s="173">
        <v>21853.086195380012</v>
      </c>
      <c r="J162" s="168">
        <f>IFERROR(MIN('MP Calculations'!$E$30/I162,1),"-")</f>
        <v>0.32927792945511891</v>
      </c>
      <c r="K162" s="12"/>
      <c r="L162" s="159">
        <v>2.728002</v>
      </c>
      <c r="M162" s="159" t="s">
        <v>293</v>
      </c>
      <c r="N162" s="159">
        <v>726</v>
      </c>
      <c r="O162" s="185">
        <f t="shared" si="11"/>
        <v>1980.529452</v>
      </c>
      <c r="P162" s="215">
        <f t="shared" si="13"/>
        <v>652.14463717944136</v>
      </c>
      <c r="Q162" s="215" cm="1">
        <f t="array" ref="Q162">IF(P162="-",0,P162/(1+'General inputs'!$H$32)^IFERROR(INDEX('MP Calculations'!$C$40:$C$130,MATCH(F162,'MP Calculations'!$D$40:$D$130,0),0),-1))</f>
        <v>1484.903758599861</v>
      </c>
      <c r="R162" s="207">
        <f t="shared" si="10"/>
        <v>2002</v>
      </c>
      <c r="S162" s="215">
        <f>IF(P162="-",0,P162/(1+'General inputs'!$H$32)^(R162-2023))</f>
        <v>1547.2697164610552</v>
      </c>
    </row>
    <row r="163" spans="3:19">
      <c r="C163" s="159"/>
      <c r="D163" s="165" t="s">
        <v>284</v>
      </c>
      <c r="E163" s="161">
        <v>37594</v>
      </c>
      <c r="F163" s="172" t="str">
        <f t="shared" si="12"/>
        <v>2002-03</v>
      </c>
      <c r="G163" s="68"/>
      <c r="H163" s="167" t="s">
        <v>280</v>
      </c>
      <c r="I163" s="173">
        <v>21853.086195380012</v>
      </c>
      <c r="J163" s="168">
        <f>IFERROR(MIN('MP Calculations'!$E$30/I163,1),"-")</f>
        <v>0.32927792945511891</v>
      </c>
      <c r="K163" s="12"/>
      <c r="L163" s="159">
        <v>231.58743799999999</v>
      </c>
      <c r="M163" s="159" t="s">
        <v>293</v>
      </c>
      <c r="N163" s="159">
        <v>726</v>
      </c>
      <c r="O163" s="185">
        <f t="shared" si="11"/>
        <v>168132.47998800001</v>
      </c>
      <c r="P163" s="215">
        <f t="shared" si="13"/>
        <v>55362.314884602856</v>
      </c>
      <c r="Q163" s="215" cm="1">
        <f t="array" ref="Q163">IF(P163="-",0,P163/(1+'General inputs'!$H$32)^IFERROR(INDEX('MP Calculations'!$C$40:$C$130,MATCH(F163,'MP Calculations'!$D$40:$D$130,0),0),-1))</f>
        <v>126057.47984448409</v>
      </c>
      <c r="R163" s="207">
        <f t="shared" si="10"/>
        <v>2002</v>
      </c>
      <c r="S163" s="215">
        <f>IF(P163="-",0,P163/(1+'General inputs'!$H$32)^(R163-2023))</f>
        <v>131351.8939979524</v>
      </c>
    </row>
    <row r="164" spans="3:19">
      <c r="C164" s="159"/>
      <c r="D164" s="165" t="s">
        <v>284</v>
      </c>
      <c r="E164" s="161">
        <v>37594</v>
      </c>
      <c r="F164" s="172" t="str">
        <f t="shared" si="12"/>
        <v>2002-03</v>
      </c>
      <c r="G164" s="68"/>
      <c r="H164" s="167" t="s">
        <v>280</v>
      </c>
      <c r="I164" s="173">
        <v>21853.086195380012</v>
      </c>
      <c r="J164" s="168">
        <f>IFERROR(MIN('MP Calculations'!$E$30/I164,1),"-")</f>
        <v>0.32927792945511891</v>
      </c>
      <c r="K164" s="12"/>
      <c r="L164" s="159">
        <v>41.735236999999998</v>
      </c>
      <c r="M164" s="159" t="s">
        <v>293</v>
      </c>
      <c r="N164" s="159">
        <v>726</v>
      </c>
      <c r="O164" s="185">
        <f t="shared" si="11"/>
        <v>30299.782061999998</v>
      </c>
      <c r="P164" s="215">
        <f t="shared" si="13"/>
        <v>9977.0495003167125</v>
      </c>
      <c r="Q164" s="215" cm="1">
        <f t="array" ref="Q164">IF(P164="-",0,P164/(1+'General inputs'!$H$32)^IFERROR(INDEX('MP Calculations'!$C$40:$C$130,MATCH(F164,'MP Calculations'!$D$40:$D$130,0),0),-1))</f>
        <v>22717.289168906758</v>
      </c>
      <c r="R164" s="207">
        <f t="shared" si="10"/>
        <v>2002</v>
      </c>
      <c r="S164" s="215">
        <f>IF(P164="-",0,P164/(1+'General inputs'!$H$32)^(R164-2023))</f>
        <v>23671.415314000842</v>
      </c>
    </row>
    <row r="165" spans="3:19">
      <c r="C165" s="159"/>
      <c r="D165" s="165" t="s">
        <v>284</v>
      </c>
      <c r="E165" s="161">
        <v>37594</v>
      </c>
      <c r="F165" s="172" t="str">
        <f t="shared" si="12"/>
        <v>2002-03</v>
      </c>
      <c r="G165" s="68"/>
      <c r="H165" s="167" t="s">
        <v>280</v>
      </c>
      <c r="I165" s="173">
        <v>21853.086195380012</v>
      </c>
      <c r="J165" s="168">
        <f>IFERROR(MIN('MP Calculations'!$E$30/I165,1),"-")</f>
        <v>0.32927792945511891</v>
      </c>
      <c r="K165" s="12"/>
      <c r="L165" s="159">
        <v>1.2307969999999999</v>
      </c>
      <c r="M165" s="159" t="s">
        <v>293</v>
      </c>
      <c r="N165" s="159">
        <v>726</v>
      </c>
      <c r="O165" s="185">
        <f t="shared" si="11"/>
        <v>893.5586219999999</v>
      </c>
      <c r="P165" s="215">
        <f t="shared" si="13"/>
        <v>294.22913289892921</v>
      </c>
      <c r="Q165" s="215" cm="1">
        <f t="array" ref="Q165">IF(P165="-",0,P165/(1+'General inputs'!$H$32)^IFERROR(INDEX('MP Calculations'!$C$40:$C$130,MATCH(F165,'MP Calculations'!$D$40:$D$130,0),0),-1))</f>
        <v>669.94638983894902</v>
      </c>
      <c r="R165" s="207">
        <f t="shared" si="10"/>
        <v>2002</v>
      </c>
      <c r="S165" s="215">
        <f>IF(P165="-",0,P165/(1+'General inputs'!$H$32)^(R165-2023))</f>
        <v>698.08413821218494</v>
      </c>
    </row>
    <row r="166" spans="3:19">
      <c r="C166" s="159"/>
      <c r="D166" s="165" t="s">
        <v>284</v>
      </c>
      <c r="E166" s="161">
        <v>37594</v>
      </c>
      <c r="F166" s="172" t="str">
        <f t="shared" si="12"/>
        <v>2002-03</v>
      </c>
      <c r="G166" s="68"/>
      <c r="H166" s="167" t="s">
        <v>280</v>
      </c>
      <c r="I166" s="173">
        <v>21853.086195380012</v>
      </c>
      <c r="J166" s="168">
        <f>IFERROR(MIN('MP Calculations'!$E$30/I166,1),"-")</f>
        <v>0.32927792945511891</v>
      </c>
      <c r="K166" s="12"/>
      <c r="L166" s="159">
        <v>218.78595200000001</v>
      </c>
      <c r="M166" s="159" t="s">
        <v>293</v>
      </c>
      <c r="N166" s="159">
        <v>726</v>
      </c>
      <c r="O166" s="185">
        <f t="shared" si="11"/>
        <v>158838.60115200002</v>
      </c>
      <c r="P166" s="215">
        <f t="shared" si="13"/>
        <v>52302.04570487803</v>
      </c>
      <c r="Q166" s="215" cm="1">
        <f t="array" ref="Q166">IF(P166="-",0,P166/(1+'General inputs'!$H$32)^IFERROR(INDEX('MP Calculations'!$C$40:$C$130,MATCH(F166,'MP Calculations'!$D$40:$D$130,0),0),-1))</f>
        <v>119089.38573126002</v>
      </c>
      <c r="R166" s="207">
        <f t="shared" si="10"/>
        <v>2002</v>
      </c>
      <c r="S166" s="215">
        <f>IF(P166="-",0,P166/(1+'General inputs'!$H$32)^(R166-2023))</f>
        <v>124091.13993197294</v>
      </c>
    </row>
    <row r="167" spans="3:19">
      <c r="C167" s="159"/>
      <c r="D167" s="165" t="s">
        <v>284</v>
      </c>
      <c r="E167" s="161">
        <v>37594</v>
      </c>
      <c r="F167" s="172" t="str">
        <f t="shared" si="12"/>
        <v>2002-03</v>
      </c>
      <c r="G167" s="68"/>
      <c r="H167" s="167" t="s">
        <v>280</v>
      </c>
      <c r="I167" s="173">
        <v>21853.086195380012</v>
      </c>
      <c r="J167" s="168">
        <f>IFERROR(MIN('MP Calculations'!$E$30/I167,1),"-")</f>
        <v>0.32927792945511891</v>
      </c>
      <c r="K167" s="12"/>
      <c r="L167" s="159">
        <v>247.52469500000001</v>
      </c>
      <c r="M167" s="159" t="s">
        <v>293</v>
      </c>
      <c r="N167" s="159">
        <v>726</v>
      </c>
      <c r="O167" s="185">
        <f t="shared" si="11"/>
        <v>179702.92857000002</v>
      </c>
      <c r="P167" s="215">
        <f t="shared" si="13"/>
        <v>59172.208236550738</v>
      </c>
      <c r="Q167" s="215" cm="1">
        <f t="array" ref="Q167">IF(P167="-",0,P167/(1+'General inputs'!$H$32)^IFERROR(INDEX('MP Calculations'!$C$40:$C$130,MATCH(F167,'MP Calculations'!$D$40:$D$130,0),0),-1))</f>
        <v>134732.43419608352</v>
      </c>
      <c r="R167" s="207">
        <f t="shared" si="10"/>
        <v>2002</v>
      </c>
      <c r="S167" s="215">
        <f>IF(P167="-",0,P167/(1+'General inputs'!$H$32)^(R167-2023))</f>
        <v>140391.19643231903</v>
      </c>
    </row>
    <row r="168" spans="3:19">
      <c r="C168" s="159"/>
      <c r="D168" s="165" t="s">
        <v>284</v>
      </c>
      <c r="E168" s="161">
        <v>37594</v>
      </c>
      <c r="F168" s="172" t="str">
        <f t="shared" si="12"/>
        <v>2002-03</v>
      </c>
      <c r="G168" s="68"/>
      <c r="H168" s="167" t="s">
        <v>280</v>
      </c>
      <c r="I168" s="173">
        <v>21853.086195380012</v>
      </c>
      <c r="J168" s="168">
        <f>IFERROR(MIN('MP Calculations'!$E$30/I168,1),"-")</f>
        <v>0.32927792945511891</v>
      </c>
      <c r="K168" s="12"/>
      <c r="L168" s="159">
        <v>15.62579</v>
      </c>
      <c r="M168" s="159" t="s">
        <v>293</v>
      </c>
      <c r="N168" s="159">
        <v>726</v>
      </c>
      <c r="O168" s="185">
        <f t="shared" si="11"/>
        <v>11344.323539999999</v>
      </c>
      <c r="P168" s="215">
        <f t="shared" si="13"/>
        <v>3735.4353663201646</v>
      </c>
      <c r="Q168" s="215" cm="1">
        <f t="array" ref="Q168">IF(P168="-",0,P168/(1+'General inputs'!$H$32)^IFERROR(INDEX('MP Calculations'!$C$40:$C$130,MATCH(F168,'MP Calculations'!$D$40:$D$130,0),0),-1))</f>
        <v>8505.4168956225549</v>
      </c>
      <c r="R168" s="207">
        <f t="shared" si="10"/>
        <v>2002</v>
      </c>
      <c r="S168" s="215">
        <f>IF(P168="-",0,P168/(1+'General inputs'!$H$32)^(R168-2023))</f>
        <v>8862.6444052387014</v>
      </c>
    </row>
    <row r="169" spans="3:19">
      <c r="C169" s="159"/>
      <c r="D169" s="165" t="s">
        <v>284</v>
      </c>
      <c r="E169" s="161">
        <v>37594</v>
      </c>
      <c r="F169" s="172" t="str">
        <f t="shared" si="12"/>
        <v>2002-03</v>
      </c>
      <c r="G169" s="68"/>
      <c r="H169" s="167" t="s">
        <v>280</v>
      </c>
      <c r="I169" s="173">
        <v>21853.086195380012</v>
      </c>
      <c r="J169" s="168">
        <f>IFERROR(MIN('MP Calculations'!$E$30/I169,1),"-")</f>
        <v>0.32927792945511891</v>
      </c>
      <c r="K169" s="12"/>
      <c r="L169" s="159">
        <v>208.81015099999999</v>
      </c>
      <c r="M169" s="159" t="s">
        <v>293</v>
      </c>
      <c r="N169" s="159">
        <v>726</v>
      </c>
      <c r="O169" s="185">
        <f t="shared" si="11"/>
        <v>151596.16962599999</v>
      </c>
      <c r="P169" s="215">
        <f t="shared" si="13"/>
        <v>49917.272847776265</v>
      </c>
      <c r="Q169" s="215" cm="1">
        <f t="array" ref="Q169">IF(P169="-",0,P169/(1+'General inputs'!$H$32)^IFERROR(INDEX('MP Calculations'!$C$40:$C$130,MATCH(F169,'MP Calculations'!$D$40:$D$130,0),0),-1))</f>
        <v>113659.36610519512</v>
      </c>
      <c r="R169" s="207">
        <f t="shared" si="10"/>
        <v>2002</v>
      </c>
      <c r="S169" s="215">
        <f>IF(P169="-",0,P169/(1+'General inputs'!$H$32)^(R169-2023))</f>
        <v>118433.05948161331</v>
      </c>
    </row>
    <row r="170" spans="3:19">
      <c r="C170" s="159"/>
      <c r="D170" s="165" t="s">
        <v>284</v>
      </c>
      <c r="E170" s="161">
        <v>37594</v>
      </c>
      <c r="F170" s="172" t="str">
        <f t="shared" si="12"/>
        <v>2002-03</v>
      </c>
      <c r="G170" s="68"/>
      <c r="H170" s="167" t="s">
        <v>280</v>
      </c>
      <c r="I170" s="173">
        <v>21853.086195380012</v>
      </c>
      <c r="J170" s="168">
        <f>IFERROR(MIN('MP Calculations'!$E$30/I170,1),"-")</f>
        <v>0.32927792945511891</v>
      </c>
      <c r="K170" s="12"/>
      <c r="L170" s="159">
        <v>2.8348469999999999</v>
      </c>
      <c r="M170" s="159" t="s">
        <v>293</v>
      </c>
      <c r="N170" s="159">
        <v>726</v>
      </c>
      <c r="O170" s="185">
        <f t="shared" si="11"/>
        <v>2058.0989220000001</v>
      </c>
      <c r="P170" s="215">
        <f t="shared" si="13"/>
        <v>677.68655164997233</v>
      </c>
      <c r="Q170" s="215" cm="1">
        <f t="array" ref="Q170">IF(P170="-",0,P170/(1+'General inputs'!$H$32)^IFERROR(INDEX('MP Calculations'!$C$40:$C$130,MATCH(F170,'MP Calculations'!$D$40:$D$130,0),0),-1))</f>
        <v>1543.061539308087</v>
      </c>
      <c r="R170" s="207">
        <f t="shared" ref="R170:R233" si="14">YEAR(E170)</f>
        <v>2002</v>
      </c>
      <c r="S170" s="215">
        <f>IF(P170="-",0,P170/(1+'General inputs'!$H$32)^(R170-2023))</f>
        <v>1607.8701239590266</v>
      </c>
    </row>
    <row r="171" spans="3:19">
      <c r="C171" s="159"/>
      <c r="D171" s="165" t="s">
        <v>284</v>
      </c>
      <c r="E171" s="161">
        <v>37594</v>
      </c>
      <c r="F171" s="172" t="str">
        <f t="shared" si="12"/>
        <v>2002-03</v>
      </c>
      <c r="G171" s="68"/>
      <c r="H171" s="167" t="s">
        <v>280</v>
      </c>
      <c r="I171" s="173">
        <v>21853.086195380012</v>
      </c>
      <c r="J171" s="168">
        <f>IFERROR(MIN('MP Calculations'!$E$30/I171,1),"-")</f>
        <v>0.32927792945511891</v>
      </c>
      <c r="K171" s="12"/>
      <c r="L171" s="159">
        <v>253.498074</v>
      </c>
      <c r="M171" s="159" t="s">
        <v>293</v>
      </c>
      <c r="N171" s="159">
        <v>726</v>
      </c>
      <c r="O171" s="185">
        <f t="shared" si="11"/>
        <v>184039.60172400001</v>
      </c>
      <c r="P171" s="215">
        <f t="shared" si="13"/>
        <v>60600.178993423455</v>
      </c>
      <c r="Q171" s="215" cm="1">
        <f t="array" ref="Q171">IF(P171="-",0,P171/(1+'General inputs'!$H$32)^IFERROR(INDEX('MP Calculations'!$C$40:$C$130,MATCH(F171,'MP Calculations'!$D$40:$D$130,0),0),-1))</f>
        <v>137983.85883896923</v>
      </c>
      <c r="R171" s="207">
        <f t="shared" si="14"/>
        <v>2002</v>
      </c>
      <c r="S171" s="215">
        <f>IF(P171="-",0,P171/(1+'General inputs'!$H$32)^(R171-2023))</f>
        <v>143779.18091020591</v>
      </c>
    </row>
    <row r="172" spans="3:19">
      <c r="C172" s="159"/>
      <c r="D172" s="165" t="s">
        <v>284</v>
      </c>
      <c r="E172" s="161">
        <v>37594</v>
      </c>
      <c r="F172" s="172" t="str">
        <f t="shared" si="12"/>
        <v>2002-03</v>
      </c>
      <c r="G172" s="68"/>
      <c r="H172" s="167" t="s">
        <v>280</v>
      </c>
      <c r="I172" s="173">
        <v>21853.086195380012</v>
      </c>
      <c r="J172" s="168">
        <f>IFERROR(MIN('MP Calculations'!$E$30/I172,1),"-")</f>
        <v>0.32927792945511891</v>
      </c>
      <c r="K172" s="12"/>
      <c r="L172" s="159">
        <v>313.19617099999999</v>
      </c>
      <c r="M172" s="159" t="s">
        <v>293</v>
      </c>
      <c r="N172" s="159">
        <v>726</v>
      </c>
      <c r="O172" s="185">
        <f t="shared" si="11"/>
        <v>227380.42014599999</v>
      </c>
      <c r="P172" s="215">
        <f t="shared" si="13"/>
        <v>74871.353944309885</v>
      </c>
      <c r="Q172" s="215" cm="1">
        <f t="array" ref="Q172">IF(P172="-",0,P172/(1+'General inputs'!$H$32)^IFERROR(INDEX('MP Calculations'!$C$40:$C$130,MATCH(F172,'MP Calculations'!$D$40:$D$130,0),0),-1))</f>
        <v>170478.67688402894</v>
      </c>
      <c r="R172" s="207">
        <f t="shared" si="14"/>
        <v>2002</v>
      </c>
      <c r="S172" s="215">
        <f>IF(P172="-",0,P172/(1+'General inputs'!$H$32)^(R172-2023))</f>
        <v>177638.78131315816</v>
      </c>
    </row>
    <row r="173" spans="3:19">
      <c r="C173" s="159"/>
      <c r="D173" s="165" t="s">
        <v>284</v>
      </c>
      <c r="E173" s="161">
        <v>37594</v>
      </c>
      <c r="F173" s="172" t="str">
        <f t="shared" si="12"/>
        <v>2002-03</v>
      </c>
      <c r="G173" s="68"/>
      <c r="H173" s="167" t="s">
        <v>280</v>
      </c>
      <c r="I173" s="173">
        <v>21853.086195380012</v>
      </c>
      <c r="J173" s="168">
        <f>IFERROR(MIN('MP Calculations'!$E$30/I173,1),"-")</f>
        <v>0.32927792945511891</v>
      </c>
      <c r="K173" s="12"/>
      <c r="L173" s="159">
        <v>280.60060099999998</v>
      </c>
      <c r="M173" s="159" t="s">
        <v>293</v>
      </c>
      <c r="N173" s="159">
        <v>726</v>
      </c>
      <c r="O173" s="185">
        <f t="shared" si="11"/>
        <v>203716.036326</v>
      </c>
      <c r="P173" s="215">
        <f t="shared" si="13"/>
        <v>67079.194638229077</v>
      </c>
      <c r="Q173" s="215" cm="1">
        <f t="array" ref="Q173">IF(P173="-",0,P173/(1+'General inputs'!$H$32)^IFERROR(INDEX('MP Calculations'!$C$40:$C$130,MATCH(F173,'MP Calculations'!$D$40:$D$130,0),0),-1))</f>
        <v>152736.28358420555</v>
      </c>
      <c r="R173" s="207">
        <f t="shared" si="14"/>
        <v>2002</v>
      </c>
      <c r="S173" s="215">
        <f>IF(P173="-",0,P173/(1+'General inputs'!$H$32)^(R173-2023))</f>
        <v>159151.20749474218</v>
      </c>
    </row>
    <row r="174" spans="3:19">
      <c r="C174" s="159"/>
      <c r="D174" s="165" t="s">
        <v>284</v>
      </c>
      <c r="E174" s="161">
        <v>37594</v>
      </c>
      <c r="F174" s="172" t="str">
        <f t="shared" si="12"/>
        <v>2002-03</v>
      </c>
      <c r="G174" s="68"/>
      <c r="H174" s="167" t="s">
        <v>280</v>
      </c>
      <c r="I174" s="173">
        <v>21853.086195380012</v>
      </c>
      <c r="J174" s="168">
        <f>IFERROR(MIN('MP Calculations'!$E$30/I174,1),"-")</f>
        <v>0.32927792945511891</v>
      </c>
      <c r="K174" s="12"/>
      <c r="L174" s="159">
        <v>151.456615</v>
      </c>
      <c r="M174" s="159" t="s">
        <v>293</v>
      </c>
      <c r="N174" s="159">
        <v>726</v>
      </c>
      <c r="O174" s="185">
        <f t="shared" si="11"/>
        <v>109957.50249</v>
      </c>
      <c r="P174" s="215">
        <f t="shared" si="13"/>
        <v>36206.578747963278</v>
      </c>
      <c r="Q174" s="215" cm="1">
        <f t="array" ref="Q174">IF(P174="-",0,P174/(1+'General inputs'!$H$32)^IFERROR(INDEX('MP Calculations'!$C$40:$C$130,MATCH(F174,'MP Calculations'!$D$40:$D$130,0),0),-1))</f>
        <v>82440.737535497421</v>
      </c>
      <c r="R174" s="207">
        <f t="shared" si="14"/>
        <v>2002</v>
      </c>
      <c r="S174" s="215">
        <f>IF(P174="-",0,P174/(1+'General inputs'!$H$32)^(R174-2023))</f>
        <v>85903.24851198832</v>
      </c>
    </row>
    <row r="175" spans="3:19">
      <c r="C175" s="159"/>
      <c r="D175" s="165" t="s">
        <v>284</v>
      </c>
      <c r="E175" s="161">
        <v>37594</v>
      </c>
      <c r="F175" s="172" t="str">
        <f t="shared" si="12"/>
        <v>2002-03</v>
      </c>
      <c r="G175" s="68"/>
      <c r="H175" s="167" t="s">
        <v>280</v>
      </c>
      <c r="I175" s="173">
        <v>21853.086195380012</v>
      </c>
      <c r="J175" s="168">
        <f>IFERROR(MIN('MP Calculations'!$E$30/I175,1),"-")</f>
        <v>0.32927792945511891</v>
      </c>
      <c r="K175" s="12"/>
      <c r="L175" s="159">
        <v>3.0852729999999999</v>
      </c>
      <c r="M175" s="159" t="s">
        <v>293</v>
      </c>
      <c r="N175" s="159">
        <v>726</v>
      </c>
      <c r="O175" s="185">
        <f t="shared" si="11"/>
        <v>2239.9081980000001</v>
      </c>
      <c r="P175" s="215">
        <f t="shared" si="13"/>
        <v>737.55233360698651</v>
      </c>
      <c r="Q175" s="215" cm="1">
        <f t="array" ref="Q175">IF(P175="-",0,P175/(1+'General inputs'!$H$32)^IFERROR(INDEX('MP Calculations'!$C$40:$C$130,MATCH(F175,'MP Calculations'!$D$40:$D$130,0),0),-1))</f>
        <v>1679.37320940625</v>
      </c>
      <c r="R175" s="207">
        <f t="shared" si="14"/>
        <v>2002</v>
      </c>
      <c r="S175" s="215">
        <f>IF(P175="-",0,P175/(1+'General inputs'!$H$32)^(R175-2023))</f>
        <v>1749.9068842013123</v>
      </c>
    </row>
    <row r="176" spans="3:19">
      <c r="C176" s="159"/>
      <c r="D176" s="165" t="s">
        <v>284</v>
      </c>
      <c r="E176" s="161">
        <v>37594</v>
      </c>
      <c r="F176" s="172" t="str">
        <f t="shared" si="12"/>
        <v>2002-03</v>
      </c>
      <c r="G176" s="68"/>
      <c r="H176" s="167" t="s">
        <v>280</v>
      </c>
      <c r="I176" s="173">
        <v>21853.086195380012</v>
      </c>
      <c r="J176" s="168">
        <f>IFERROR(MIN('MP Calculations'!$E$30/I176,1),"-")</f>
        <v>0.32927792945511891</v>
      </c>
      <c r="K176" s="12"/>
      <c r="L176" s="159">
        <v>1426.0855839999999</v>
      </c>
      <c r="M176" s="159" t="s">
        <v>293</v>
      </c>
      <c r="N176" s="159">
        <v>726</v>
      </c>
      <c r="O176" s="185">
        <f t="shared" si="11"/>
        <v>1035338.133984</v>
      </c>
      <c r="P176" s="215">
        <f t="shared" si="13"/>
        <v>340913.99704417802</v>
      </c>
      <c r="Q176" s="215" cm="1">
        <f t="array" ref="Q176">IF(P176="-",0,P176/(1+'General inputs'!$H$32)^IFERROR(INDEX('MP Calculations'!$C$40:$C$130,MATCH(F176,'MP Calculations'!$D$40:$D$130,0),0),-1))</f>
        <v>776245.70794547722</v>
      </c>
      <c r="R176" s="207">
        <f t="shared" si="14"/>
        <v>2002</v>
      </c>
      <c r="S176" s="215">
        <f>IF(P176="-",0,P176/(1+'General inputs'!$H$32)^(R176-2023))</f>
        <v>808848.02767918725</v>
      </c>
    </row>
    <row r="177" spans="3:19">
      <c r="C177" s="159"/>
      <c r="D177" s="165" t="s">
        <v>284</v>
      </c>
      <c r="E177" s="161">
        <v>37594</v>
      </c>
      <c r="F177" s="172" t="str">
        <f t="shared" si="12"/>
        <v>2002-03</v>
      </c>
      <c r="G177" s="68"/>
      <c r="H177" s="167" t="s">
        <v>280</v>
      </c>
      <c r="I177" s="173">
        <v>21853.086195380012</v>
      </c>
      <c r="J177" s="168">
        <f>IFERROR(MIN('MP Calculations'!$E$30/I177,1),"-")</f>
        <v>0.32927792945511891</v>
      </c>
      <c r="K177" s="12"/>
      <c r="L177" s="159">
        <v>40.793348000000002</v>
      </c>
      <c r="M177" s="159" t="s">
        <v>293</v>
      </c>
      <c r="N177" s="159">
        <v>726</v>
      </c>
      <c r="O177" s="185">
        <f t="shared" si="11"/>
        <v>29615.970648000002</v>
      </c>
      <c r="P177" s="215">
        <f t="shared" si="13"/>
        <v>9751.8854937770175</v>
      </c>
      <c r="Q177" s="215" cm="1">
        <f t="array" ref="Q177">IF(P177="-",0,P177/(1+'General inputs'!$H$32)^IFERROR(INDEX('MP Calculations'!$C$40:$C$130,MATCH(F177,'MP Calculations'!$D$40:$D$130,0),0),-1))</f>
        <v>22204.600939101998</v>
      </c>
      <c r="R177" s="207">
        <f t="shared" si="14"/>
        <v>2002</v>
      </c>
      <c r="S177" s="215">
        <f>IF(P177="-",0,P177/(1+'General inputs'!$H$32)^(R177-2023))</f>
        <v>23137.19417854428</v>
      </c>
    </row>
    <row r="178" spans="3:19">
      <c r="C178" s="159"/>
      <c r="D178" s="165" t="s">
        <v>284</v>
      </c>
      <c r="E178" s="161">
        <v>37594</v>
      </c>
      <c r="F178" s="172" t="str">
        <f t="shared" si="12"/>
        <v>2002-03</v>
      </c>
      <c r="G178" s="68"/>
      <c r="H178" s="167" t="s">
        <v>280</v>
      </c>
      <c r="I178" s="173">
        <v>21853.086195380012</v>
      </c>
      <c r="J178" s="168">
        <f>IFERROR(MIN('MP Calculations'!$E$30/I178,1),"-")</f>
        <v>0.32927792945511891</v>
      </c>
      <c r="K178" s="12"/>
      <c r="L178" s="159">
        <v>143.28824499999999</v>
      </c>
      <c r="M178" s="159" t="s">
        <v>293</v>
      </c>
      <c r="N178" s="159">
        <v>726</v>
      </c>
      <c r="O178" s="185">
        <f t="shared" si="11"/>
        <v>104027.26586999999</v>
      </c>
      <c r="P178" s="215">
        <f t="shared" si="13"/>
        <v>34253.882712550752</v>
      </c>
      <c r="Q178" s="215" cm="1">
        <f t="array" ref="Q178">IF(P178="-",0,P178/(1+'General inputs'!$H$32)^IFERROR(INDEX('MP Calculations'!$C$40:$C$130,MATCH(F178,'MP Calculations'!$D$40:$D$130,0),0),-1))</f>
        <v>77994.537234092088</v>
      </c>
      <c r="R178" s="207">
        <f t="shared" si="14"/>
        <v>2002</v>
      </c>
      <c r="S178" s="215">
        <f>IF(P178="-",0,P178/(1+'General inputs'!$H$32)^(R178-2023))</f>
        <v>81270.307797923961</v>
      </c>
    </row>
    <row r="179" spans="3:19">
      <c r="C179" s="159"/>
      <c r="D179" s="165" t="s">
        <v>284</v>
      </c>
      <c r="E179" s="161">
        <v>37594</v>
      </c>
      <c r="F179" s="172" t="str">
        <f t="shared" si="12"/>
        <v>2002-03</v>
      </c>
      <c r="G179" s="68"/>
      <c r="H179" s="167" t="s">
        <v>280</v>
      </c>
      <c r="I179" s="173">
        <v>21853.086195380012</v>
      </c>
      <c r="J179" s="168">
        <f>IFERROR(MIN('MP Calculations'!$E$30/I179,1),"-")</f>
        <v>0.32927792945511891</v>
      </c>
      <c r="K179" s="12"/>
      <c r="L179" s="159">
        <v>307.94395600000001</v>
      </c>
      <c r="M179" s="159" t="s">
        <v>293</v>
      </c>
      <c r="N179" s="159">
        <v>726</v>
      </c>
      <c r="O179" s="185">
        <f t="shared" si="11"/>
        <v>223567.31205600002</v>
      </c>
      <c r="P179" s="215">
        <f t="shared" si="13"/>
        <v>73615.781607646131</v>
      </c>
      <c r="Q179" s="215" cm="1">
        <f t="array" ref="Q179">IF(P179="-",0,P179/(1+'General inputs'!$H$32)^IFERROR(INDEX('MP Calculations'!$C$40:$C$130,MATCH(F179,'MP Calculations'!$D$40:$D$130,0),0),-1))</f>
        <v>167619.79562423716</v>
      </c>
      <c r="R179" s="207">
        <f t="shared" si="14"/>
        <v>2002</v>
      </c>
      <c r="S179" s="215">
        <f>IF(P179="-",0,P179/(1+'General inputs'!$H$32)^(R179-2023))</f>
        <v>174659.82704045513</v>
      </c>
    </row>
    <row r="180" spans="3:19">
      <c r="C180" s="159"/>
      <c r="D180" s="165" t="s">
        <v>284</v>
      </c>
      <c r="E180" s="161">
        <v>37594</v>
      </c>
      <c r="F180" s="172" t="str">
        <f t="shared" si="12"/>
        <v>2002-03</v>
      </c>
      <c r="G180" s="68"/>
      <c r="H180" s="167" t="s">
        <v>280</v>
      </c>
      <c r="I180" s="173">
        <v>21853.086195380012</v>
      </c>
      <c r="J180" s="168">
        <f>IFERROR(MIN('MP Calculations'!$E$30/I180,1),"-")</f>
        <v>0.32927792945511891</v>
      </c>
      <c r="K180" s="12"/>
      <c r="L180" s="159">
        <v>154.27270300000001</v>
      </c>
      <c r="M180" s="159" t="s">
        <v>293</v>
      </c>
      <c r="N180" s="159">
        <v>726</v>
      </c>
      <c r="O180" s="185">
        <f t="shared" si="11"/>
        <v>112001.982378</v>
      </c>
      <c r="P180" s="215">
        <f t="shared" si="13"/>
        <v>36879.780852296557</v>
      </c>
      <c r="Q180" s="215" cm="1">
        <f t="array" ref="Q180">IF(P180="-",0,P180/(1+'General inputs'!$H$32)^IFERROR(INDEX('MP Calculations'!$C$40:$C$130,MATCH(F180,'MP Calculations'!$D$40:$D$130,0),0),-1))</f>
        <v>83973.588191672898</v>
      </c>
      <c r="R180" s="207">
        <f t="shared" si="14"/>
        <v>2002</v>
      </c>
      <c r="S180" s="215">
        <f>IF(P180="-",0,P180/(1+'General inputs'!$H$32)^(R180-2023))</f>
        <v>87500.47889572315</v>
      </c>
    </row>
    <row r="181" spans="3:19">
      <c r="C181" s="159"/>
      <c r="D181" s="165" t="s">
        <v>284</v>
      </c>
      <c r="E181" s="161">
        <v>37594</v>
      </c>
      <c r="F181" s="172" t="str">
        <f t="shared" si="12"/>
        <v>2002-03</v>
      </c>
      <c r="G181" s="68"/>
      <c r="H181" s="167" t="s">
        <v>280</v>
      </c>
      <c r="I181" s="173">
        <v>21853.086195380012</v>
      </c>
      <c r="J181" s="168">
        <f>IFERROR(MIN('MP Calculations'!$E$30/I181,1),"-")</f>
        <v>0.32927792945511891</v>
      </c>
      <c r="K181" s="12"/>
      <c r="L181" s="159">
        <v>32.398375000000001</v>
      </c>
      <c r="M181" s="159" t="s">
        <v>293</v>
      </c>
      <c r="N181" s="159">
        <v>726</v>
      </c>
      <c r="O181" s="185">
        <f t="shared" si="11"/>
        <v>23521.220250000002</v>
      </c>
      <c r="P181" s="215">
        <f t="shared" si="13"/>
        <v>7745.0187021778147</v>
      </c>
      <c r="Q181" s="215" cm="1">
        <f t="array" ref="Q181">IF(P181="-",0,P181/(1+'General inputs'!$H$32)^IFERROR(INDEX('MP Calculations'!$C$40:$C$130,MATCH(F181,'MP Calculations'!$D$40:$D$130,0),0),-1))</f>
        <v>17635.056282960119</v>
      </c>
      <c r="R181" s="207">
        <f t="shared" si="14"/>
        <v>2002</v>
      </c>
      <c r="S181" s="215">
        <f>IF(P181="-",0,P181/(1+'General inputs'!$H$32)^(R181-2023))</f>
        <v>18375.728646844444</v>
      </c>
    </row>
    <row r="182" spans="3:19">
      <c r="C182" s="159"/>
      <c r="D182" s="165" t="s">
        <v>284</v>
      </c>
      <c r="E182" s="161">
        <v>37594</v>
      </c>
      <c r="F182" s="172" t="str">
        <f t="shared" si="12"/>
        <v>2002-03</v>
      </c>
      <c r="G182" s="68"/>
      <c r="H182" s="167" t="s">
        <v>280</v>
      </c>
      <c r="I182" s="173">
        <v>21853.086195380012</v>
      </c>
      <c r="J182" s="168">
        <f>IFERROR(MIN('MP Calculations'!$E$30/I182,1),"-")</f>
        <v>0.32927792945511891</v>
      </c>
      <c r="K182" s="12"/>
      <c r="L182" s="159">
        <v>302.04118899999997</v>
      </c>
      <c r="M182" s="159" t="s">
        <v>293</v>
      </c>
      <c r="N182" s="159">
        <v>726</v>
      </c>
      <c r="O182" s="185">
        <f t="shared" si="11"/>
        <v>219281.90321399999</v>
      </c>
      <c r="P182" s="215">
        <f t="shared" si="13"/>
        <v>72204.691057283708</v>
      </c>
      <c r="Q182" s="215" cm="1">
        <f t="array" ref="Q182">IF(P182="-",0,P182/(1+'General inputs'!$H$32)^IFERROR(INDEX('MP Calculations'!$C$40:$C$130,MATCH(F182,'MP Calculations'!$D$40:$D$130,0),0),-1))</f>
        <v>164406.80644591572</v>
      </c>
      <c r="R182" s="207">
        <f t="shared" si="14"/>
        <v>2002</v>
      </c>
      <c r="S182" s="215">
        <f>IF(P182="-",0,P182/(1+'General inputs'!$H$32)^(R182-2023))</f>
        <v>171311.89231664417</v>
      </c>
    </row>
    <row r="183" spans="3:19">
      <c r="C183" s="159"/>
      <c r="D183" s="165" t="s">
        <v>284</v>
      </c>
      <c r="E183" s="161">
        <v>37594</v>
      </c>
      <c r="F183" s="172" t="str">
        <f t="shared" si="12"/>
        <v>2002-03</v>
      </c>
      <c r="G183" s="68"/>
      <c r="H183" s="167" t="s">
        <v>280</v>
      </c>
      <c r="I183" s="173">
        <v>21853.086195380012</v>
      </c>
      <c r="J183" s="168">
        <f>IFERROR(MIN('MP Calculations'!$E$30/I183,1),"-")</f>
        <v>0.32927792945511891</v>
      </c>
      <c r="K183" s="12"/>
      <c r="L183" s="159">
        <v>4.0322290000000001</v>
      </c>
      <c r="M183" s="159" t="s">
        <v>293</v>
      </c>
      <c r="N183" s="159">
        <v>726</v>
      </c>
      <c r="O183" s="185">
        <f t="shared" si="11"/>
        <v>2927.3982540000002</v>
      </c>
      <c r="P183" s="215">
        <f t="shared" si="13"/>
        <v>963.92763576765037</v>
      </c>
      <c r="Q183" s="215" cm="1">
        <f t="array" ref="Q183">IF(P183="-",0,P183/(1+'General inputs'!$H$32)^IFERROR(INDEX('MP Calculations'!$C$40:$C$130,MATCH(F183,'MP Calculations'!$D$40:$D$130,0),0),-1))</f>
        <v>2194.8195043974893</v>
      </c>
      <c r="R183" s="207">
        <f t="shared" si="14"/>
        <v>2002</v>
      </c>
      <c r="S183" s="215">
        <f>IF(P183="-",0,P183/(1+'General inputs'!$H$32)^(R183-2023))</f>
        <v>2287.0019235821837</v>
      </c>
    </row>
    <row r="184" spans="3:19">
      <c r="C184" s="159"/>
      <c r="D184" s="165" t="s">
        <v>284</v>
      </c>
      <c r="E184" s="161">
        <v>37594</v>
      </c>
      <c r="F184" s="172" t="str">
        <f t="shared" si="12"/>
        <v>2002-03</v>
      </c>
      <c r="G184" s="68"/>
      <c r="H184" s="167" t="s">
        <v>280</v>
      </c>
      <c r="I184" s="173">
        <v>21853.086195380012</v>
      </c>
      <c r="J184" s="168">
        <f>IFERROR(MIN('MP Calculations'!$E$30/I184,1),"-")</f>
        <v>0.32927792945511891</v>
      </c>
      <c r="K184" s="12"/>
      <c r="L184" s="159">
        <v>159.51703800000001</v>
      </c>
      <c r="M184" s="159" t="s">
        <v>293</v>
      </c>
      <c r="N184" s="159">
        <v>726</v>
      </c>
      <c r="O184" s="185">
        <f t="shared" si="11"/>
        <v>115809.36958800002</v>
      </c>
      <c r="P184" s="215">
        <f t="shared" si="13"/>
        <v>38133.469429439261</v>
      </c>
      <c r="Q184" s="215" cm="1">
        <f t="array" ref="Q184">IF(P184="-",0,P184/(1+'General inputs'!$H$32)^IFERROR(INDEX('MP Calculations'!$C$40:$C$130,MATCH(F184,'MP Calculations'!$D$40:$D$130,0),0),-1))</f>
        <v>86828.180216479625</v>
      </c>
      <c r="R184" s="207">
        <f t="shared" si="14"/>
        <v>2002</v>
      </c>
      <c r="S184" s="215">
        <f>IF(P184="-",0,P184/(1+'General inputs'!$H$32)^(R184-2023))</f>
        <v>90474.963785571774</v>
      </c>
    </row>
    <row r="185" spans="3:19">
      <c r="C185" s="159"/>
      <c r="D185" s="165" t="s">
        <v>284</v>
      </c>
      <c r="E185" s="161">
        <v>37594</v>
      </c>
      <c r="F185" s="172" t="str">
        <f t="shared" si="12"/>
        <v>2002-03</v>
      </c>
      <c r="G185" s="68"/>
      <c r="H185" s="167" t="s">
        <v>280</v>
      </c>
      <c r="I185" s="173">
        <v>21853.086195380012</v>
      </c>
      <c r="J185" s="168">
        <f>IFERROR(MIN('MP Calculations'!$E$30/I185,1),"-")</f>
        <v>0.32927792945511891</v>
      </c>
      <c r="K185" s="12"/>
      <c r="L185" s="159">
        <v>245.04830999999999</v>
      </c>
      <c r="M185" s="159" t="s">
        <v>293</v>
      </c>
      <c r="N185" s="159">
        <v>726</v>
      </c>
      <c r="O185" s="185">
        <f t="shared" si="11"/>
        <v>177905.07306</v>
      </c>
      <c r="P185" s="215">
        <f t="shared" si="13"/>
        <v>58580.214096758456</v>
      </c>
      <c r="Q185" s="215" cm="1">
        <f t="array" ref="Q185">IF(P185="-",0,P185/(1+'General inputs'!$H$32)^IFERROR(INDEX('MP Calculations'!$C$40:$C$130,MATCH(F185,'MP Calculations'!$D$40:$D$130,0),0),-1))</f>
        <v>133384.49039170201</v>
      </c>
      <c r="R185" s="207">
        <f t="shared" si="14"/>
        <v>2002</v>
      </c>
      <c r="S185" s="215">
        <f>IF(P185="-",0,P185/(1+'General inputs'!$H$32)^(R185-2023))</f>
        <v>138986.63898815349</v>
      </c>
    </row>
    <row r="186" spans="3:19">
      <c r="C186" s="159"/>
      <c r="D186" s="165" t="s">
        <v>284</v>
      </c>
      <c r="E186" s="161">
        <v>37594</v>
      </c>
      <c r="F186" s="172" t="str">
        <f t="shared" si="12"/>
        <v>2002-03</v>
      </c>
      <c r="G186" s="68"/>
      <c r="H186" s="167" t="s">
        <v>280</v>
      </c>
      <c r="I186" s="173">
        <v>21853.086195380012</v>
      </c>
      <c r="J186" s="168">
        <f>IFERROR(MIN('MP Calculations'!$E$30/I186,1),"-")</f>
        <v>0.32927792945511891</v>
      </c>
      <c r="K186" s="12"/>
      <c r="L186" s="159">
        <v>16.750914999999999</v>
      </c>
      <c r="M186" s="159" t="s">
        <v>293</v>
      </c>
      <c r="N186" s="159">
        <v>726</v>
      </c>
      <c r="O186" s="185">
        <f t="shared" si="11"/>
        <v>12161.164289999999</v>
      </c>
      <c r="P186" s="215">
        <f t="shared" si="13"/>
        <v>4004.4029971747309</v>
      </c>
      <c r="Q186" s="215" cm="1">
        <f t="array" ref="Q186">IF(P186="-",0,P186/(1+'General inputs'!$H$32)^IFERROR(INDEX('MP Calculations'!$C$40:$C$130,MATCH(F186,'MP Calculations'!$D$40:$D$130,0),0),-1))</f>
        <v>9117.843991128595</v>
      </c>
      <c r="R186" s="207">
        <f t="shared" si="14"/>
        <v>2002</v>
      </c>
      <c r="S186" s="215">
        <f>IF(P186="-",0,P186/(1+'General inputs'!$H$32)^(R186-2023))</f>
        <v>9500.7934387559944</v>
      </c>
    </row>
    <row r="187" spans="3:19">
      <c r="C187" s="159"/>
      <c r="D187" s="165" t="s">
        <v>284</v>
      </c>
      <c r="E187" s="161">
        <v>37594</v>
      </c>
      <c r="F187" s="172" t="str">
        <f t="shared" si="12"/>
        <v>2002-03</v>
      </c>
      <c r="G187" s="68"/>
      <c r="H187" s="167" t="s">
        <v>280</v>
      </c>
      <c r="I187" s="173">
        <v>21853.086195380012</v>
      </c>
      <c r="J187" s="168">
        <f>IFERROR(MIN('MP Calculations'!$E$30/I187,1),"-")</f>
        <v>0.32927792945511891</v>
      </c>
      <c r="K187" s="12"/>
      <c r="L187" s="159">
        <v>27.750198000000001</v>
      </c>
      <c r="M187" s="159" t="s">
        <v>293</v>
      </c>
      <c r="N187" s="159">
        <v>726</v>
      </c>
      <c r="O187" s="185">
        <f t="shared" si="11"/>
        <v>20146.643748000002</v>
      </c>
      <c r="P187" s="215">
        <f t="shared" si="13"/>
        <v>6633.8451388113572</v>
      </c>
      <c r="Q187" s="215" cm="1">
        <f t="array" ref="Q187">IF(P187="-",0,P187/(1+'General inputs'!$H$32)^IFERROR(INDEX('MP Calculations'!$C$40:$C$130,MATCH(F187,'MP Calculations'!$D$40:$D$130,0),0),-1))</f>
        <v>15104.964480264438</v>
      </c>
      <c r="R187" s="207">
        <f t="shared" si="14"/>
        <v>2002</v>
      </c>
      <c r="S187" s="215">
        <f>IF(P187="-",0,P187/(1+'General inputs'!$H$32)^(R187-2023))</f>
        <v>15739.372988435543</v>
      </c>
    </row>
    <row r="188" spans="3:19">
      <c r="C188" s="159"/>
      <c r="D188" s="165" t="s">
        <v>284</v>
      </c>
      <c r="E188" s="161">
        <v>37594</v>
      </c>
      <c r="F188" s="172" t="str">
        <f t="shared" si="12"/>
        <v>2002-03</v>
      </c>
      <c r="G188" s="68"/>
      <c r="H188" s="167" t="s">
        <v>280</v>
      </c>
      <c r="I188" s="173">
        <v>21853.086195380012</v>
      </c>
      <c r="J188" s="168">
        <f>IFERROR(MIN('MP Calculations'!$E$30/I188,1),"-")</f>
        <v>0.32927792945511891</v>
      </c>
      <c r="K188" s="12"/>
      <c r="L188" s="159">
        <v>212.03668099999999</v>
      </c>
      <c r="M188" s="159" t="s">
        <v>293</v>
      </c>
      <c r="N188" s="159">
        <v>726</v>
      </c>
      <c r="O188" s="185">
        <f t="shared" si="11"/>
        <v>153938.63040599998</v>
      </c>
      <c r="P188" s="215">
        <f t="shared" si="13"/>
        <v>50688.593483244484</v>
      </c>
      <c r="Q188" s="215" cm="1">
        <f t="array" ref="Q188">IF(P188="-",0,P188/(1+'General inputs'!$H$32)^IFERROR(INDEX('MP Calculations'!$C$40:$C$130,MATCH(F188,'MP Calculations'!$D$40:$D$130,0),0),-1))</f>
        <v>115415.62820626219</v>
      </c>
      <c r="R188" s="207">
        <f t="shared" si="14"/>
        <v>2002</v>
      </c>
      <c r="S188" s="215">
        <f>IF(P188="-",0,P188/(1+'General inputs'!$H$32)^(R188-2023))</f>
        <v>120263.08459092519</v>
      </c>
    </row>
    <row r="189" spans="3:19">
      <c r="C189" s="159"/>
      <c r="D189" s="165" t="s">
        <v>284</v>
      </c>
      <c r="E189" s="161">
        <v>37594</v>
      </c>
      <c r="F189" s="172" t="str">
        <f t="shared" si="12"/>
        <v>2002-03</v>
      </c>
      <c r="G189" s="68"/>
      <c r="H189" s="167" t="s">
        <v>280</v>
      </c>
      <c r="I189" s="173">
        <v>21853.086195380012</v>
      </c>
      <c r="J189" s="168">
        <f>IFERROR(MIN('MP Calculations'!$E$30/I189,1),"-")</f>
        <v>0.32927792945511891</v>
      </c>
      <c r="K189" s="12"/>
      <c r="L189" s="159">
        <v>187.20867899999999</v>
      </c>
      <c r="M189" s="159" t="s">
        <v>293</v>
      </c>
      <c r="N189" s="159">
        <v>726</v>
      </c>
      <c r="O189" s="185">
        <f t="shared" si="11"/>
        <v>135913.50095399999</v>
      </c>
      <c r="P189" s="215">
        <f t="shared" si="13"/>
        <v>44753.316179129448</v>
      </c>
      <c r="Q189" s="215" cm="1">
        <f t="array" ref="Q189">IF(P189="-",0,P189/(1+'General inputs'!$H$32)^IFERROR(INDEX('MP Calculations'!$C$40:$C$130,MATCH(F189,'MP Calculations'!$D$40:$D$130,0),0),-1))</f>
        <v>101901.27099966013</v>
      </c>
      <c r="R189" s="207">
        <f t="shared" si="14"/>
        <v>2002</v>
      </c>
      <c r="S189" s="215">
        <f>IF(P189="-",0,P189/(1+'General inputs'!$H$32)^(R189-2023))</f>
        <v>106181.12438164586</v>
      </c>
    </row>
    <row r="190" spans="3:19">
      <c r="C190" s="159"/>
      <c r="D190" s="165" t="s">
        <v>284</v>
      </c>
      <c r="E190" s="161">
        <v>37594</v>
      </c>
      <c r="F190" s="172" t="str">
        <f t="shared" si="12"/>
        <v>2002-03</v>
      </c>
      <c r="G190" s="68"/>
      <c r="H190" s="167" t="s">
        <v>280</v>
      </c>
      <c r="I190" s="173">
        <v>21853.086195380012</v>
      </c>
      <c r="J190" s="168">
        <f>IFERROR(MIN('MP Calculations'!$E$30/I190,1),"-")</f>
        <v>0.32927792945511891</v>
      </c>
      <c r="K190" s="12"/>
      <c r="L190" s="159">
        <v>305.39979899999997</v>
      </c>
      <c r="M190" s="159" t="s">
        <v>293</v>
      </c>
      <c r="N190" s="159">
        <v>726</v>
      </c>
      <c r="O190" s="185">
        <f t="shared" si="11"/>
        <v>221720.25407399997</v>
      </c>
      <c r="P190" s="215">
        <f t="shared" si="13"/>
        <v>73007.586179749604</v>
      </c>
      <c r="Q190" s="215" cm="1">
        <f t="array" ref="Q190">IF(P190="-",0,P190/(1+'General inputs'!$H$32)^IFERROR(INDEX('MP Calculations'!$C$40:$C$130,MATCH(F190,'MP Calculations'!$D$40:$D$130,0),0),-1))</f>
        <v>166234.9622217073</v>
      </c>
      <c r="R190" s="207">
        <f t="shared" si="14"/>
        <v>2002</v>
      </c>
      <c r="S190" s="215">
        <f>IF(P190="-",0,P190/(1+'General inputs'!$H$32)^(R190-2023))</f>
        <v>173216.83063501903</v>
      </c>
    </row>
    <row r="191" spans="3:19">
      <c r="C191" s="159"/>
      <c r="D191" s="165" t="s">
        <v>284</v>
      </c>
      <c r="E191" s="161">
        <v>37594</v>
      </c>
      <c r="F191" s="172" t="str">
        <f t="shared" si="12"/>
        <v>2002-03</v>
      </c>
      <c r="G191" s="68"/>
      <c r="H191" s="167" t="s">
        <v>280</v>
      </c>
      <c r="I191" s="173">
        <v>21853.086195380012</v>
      </c>
      <c r="J191" s="168">
        <f>IFERROR(MIN('MP Calculations'!$E$30/I191,1),"-")</f>
        <v>0.32927792945511891</v>
      </c>
      <c r="K191" s="12"/>
      <c r="L191" s="159">
        <v>0.58001400000000003</v>
      </c>
      <c r="M191" s="159" t="s">
        <v>293</v>
      </c>
      <c r="N191" s="159">
        <v>726</v>
      </c>
      <c r="O191" s="185">
        <f t="shared" si="11"/>
        <v>421.09016400000002</v>
      </c>
      <c r="P191" s="215">
        <f t="shared" si="13"/>
        <v>138.65569731583645</v>
      </c>
      <c r="Q191" s="215" cm="1">
        <f t="array" ref="Q191">IF(P191="-",0,P191/(1+'General inputs'!$H$32)^IFERROR(INDEX('MP Calculations'!$C$40:$C$130,MATCH(F191,'MP Calculations'!$D$40:$D$130,0),0),-1))</f>
        <v>315.71273358323776</v>
      </c>
      <c r="R191" s="207">
        <f t="shared" si="14"/>
        <v>2002</v>
      </c>
      <c r="S191" s="215">
        <f>IF(P191="-",0,P191/(1+'General inputs'!$H$32)^(R191-2023))</f>
        <v>328.97266839373373</v>
      </c>
    </row>
    <row r="192" spans="3:19">
      <c r="C192" s="159"/>
      <c r="D192" s="165" t="s">
        <v>284</v>
      </c>
      <c r="E192" s="161">
        <v>37594</v>
      </c>
      <c r="F192" s="172" t="str">
        <f t="shared" si="12"/>
        <v>2002-03</v>
      </c>
      <c r="G192" s="68"/>
      <c r="H192" s="167" t="s">
        <v>280</v>
      </c>
      <c r="I192" s="173">
        <v>21853.086195380012</v>
      </c>
      <c r="J192" s="168">
        <f>IFERROR(MIN('MP Calculations'!$E$30/I192,1),"-")</f>
        <v>0.32927792945511891</v>
      </c>
      <c r="K192" s="12"/>
      <c r="L192" s="159">
        <v>329.561667</v>
      </c>
      <c r="M192" s="159" t="s">
        <v>293</v>
      </c>
      <c r="N192" s="159">
        <v>726</v>
      </c>
      <c r="O192" s="185">
        <f t="shared" si="11"/>
        <v>239261.770242</v>
      </c>
      <c r="P192" s="215">
        <f t="shared" si="13"/>
        <v>78783.620303052143</v>
      </c>
      <c r="Q192" s="215" cm="1">
        <f t="array" ref="Q192">IF(P192="-",0,P192/(1+'General inputs'!$H$32)^IFERROR(INDEX('MP Calculations'!$C$40:$C$130,MATCH(F192,'MP Calculations'!$D$40:$D$130,0),0),-1))</f>
        <v>179386.72992862019</v>
      </c>
      <c r="R192" s="207">
        <f t="shared" si="14"/>
        <v>2002</v>
      </c>
      <c r="S192" s="215">
        <f>IF(P192="-",0,P192/(1+'General inputs'!$H$32)^(R192-2023))</f>
        <v>186920.97258562222</v>
      </c>
    </row>
    <row r="193" spans="3:19">
      <c r="C193" s="159"/>
      <c r="D193" s="165" t="s">
        <v>284</v>
      </c>
      <c r="E193" s="161">
        <v>37594</v>
      </c>
      <c r="F193" s="172" t="str">
        <f t="shared" si="12"/>
        <v>2002-03</v>
      </c>
      <c r="G193" s="68"/>
      <c r="H193" s="167" t="s">
        <v>280</v>
      </c>
      <c r="I193" s="173">
        <v>21853.086195380012</v>
      </c>
      <c r="J193" s="168">
        <f>IFERROR(MIN('MP Calculations'!$E$30/I193,1),"-")</f>
        <v>0.32927792945511891</v>
      </c>
      <c r="K193" s="12"/>
      <c r="L193" s="159">
        <v>2.0871710000000001</v>
      </c>
      <c r="M193" s="159" t="s">
        <v>293</v>
      </c>
      <c r="N193" s="159">
        <v>726</v>
      </c>
      <c r="O193" s="185">
        <f t="shared" ref="O193:O256" si="15">IF(N193="","-",L193*N193)</f>
        <v>1515.2861460000001</v>
      </c>
      <c r="P193" s="215">
        <f t="shared" si="13"/>
        <v>498.95028468690708</v>
      </c>
      <c r="Q193" s="215" cm="1">
        <f t="array" ref="Q193">IF(P193="-",0,P193/(1+'General inputs'!$H$32)^IFERROR(INDEX('MP Calculations'!$C$40:$C$130,MATCH(F193,'MP Calculations'!$D$40:$D$130,0),0),-1))</f>
        <v>1136.0871666298744</v>
      </c>
      <c r="R193" s="207">
        <f t="shared" si="14"/>
        <v>2002</v>
      </c>
      <c r="S193" s="215">
        <f>IF(P193="-",0,P193/(1+'General inputs'!$H$32)^(R193-2023))</f>
        <v>1183.8028276283292</v>
      </c>
    </row>
    <row r="194" spans="3:19">
      <c r="C194" s="159"/>
      <c r="D194" s="165" t="s">
        <v>284</v>
      </c>
      <c r="E194" s="161">
        <v>37594</v>
      </c>
      <c r="F194" s="172" t="str">
        <f t="shared" si="12"/>
        <v>2002-03</v>
      </c>
      <c r="G194" s="68"/>
      <c r="H194" s="167" t="s">
        <v>280</v>
      </c>
      <c r="I194" s="173">
        <v>21853.086195380012</v>
      </c>
      <c r="J194" s="168">
        <f>IFERROR(MIN('MP Calculations'!$E$30/I194,1),"-")</f>
        <v>0.32927792945511891</v>
      </c>
      <c r="K194" s="12"/>
      <c r="L194" s="159">
        <v>179.769811</v>
      </c>
      <c r="M194" s="159" t="s">
        <v>293</v>
      </c>
      <c r="N194" s="159">
        <v>726</v>
      </c>
      <c r="O194" s="185">
        <f t="shared" si="15"/>
        <v>130512.882786</v>
      </c>
      <c r="P194" s="215">
        <f t="shared" si="13"/>
        <v>42975.011810992713</v>
      </c>
      <c r="Q194" s="215" cm="1">
        <f t="array" ref="Q194">IF(P194="-",0,P194/(1+'General inputs'!$H$32)^IFERROR(INDEX('MP Calculations'!$C$40:$C$130,MATCH(F194,'MP Calculations'!$D$40:$D$130,0),0),-1))</f>
        <v>97852.152614509308</v>
      </c>
      <c r="R194" s="207">
        <f t="shared" si="14"/>
        <v>2002</v>
      </c>
      <c r="S194" s="215">
        <f>IF(P194="-",0,P194/(1+'General inputs'!$H$32)^(R194-2023))</f>
        <v>101961.94302431869</v>
      </c>
    </row>
    <row r="195" spans="3:19">
      <c r="C195" s="159"/>
      <c r="D195" s="165" t="s">
        <v>284</v>
      </c>
      <c r="E195" s="161">
        <v>37594</v>
      </c>
      <c r="F195" s="172" t="str">
        <f t="shared" si="12"/>
        <v>2002-03</v>
      </c>
      <c r="G195" s="68"/>
      <c r="H195" s="167" t="s">
        <v>280</v>
      </c>
      <c r="I195" s="173">
        <v>21853.086195380012</v>
      </c>
      <c r="J195" s="168">
        <f>IFERROR(MIN('MP Calculations'!$E$30/I195,1),"-")</f>
        <v>0.32927792945511891</v>
      </c>
      <c r="K195" s="12"/>
      <c r="L195" s="159">
        <v>0.83581899999999998</v>
      </c>
      <c r="M195" s="159" t="s">
        <v>293</v>
      </c>
      <c r="N195" s="159">
        <v>726</v>
      </c>
      <c r="O195" s="185">
        <f t="shared" si="15"/>
        <v>606.80459399999995</v>
      </c>
      <c r="P195" s="215">
        <f t="shared" si="13"/>
        <v>199.80736029617407</v>
      </c>
      <c r="Q195" s="215" cm="1">
        <f t="array" ref="Q195">IF(P195="-",0,P195/(1+'General inputs'!$H$32)^IFERROR(INDEX('MP Calculations'!$C$40:$C$130,MATCH(F195,'MP Calculations'!$D$40:$D$130,0),0),-1))</f>
        <v>454.95229644596196</v>
      </c>
      <c r="R195" s="207">
        <f t="shared" si="14"/>
        <v>2002</v>
      </c>
      <c r="S195" s="215">
        <f>IF(P195="-",0,P195/(1+'General inputs'!$H$32)^(R195-2023))</f>
        <v>474.06029289669237</v>
      </c>
    </row>
    <row r="196" spans="3:19">
      <c r="C196" s="159"/>
      <c r="D196" s="165" t="s">
        <v>284</v>
      </c>
      <c r="E196" s="161">
        <v>37594</v>
      </c>
      <c r="F196" s="172" t="str">
        <f t="shared" si="12"/>
        <v>2002-03</v>
      </c>
      <c r="G196" s="68"/>
      <c r="H196" s="167" t="s">
        <v>280</v>
      </c>
      <c r="I196" s="173">
        <v>21853.086195380012</v>
      </c>
      <c r="J196" s="168">
        <f>IFERROR(MIN('MP Calculations'!$E$30/I196,1),"-")</f>
        <v>0.32927792945511891</v>
      </c>
      <c r="K196" s="12"/>
      <c r="L196" s="159">
        <v>37.153948999999997</v>
      </c>
      <c r="M196" s="159" t="s">
        <v>293</v>
      </c>
      <c r="N196" s="159">
        <v>726</v>
      </c>
      <c r="O196" s="185">
        <f t="shared" si="15"/>
        <v>26973.766973999998</v>
      </c>
      <c r="P196" s="215">
        <f t="shared" si="13"/>
        <v>8881.8661388035871</v>
      </c>
      <c r="Q196" s="215" cm="1">
        <f t="array" ref="Q196">IF(P196="-",0,P196/(1+'General inputs'!$H$32)^IFERROR(INDEX('MP Calculations'!$C$40:$C$130,MATCH(F196,'MP Calculations'!$D$40:$D$130,0),0),-1))</f>
        <v>20223.606330540642</v>
      </c>
      <c r="R196" s="207">
        <f t="shared" si="14"/>
        <v>2002</v>
      </c>
      <c r="S196" s="215">
        <f>IF(P196="-",0,P196/(1+'General inputs'!$H$32)^(R196-2023))</f>
        <v>21072.997796423351</v>
      </c>
    </row>
    <row r="197" spans="3:19">
      <c r="C197" s="159"/>
      <c r="D197" s="165" t="s">
        <v>284</v>
      </c>
      <c r="E197" s="161">
        <v>37594</v>
      </c>
      <c r="F197" s="172" t="str">
        <f t="shared" si="12"/>
        <v>2002-03</v>
      </c>
      <c r="G197" s="68"/>
      <c r="H197" s="167" t="s">
        <v>280</v>
      </c>
      <c r="I197" s="173">
        <v>21853.086195380012</v>
      </c>
      <c r="J197" s="168">
        <f>IFERROR(MIN('MP Calculations'!$E$30/I197,1),"-")</f>
        <v>0.32927792945511891</v>
      </c>
      <c r="K197" s="12"/>
      <c r="L197" s="159">
        <v>1.02461</v>
      </c>
      <c r="M197" s="159" t="s">
        <v>293</v>
      </c>
      <c r="N197" s="159">
        <v>726</v>
      </c>
      <c r="O197" s="185">
        <f t="shared" si="15"/>
        <v>743.86685999999997</v>
      </c>
      <c r="P197" s="215">
        <f t="shared" si="13"/>
        <v>244.93893945108081</v>
      </c>
      <c r="Q197" s="215" cm="1">
        <f t="array" ref="Q197">IF(P197="-",0,P197/(1+'General inputs'!$H$32)^IFERROR(INDEX('MP Calculations'!$C$40:$C$130,MATCH(F197,'MP Calculations'!$D$40:$D$130,0),0),-1))</f>
        <v>557.71485508405181</v>
      </c>
      <c r="R197" s="207">
        <f t="shared" si="14"/>
        <v>2002</v>
      </c>
      <c r="S197" s="215">
        <f>IF(P197="-",0,P197/(1+'General inputs'!$H$32)^(R197-2023))</f>
        <v>581.13887899758197</v>
      </c>
    </row>
    <row r="198" spans="3:19">
      <c r="C198" s="159"/>
      <c r="D198" s="165" t="s">
        <v>284</v>
      </c>
      <c r="E198" s="161">
        <v>37594</v>
      </c>
      <c r="F198" s="172" t="str">
        <f t="shared" si="12"/>
        <v>2002-03</v>
      </c>
      <c r="G198" s="68"/>
      <c r="H198" s="167" t="s">
        <v>280</v>
      </c>
      <c r="I198" s="173">
        <v>21853.086195380012</v>
      </c>
      <c r="J198" s="168">
        <f>IFERROR(MIN('MP Calculations'!$E$30/I198,1),"-")</f>
        <v>0.32927792945511891</v>
      </c>
      <c r="K198" s="12"/>
      <c r="L198" s="159">
        <v>1.5575589999999999</v>
      </c>
      <c r="M198" s="159" t="s">
        <v>293</v>
      </c>
      <c r="N198" s="159">
        <v>726</v>
      </c>
      <c r="O198" s="185">
        <f t="shared" si="15"/>
        <v>1130.787834</v>
      </c>
      <c r="P198" s="215">
        <f t="shared" si="13"/>
        <v>372.34347663255869</v>
      </c>
      <c r="Q198" s="215" cm="1">
        <f t="array" ref="Q198">IF(P198="-",0,P198/(1+'General inputs'!$H$32)^IFERROR(INDEX('MP Calculations'!$C$40:$C$130,MATCH(F198,'MP Calculations'!$D$40:$D$130,0),0),-1))</f>
        <v>847.80920737632914</v>
      </c>
      <c r="R198" s="207">
        <f t="shared" si="14"/>
        <v>2002</v>
      </c>
      <c r="S198" s="215">
        <f>IF(P198="-",0,P198/(1+'General inputs'!$H$32)^(R198-2023))</f>
        <v>883.41719408613494</v>
      </c>
    </row>
    <row r="199" spans="3:19">
      <c r="C199" s="159"/>
      <c r="D199" s="165" t="s">
        <v>284</v>
      </c>
      <c r="E199" s="161">
        <v>37594</v>
      </c>
      <c r="F199" s="172" t="str">
        <f t="shared" si="12"/>
        <v>2002-03</v>
      </c>
      <c r="G199" s="68"/>
      <c r="H199" s="167" t="s">
        <v>280</v>
      </c>
      <c r="I199" s="173">
        <v>21853.086195380012</v>
      </c>
      <c r="J199" s="168">
        <f>IFERROR(MIN('MP Calculations'!$E$30/I199,1),"-")</f>
        <v>0.32927792945511891</v>
      </c>
      <c r="K199" s="12"/>
      <c r="L199" s="159">
        <v>0.50102500000000005</v>
      </c>
      <c r="M199" s="159" t="s">
        <v>293</v>
      </c>
      <c r="N199" s="159">
        <v>726</v>
      </c>
      <c r="O199" s="185">
        <f t="shared" si="15"/>
        <v>363.74415000000005</v>
      </c>
      <c r="P199" s="215">
        <f t="shared" si="13"/>
        <v>119.77292056341221</v>
      </c>
      <c r="Q199" s="215" cm="1">
        <f t="array" ref="Q199">IF(P199="-",0,P199/(1+'General inputs'!$H$32)^IFERROR(INDEX('MP Calculations'!$C$40:$C$130,MATCH(F199,'MP Calculations'!$D$40:$D$130,0),0),-1))</f>
        <v>272.71750741109992</v>
      </c>
      <c r="R199" s="207">
        <f t="shared" si="14"/>
        <v>2002</v>
      </c>
      <c r="S199" s="215">
        <f>IF(P199="-",0,P199/(1+'General inputs'!$H$32)^(R199-2023))</f>
        <v>284.17164272236613</v>
      </c>
    </row>
    <row r="200" spans="3:19">
      <c r="C200" s="159"/>
      <c r="D200" s="165" t="s">
        <v>284</v>
      </c>
      <c r="E200" s="161">
        <v>37594</v>
      </c>
      <c r="F200" s="172" t="str">
        <f t="shared" si="12"/>
        <v>2002-03</v>
      </c>
      <c r="G200" s="68"/>
      <c r="H200" s="167" t="s">
        <v>280</v>
      </c>
      <c r="I200" s="173">
        <v>21853.086195380012</v>
      </c>
      <c r="J200" s="168">
        <f>IFERROR(MIN('MP Calculations'!$E$30/I200,1),"-")</f>
        <v>0.32927792945511891</v>
      </c>
      <c r="K200" s="12"/>
      <c r="L200" s="159">
        <v>3.1050779999999998</v>
      </c>
      <c r="M200" s="159" t="s">
        <v>293</v>
      </c>
      <c r="N200" s="159">
        <v>726</v>
      </c>
      <c r="O200" s="185">
        <f t="shared" si="15"/>
        <v>2254.2866279999998</v>
      </c>
      <c r="P200" s="215">
        <f t="shared" si="13"/>
        <v>742.28683326620182</v>
      </c>
      <c r="Q200" s="215" cm="1">
        <f t="array" ref="Q200">IF(P200="-",0,P200/(1+'General inputs'!$H$32)^IFERROR(INDEX('MP Calculations'!$C$40:$C$130,MATCH(F200,'MP Calculations'!$D$40:$D$130,0),0),-1))</f>
        <v>1690.1534503808057</v>
      </c>
      <c r="R200" s="207">
        <f t="shared" si="14"/>
        <v>2002</v>
      </c>
      <c r="S200" s="215">
        <f>IF(P200="-",0,P200/(1+'General inputs'!$H$32)^(R200-2023))</f>
        <v>1761.1398952967995</v>
      </c>
    </row>
    <row r="201" spans="3:19">
      <c r="C201" s="159"/>
      <c r="D201" s="165" t="s">
        <v>284</v>
      </c>
      <c r="E201" s="161">
        <v>37594</v>
      </c>
      <c r="F201" s="172" t="str">
        <f t="shared" si="12"/>
        <v>2002-03</v>
      </c>
      <c r="G201" s="68"/>
      <c r="H201" s="167" t="s">
        <v>280</v>
      </c>
      <c r="I201" s="173">
        <v>21853.086195380012</v>
      </c>
      <c r="J201" s="168">
        <f>IFERROR(MIN('MP Calculations'!$E$30/I201,1),"-")</f>
        <v>0.32927792945511891</v>
      </c>
      <c r="K201" s="12"/>
      <c r="L201" s="159">
        <v>162.89795000000001</v>
      </c>
      <c r="M201" s="159" t="s">
        <v>293</v>
      </c>
      <c r="N201" s="159">
        <v>726</v>
      </c>
      <c r="O201" s="185">
        <f t="shared" si="15"/>
        <v>118263.91170000001</v>
      </c>
      <c r="P201" s="215">
        <f t="shared" si="13"/>
        <v>38941.695973839014</v>
      </c>
      <c r="Q201" s="215" cm="1">
        <f t="array" ref="Q201">IF(P201="-",0,P201/(1+'General inputs'!$H$32)^IFERROR(INDEX('MP Calculations'!$C$40:$C$130,MATCH(F201,'MP Calculations'!$D$40:$D$130,0),0),-1))</f>
        <v>88668.475398189679</v>
      </c>
      <c r="R201" s="207">
        <f t="shared" si="14"/>
        <v>2002</v>
      </c>
      <c r="S201" s="215">
        <f>IF(P201="-",0,P201/(1+'General inputs'!$H$32)^(R201-2023))</f>
        <v>92392.551364913641</v>
      </c>
    </row>
    <row r="202" spans="3:19">
      <c r="C202" s="159"/>
      <c r="D202" s="165" t="s">
        <v>284</v>
      </c>
      <c r="E202" s="161">
        <v>37594</v>
      </c>
      <c r="F202" s="172" t="str">
        <f t="shared" si="12"/>
        <v>2002-03</v>
      </c>
      <c r="G202" s="68"/>
      <c r="H202" s="167" t="s">
        <v>280</v>
      </c>
      <c r="I202" s="173">
        <v>21853.086195380012</v>
      </c>
      <c r="J202" s="168">
        <f>IFERROR(MIN('MP Calculations'!$E$30/I202,1),"-")</f>
        <v>0.32927792945511891</v>
      </c>
      <c r="K202" s="12"/>
      <c r="L202" s="159">
        <v>115.830118</v>
      </c>
      <c r="M202" s="159" t="s">
        <v>293</v>
      </c>
      <c r="N202" s="159">
        <v>726</v>
      </c>
      <c r="O202" s="185">
        <f t="shared" si="15"/>
        <v>84092.665668000001</v>
      </c>
      <c r="P202" s="215">
        <f t="shared" si="13"/>
        <v>27689.858833520604</v>
      </c>
      <c r="Q202" s="215" cm="1">
        <f t="array" ref="Q202">IF(P202="-",0,P202/(1+'General inputs'!$H$32)^IFERROR(INDEX('MP Calculations'!$C$40:$C$130,MATCH(F202,'MP Calculations'!$D$40:$D$130,0),0),-1))</f>
        <v>63048.552595366651</v>
      </c>
      <c r="R202" s="207">
        <f t="shared" si="14"/>
        <v>2002</v>
      </c>
      <c r="S202" s="215">
        <f>IF(P202="-",0,P202/(1+'General inputs'!$H$32)^(R202-2023))</f>
        <v>65696.591804372045</v>
      </c>
    </row>
    <row r="203" spans="3:19">
      <c r="C203" s="159"/>
      <c r="D203" s="165" t="s">
        <v>284</v>
      </c>
      <c r="E203" s="161">
        <v>37594</v>
      </c>
      <c r="F203" s="172" t="str">
        <f t="shared" si="12"/>
        <v>2002-03</v>
      </c>
      <c r="G203" s="68"/>
      <c r="H203" s="167" t="s">
        <v>280</v>
      </c>
      <c r="I203" s="173">
        <v>21853.086195380012</v>
      </c>
      <c r="J203" s="168">
        <f>IFERROR(MIN('MP Calculations'!$E$30/I203,1),"-")</f>
        <v>0.32927792945511891</v>
      </c>
      <c r="K203" s="12"/>
      <c r="L203" s="159">
        <v>214.35274000000001</v>
      </c>
      <c r="M203" s="159" t="s">
        <v>293</v>
      </c>
      <c r="N203" s="159">
        <v>726</v>
      </c>
      <c r="O203" s="185">
        <f t="shared" si="15"/>
        <v>155620.08924</v>
      </c>
      <c r="P203" s="215">
        <f t="shared" si="13"/>
        <v>51242.260766568033</v>
      </c>
      <c r="Q203" s="215" cm="1">
        <f t="array" ref="Q203">IF(P203="-",0,P203/(1+'General inputs'!$H$32)^IFERROR(INDEX('MP Calculations'!$C$40:$C$130,MATCH(F203,'MP Calculations'!$D$40:$D$130,0),0),-1))</f>
        <v>116676.30349691048</v>
      </c>
      <c r="R203" s="207">
        <f t="shared" si="14"/>
        <v>2002</v>
      </c>
      <c r="S203" s="215">
        <f>IF(P203="-",0,P203/(1+'General inputs'!$H$32)^(R203-2023))</f>
        <v>121576.70824378071</v>
      </c>
    </row>
    <row r="204" spans="3:19">
      <c r="C204" s="159"/>
      <c r="D204" s="165" t="s">
        <v>284</v>
      </c>
      <c r="E204" s="161">
        <v>37594</v>
      </c>
      <c r="F204" s="172" t="str">
        <f t="shared" si="12"/>
        <v>2002-03</v>
      </c>
      <c r="G204" s="68"/>
      <c r="H204" s="167" t="s">
        <v>280</v>
      </c>
      <c r="I204" s="173">
        <v>21853.086195380012</v>
      </c>
      <c r="J204" s="168">
        <f>IFERROR(MIN('MP Calculations'!$E$30/I204,1),"-")</f>
        <v>0.32927792945511891</v>
      </c>
      <c r="K204" s="12"/>
      <c r="L204" s="159">
        <v>1.7710399999999999</v>
      </c>
      <c r="M204" s="159" t="s">
        <v>293</v>
      </c>
      <c r="N204" s="159">
        <v>726</v>
      </c>
      <c r="O204" s="185">
        <f t="shared" si="15"/>
        <v>1285.77504</v>
      </c>
      <c r="P204" s="215">
        <f t="shared" si="13"/>
        <v>423.37734291627271</v>
      </c>
      <c r="Q204" s="215" cm="1">
        <f t="array" ref="Q204">IF(P204="-",0,P204/(1+'General inputs'!$H$32)^IFERROR(INDEX('MP Calculations'!$C$40:$C$130,MATCH(F204,'MP Calculations'!$D$40:$D$130,0),0),-1))</f>
        <v>964.01100608822787</v>
      </c>
      <c r="R204" s="207">
        <f t="shared" si="14"/>
        <v>2002</v>
      </c>
      <c r="S204" s="215">
        <f>IF(P204="-",0,P204/(1+'General inputs'!$H$32)^(R204-2023))</f>
        <v>1004.4994683439334</v>
      </c>
    </row>
    <row r="205" spans="3:19">
      <c r="C205" s="159"/>
      <c r="D205" s="165" t="s">
        <v>284</v>
      </c>
      <c r="E205" s="161">
        <v>37594</v>
      </c>
      <c r="F205" s="172" t="str">
        <f t="shared" si="12"/>
        <v>2002-03</v>
      </c>
      <c r="G205" s="68"/>
      <c r="H205" s="167" t="s">
        <v>280</v>
      </c>
      <c r="I205" s="173">
        <v>21853.086195380012</v>
      </c>
      <c r="J205" s="168">
        <f>IFERROR(MIN('MP Calculations'!$E$30/I205,1),"-")</f>
        <v>0.32927792945511891</v>
      </c>
      <c r="K205" s="12"/>
      <c r="L205" s="159">
        <v>0.56900799999999996</v>
      </c>
      <c r="M205" s="159" t="s">
        <v>293</v>
      </c>
      <c r="N205" s="159">
        <v>726</v>
      </c>
      <c r="O205" s="185">
        <f t="shared" si="15"/>
        <v>413.099808</v>
      </c>
      <c r="P205" s="215">
        <f t="shared" si="13"/>
        <v>136.02464943654718</v>
      </c>
      <c r="Q205" s="215" cm="1">
        <f t="array" ref="Q205">IF(P205="-",0,P205/(1+'General inputs'!$H$32)^IFERROR(INDEX('MP Calculations'!$C$40:$C$130,MATCH(F205,'MP Calculations'!$D$40:$D$130,0),0),-1))</f>
        <v>309.72195690230058</v>
      </c>
      <c r="R205" s="207">
        <f t="shared" si="14"/>
        <v>2002</v>
      </c>
      <c r="S205" s="215">
        <f>IF(P205="-",0,P205/(1+'General inputs'!$H$32)^(R205-2023))</f>
        <v>322.73027909219718</v>
      </c>
    </row>
    <row r="206" spans="3:19">
      <c r="C206" s="159"/>
      <c r="D206" s="165" t="s">
        <v>284</v>
      </c>
      <c r="E206" s="161">
        <v>37594</v>
      </c>
      <c r="F206" s="172" t="str">
        <f t="shared" si="12"/>
        <v>2002-03</v>
      </c>
      <c r="G206" s="68"/>
      <c r="H206" s="167" t="s">
        <v>280</v>
      </c>
      <c r="I206" s="173">
        <v>21853.086195380012</v>
      </c>
      <c r="J206" s="168">
        <f>IFERROR(MIN('MP Calculations'!$E$30/I206,1),"-")</f>
        <v>0.32927792945511891</v>
      </c>
      <c r="K206" s="12"/>
      <c r="L206" s="159">
        <v>274.43655200000001</v>
      </c>
      <c r="M206" s="159" t="s">
        <v>293</v>
      </c>
      <c r="N206" s="159">
        <v>726</v>
      </c>
      <c r="O206" s="185">
        <f t="shared" si="15"/>
        <v>199240.93675200001</v>
      </c>
      <c r="P206" s="215">
        <f t="shared" si="13"/>
        <v>65605.643116396866</v>
      </c>
      <c r="Q206" s="215" cm="1">
        <f t="array" ref="Q206">IF(P206="-",0,P206/(1+'General inputs'!$H$32)^IFERROR(INDEX('MP Calculations'!$C$40:$C$130,MATCH(F206,'MP Calculations'!$D$40:$D$130,0),0),-1))</f>
        <v>149381.0736069791</v>
      </c>
      <c r="R206" s="207">
        <f t="shared" si="14"/>
        <v>2002</v>
      </c>
      <c r="S206" s="215">
        <f>IF(P206="-",0,P206/(1+'General inputs'!$H$32)^(R206-2023))</f>
        <v>155655.07869847221</v>
      </c>
    </row>
    <row r="207" spans="3:19">
      <c r="C207" s="159"/>
      <c r="D207" s="165" t="s">
        <v>284</v>
      </c>
      <c r="E207" s="161">
        <v>37594</v>
      </c>
      <c r="F207" s="172" t="str">
        <f t="shared" si="12"/>
        <v>2002-03</v>
      </c>
      <c r="G207" s="68"/>
      <c r="H207" s="167" t="s">
        <v>280</v>
      </c>
      <c r="I207" s="173">
        <v>21853.086195380012</v>
      </c>
      <c r="J207" s="168">
        <f>IFERROR(MIN('MP Calculations'!$E$30/I207,1),"-")</f>
        <v>0.32927792945511891</v>
      </c>
      <c r="K207" s="12"/>
      <c r="L207" s="159">
        <v>214.771401</v>
      </c>
      <c r="M207" s="159" t="s">
        <v>293</v>
      </c>
      <c r="N207" s="159">
        <v>726</v>
      </c>
      <c r="O207" s="185">
        <f t="shared" si="15"/>
        <v>155924.03712600001</v>
      </c>
      <c r="P207" s="215">
        <f t="shared" si="13"/>
        <v>51342.344097132373</v>
      </c>
      <c r="Q207" s="215" cm="1">
        <f t="array" ref="Q207">IF(P207="-",0,P207/(1+'General inputs'!$H$32)^IFERROR(INDEX('MP Calculations'!$C$40:$C$130,MATCH(F207,'MP Calculations'!$D$40:$D$130,0),0),-1))</f>
        <v>116904.1887009826</v>
      </c>
      <c r="R207" s="207">
        <f t="shared" si="14"/>
        <v>2002</v>
      </c>
      <c r="S207" s="215">
        <f>IF(P207="-",0,P207/(1+'General inputs'!$H$32)^(R207-2023))</f>
        <v>121814.16462642387</v>
      </c>
    </row>
    <row r="208" spans="3:19">
      <c r="C208" s="159"/>
      <c r="D208" s="165" t="s">
        <v>284</v>
      </c>
      <c r="E208" s="161">
        <v>37594</v>
      </c>
      <c r="F208" s="172" t="str">
        <f t="shared" si="12"/>
        <v>2002-03</v>
      </c>
      <c r="G208" s="68"/>
      <c r="H208" s="167" t="s">
        <v>280</v>
      </c>
      <c r="I208" s="173">
        <v>21853.086195380012</v>
      </c>
      <c r="J208" s="168">
        <f>IFERROR(MIN('MP Calculations'!$E$30/I208,1),"-")</f>
        <v>0.32927792945511891</v>
      </c>
      <c r="K208" s="12"/>
      <c r="L208" s="159">
        <v>258.53175599999997</v>
      </c>
      <c r="M208" s="159" t="s">
        <v>293</v>
      </c>
      <c r="N208" s="159">
        <v>726</v>
      </c>
      <c r="O208" s="185">
        <f t="shared" si="15"/>
        <v>187694.05485599997</v>
      </c>
      <c r="P208" s="215">
        <f t="shared" si="13"/>
        <v>61803.509754019178</v>
      </c>
      <c r="Q208" s="215" cm="1">
        <f t="array" ref="Q208">IF(P208="-",0,P208/(1+'General inputs'!$H$32)^IFERROR(INDEX('MP Calculations'!$C$40:$C$130,MATCH(F208,'MP Calculations'!$D$40:$D$130,0),0),-1))</f>
        <v>140723.78839965005</v>
      </c>
      <c r="R208" s="207">
        <f t="shared" si="14"/>
        <v>2002</v>
      </c>
      <c r="S208" s="215">
        <f>IF(P208="-",0,P208/(1+'General inputs'!$H$32)^(R208-2023))</f>
        <v>146634.18751243534</v>
      </c>
    </row>
    <row r="209" spans="3:19">
      <c r="C209" s="159"/>
      <c r="D209" s="165" t="s">
        <v>284</v>
      </c>
      <c r="E209" s="161">
        <v>37594</v>
      </c>
      <c r="F209" s="172" t="str">
        <f t="shared" si="12"/>
        <v>2002-03</v>
      </c>
      <c r="G209" s="68"/>
      <c r="H209" s="167" t="s">
        <v>280</v>
      </c>
      <c r="I209" s="173">
        <v>21853.086195380012</v>
      </c>
      <c r="J209" s="168">
        <f>IFERROR(MIN('MP Calculations'!$E$30/I209,1),"-")</f>
        <v>0.32927792945511891</v>
      </c>
      <c r="K209" s="12"/>
      <c r="L209" s="159">
        <v>0.97046600000000005</v>
      </c>
      <c r="M209" s="159" t="s">
        <v>293</v>
      </c>
      <c r="N209" s="159">
        <v>726</v>
      </c>
      <c r="O209" s="185">
        <f t="shared" si="15"/>
        <v>704.55831599999999</v>
      </c>
      <c r="P209" s="215">
        <f t="shared" si="13"/>
        <v>231.99550347286538</v>
      </c>
      <c r="Q209" s="215" cm="1">
        <f t="array" ref="Q209">IF(P209="-",0,P209/(1+'General inputs'!$H$32)^IFERROR(INDEX('MP Calculations'!$C$40:$C$130,MATCH(F209,'MP Calculations'!$D$40:$D$130,0),0),-1))</f>
        <v>528.24323845560696</v>
      </c>
      <c r="R209" s="207">
        <f t="shared" si="14"/>
        <v>2002</v>
      </c>
      <c r="S209" s="215">
        <f>IF(P209="-",0,P209/(1+'General inputs'!$H$32)^(R209-2023))</f>
        <v>550.42945447074237</v>
      </c>
    </row>
    <row r="210" spans="3:19">
      <c r="C210" s="159"/>
      <c r="D210" s="165" t="s">
        <v>284</v>
      </c>
      <c r="E210" s="161">
        <v>37594</v>
      </c>
      <c r="F210" s="172" t="str">
        <f t="shared" si="12"/>
        <v>2002-03</v>
      </c>
      <c r="G210" s="68"/>
      <c r="H210" s="167" t="s">
        <v>280</v>
      </c>
      <c r="I210" s="173">
        <v>21853.086195380012</v>
      </c>
      <c r="J210" s="168">
        <f>IFERROR(MIN('MP Calculations'!$E$30/I210,1),"-")</f>
        <v>0.32927792945511891</v>
      </c>
      <c r="K210" s="12"/>
      <c r="L210" s="159">
        <v>1.742953</v>
      </c>
      <c r="M210" s="159" t="s">
        <v>293</v>
      </c>
      <c r="N210" s="159">
        <v>726</v>
      </c>
      <c r="O210" s="185">
        <f t="shared" si="15"/>
        <v>1265.3838780000001</v>
      </c>
      <c r="P210" s="215">
        <f t="shared" si="13"/>
        <v>416.66298331372883</v>
      </c>
      <c r="Q210" s="215" cm="1">
        <f t="array" ref="Q210">IF(P210="-",0,P210/(1+'General inputs'!$H$32)^IFERROR(INDEX('MP Calculations'!$C$40:$C$130,MATCH(F210,'MP Calculations'!$D$40:$D$130,0),0),-1))</f>
        <v>948.72271382605425</v>
      </c>
      <c r="R210" s="207">
        <f t="shared" si="14"/>
        <v>2002</v>
      </c>
      <c r="S210" s="215">
        <f>IF(P210="-",0,P210/(1+'General inputs'!$H$32)^(R210-2023))</f>
        <v>988.56906780674854</v>
      </c>
    </row>
    <row r="211" spans="3:19">
      <c r="C211" s="159"/>
      <c r="D211" s="165" t="s">
        <v>284</v>
      </c>
      <c r="E211" s="161">
        <v>37594</v>
      </c>
      <c r="F211" s="172" t="str">
        <f t="shared" si="12"/>
        <v>2002-03</v>
      </c>
      <c r="G211" s="68"/>
      <c r="H211" s="167" t="s">
        <v>280</v>
      </c>
      <c r="I211" s="173">
        <v>21853.086195380012</v>
      </c>
      <c r="J211" s="168">
        <f>IFERROR(MIN('MP Calculations'!$E$30/I211,1),"-")</f>
        <v>0.32927792945511891</v>
      </c>
      <c r="K211" s="12"/>
      <c r="L211" s="159">
        <v>11.575651000000001</v>
      </c>
      <c r="M211" s="159" t="s">
        <v>293</v>
      </c>
      <c r="N211" s="159">
        <v>726</v>
      </c>
      <c r="O211" s="185">
        <f t="shared" si="15"/>
        <v>8403.9226259999996</v>
      </c>
      <c r="P211" s="215">
        <f t="shared" si="13"/>
        <v>2767.2262415903056</v>
      </c>
      <c r="Q211" s="215" cm="1">
        <f t="array" ref="Q211">IF(P211="-",0,P211/(1+'General inputs'!$H$32)^IFERROR(INDEX('MP Calculations'!$C$40:$C$130,MATCH(F211,'MP Calculations'!$D$40:$D$130,0),0),-1))</f>
        <v>6300.8486350597386</v>
      </c>
      <c r="R211" s="207">
        <f t="shared" si="14"/>
        <v>2002</v>
      </c>
      <c r="S211" s="215">
        <f>IF(P211="-",0,P211/(1+'General inputs'!$H$32)^(R211-2023))</f>
        <v>6565.4842777322474</v>
      </c>
    </row>
    <row r="212" spans="3:19">
      <c r="C212" s="159"/>
      <c r="D212" s="165" t="s">
        <v>284</v>
      </c>
      <c r="E212" s="161">
        <v>37594</v>
      </c>
      <c r="F212" s="172" t="str">
        <f t="shared" si="12"/>
        <v>2002-03</v>
      </c>
      <c r="G212" s="68"/>
      <c r="H212" s="167" t="s">
        <v>280</v>
      </c>
      <c r="I212" s="173">
        <v>21853.086195380012</v>
      </c>
      <c r="J212" s="168">
        <f>IFERROR(MIN('MP Calculations'!$E$30/I212,1),"-")</f>
        <v>0.32927792945511891</v>
      </c>
      <c r="K212" s="12"/>
      <c r="L212" s="159">
        <v>2.6462479999999999</v>
      </c>
      <c r="M212" s="159" t="s">
        <v>293</v>
      </c>
      <c r="N212" s="159">
        <v>726</v>
      </c>
      <c r="O212" s="185">
        <f t="shared" si="15"/>
        <v>1921.176048</v>
      </c>
      <c r="P212" s="215">
        <f t="shared" si="13"/>
        <v>632.60087120420815</v>
      </c>
      <c r="Q212" s="215" cm="1">
        <f t="array" ref="Q212">IF(P212="-",0,P212/(1+'General inputs'!$H$32)^IFERROR(INDEX('MP Calculations'!$C$40:$C$130,MATCH(F212,'MP Calculations'!$D$40:$D$130,0),0),-1))</f>
        <v>1440.4034899488215</v>
      </c>
      <c r="R212" s="207">
        <f t="shared" si="14"/>
        <v>2002</v>
      </c>
      <c r="S212" s="215">
        <f>IF(P212="-",0,P212/(1+'General inputs'!$H$32)^(R212-2023))</f>
        <v>1500.9004365266719</v>
      </c>
    </row>
    <row r="213" spans="3:19">
      <c r="C213" s="159"/>
      <c r="D213" s="165" t="s">
        <v>284</v>
      </c>
      <c r="E213" s="161">
        <v>37594</v>
      </c>
      <c r="F213" s="172" t="str">
        <f t="shared" si="12"/>
        <v>2002-03</v>
      </c>
      <c r="G213" s="68"/>
      <c r="H213" s="167" t="s">
        <v>280</v>
      </c>
      <c r="I213" s="173">
        <v>21853.086195380012</v>
      </c>
      <c r="J213" s="168">
        <f>IFERROR(MIN('MP Calculations'!$E$30/I213,1),"-")</f>
        <v>0.32927792945511891</v>
      </c>
      <c r="K213" s="12"/>
      <c r="L213" s="159">
        <v>297.43470300000001</v>
      </c>
      <c r="M213" s="159" t="s">
        <v>293</v>
      </c>
      <c r="N213" s="159">
        <v>726</v>
      </c>
      <c r="O213" s="185">
        <f t="shared" si="15"/>
        <v>215937.59437800001</v>
      </c>
      <c r="P213" s="215">
        <f t="shared" si="13"/>
        <v>71103.483968307162</v>
      </c>
      <c r="Q213" s="215" cm="1">
        <f t="array" ref="Q213">IF(P213="-",0,P213/(1+'General inputs'!$H$32)^IFERROR(INDEX('MP Calculations'!$C$40:$C$130,MATCH(F213,'MP Calculations'!$D$40:$D$130,0),0),-1))</f>
        <v>161899.40785334224</v>
      </c>
      <c r="R213" s="207">
        <f t="shared" si="14"/>
        <v>2002</v>
      </c>
      <c r="S213" s="215">
        <f>IF(P213="-",0,P213/(1+'General inputs'!$H$32)^(R213-2023))</f>
        <v>168699.1829831826</v>
      </c>
    </row>
    <row r="214" spans="3:19">
      <c r="C214" s="159"/>
      <c r="D214" s="165" t="s">
        <v>284</v>
      </c>
      <c r="E214" s="161">
        <v>37594</v>
      </c>
      <c r="F214" s="172" t="str">
        <f t="shared" ref="F214:F277" si="16">IF(E214="","-",IF(OR(E214&lt;$E$15,E214&gt;$E$16),"ERROR - date outside of range",IF(MONTH(E214)&gt;=7,YEAR(E214)&amp;"-"&amp;IF(YEAR(E214)=1999,"00",IF(AND(YEAR(E214)&gt;=2000,YEAR(E214)&lt;2009),"0","")&amp;RIGHT(YEAR(E214),2)+1),RIGHT(YEAR(E214),4)-1&amp;"-"&amp;RIGHT(YEAR(E214),2))))</f>
        <v>2002-03</v>
      </c>
      <c r="G214" s="68"/>
      <c r="H214" s="167" t="s">
        <v>280</v>
      </c>
      <c r="I214" s="173">
        <v>21853.086195380012</v>
      </c>
      <c r="J214" s="168">
        <f>IFERROR(MIN('MP Calculations'!$E$30/I214,1),"-")</f>
        <v>0.32927792945511891</v>
      </c>
      <c r="K214" s="12"/>
      <c r="L214" s="159">
        <v>213.99956599999999</v>
      </c>
      <c r="M214" s="159" t="s">
        <v>293</v>
      </c>
      <c r="N214" s="159">
        <v>726</v>
      </c>
      <c r="O214" s="185">
        <f t="shared" si="15"/>
        <v>155363.684916</v>
      </c>
      <c r="P214" s="215">
        <f t="shared" si="13"/>
        <v>51157.83248165797</v>
      </c>
      <c r="Q214" s="215" cm="1">
        <f t="array" ref="Q214">IF(P214="-",0,P214/(1+'General inputs'!$H$32)^IFERROR(INDEX('MP Calculations'!$C$40:$C$130,MATCH(F214,'MP Calculations'!$D$40:$D$130,0),0),-1))</f>
        <v>116484.06412170483</v>
      </c>
      <c r="R214" s="207">
        <f t="shared" si="14"/>
        <v>2002</v>
      </c>
      <c r="S214" s="215">
        <f>IF(P214="-",0,P214/(1+'General inputs'!$H$32)^(R214-2023))</f>
        <v>121376.39481481642</v>
      </c>
    </row>
    <row r="215" spans="3:19">
      <c r="C215" s="159"/>
      <c r="D215" s="165" t="s">
        <v>284</v>
      </c>
      <c r="E215" s="161">
        <v>37594</v>
      </c>
      <c r="F215" s="172" t="str">
        <f t="shared" si="16"/>
        <v>2002-03</v>
      </c>
      <c r="G215" s="68"/>
      <c r="H215" s="167" t="s">
        <v>280</v>
      </c>
      <c r="I215" s="173">
        <v>21853.086195380012</v>
      </c>
      <c r="J215" s="168">
        <f>IFERROR(MIN('MP Calculations'!$E$30/I215,1),"-")</f>
        <v>0.32927792945511891</v>
      </c>
      <c r="K215" s="12"/>
      <c r="L215" s="159">
        <v>6.4996660000000004</v>
      </c>
      <c r="M215" s="159" t="s">
        <v>293</v>
      </c>
      <c r="N215" s="159">
        <v>726</v>
      </c>
      <c r="O215" s="185">
        <f t="shared" si="15"/>
        <v>4718.7575160000006</v>
      </c>
      <c r="P215" s="215">
        <f t="shared" ref="P215:P278" si="17">IF(O215="-","-",IF(OR(E215&lt;$E$15,E215&gt;$E$16),0,O215*J215))</f>
        <v>1553.7827044692604</v>
      </c>
      <c r="Q215" s="215" cm="1">
        <f t="array" ref="Q215">IF(P215="-",0,P215/(1+'General inputs'!$H$32)^IFERROR(INDEX('MP Calculations'!$C$40:$C$130,MATCH(F215,'MP Calculations'!$D$40:$D$130,0),0),-1))</f>
        <v>3537.8927409304411</v>
      </c>
      <c r="R215" s="207">
        <f t="shared" si="14"/>
        <v>2002</v>
      </c>
      <c r="S215" s="215">
        <f>IF(P215="-",0,P215/(1+'General inputs'!$H$32)^(R215-2023))</f>
        <v>3686.4842360495195</v>
      </c>
    </row>
    <row r="216" spans="3:19">
      <c r="C216" s="159"/>
      <c r="D216" s="165" t="s">
        <v>284</v>
      </c>
      <c r="E216" s="161">
        <v>37594</v>
      </c>
      <c r="F216" s="172" t="str">
        <f t="shared" si="16"/>
        <v>2002-03</v>
      </c>
      <c r="G216" s="68"/>
      <c r="H216" s="167" t="s">
        <v>280</v>
      </c>
      <c r="I216" s="173">
        <v>21853.086195380012</v>
      </c>
      <c r="J216" s="168">
        <f>IFERROR(MIN('MP Calculations'!$E$30/I216,1),"-")</f>
        <v>0.32927792945511891</v>
      </c>
      <c r="K216" s="12"/>
      <c r="L216" s="159">
        <v>91.298348000000004</v>
      </c>
      <c r="M216" s="159" t="s">
        <v>293</v>
      </c>
      <c r="N216" s="159">
        <v>726</v>
      </c>
      <c r="O216" s="185">
        <f t="shared" si="15"/>
        <v>66282.600648000007</v>
      </c>
      <c r="P216" s="215">
        <f t="shared" si="17"/>
        <v>21825.397500273964</v>
      </c>
      <c r="Q216" s="215" cm="1">
        <f t="array" ref="Q216">IF(P216="-",0,P216/(1+'General inputs'!$H$32)^IFERROR(INDEX('MP Calculations'!$C$40:$C$130,MATCH(F216,'MP Calculations'!$D$40:$D$130,0),0),-1))</f>
        <v>49695.440142330583</v>
      </c>
      <c r="R216" s="207">
        <f t="shared" si="14"/>
        <v>2002</v>
      </c>
      <c r="S216" s="215">
        <f>IF(P216="-",0,P216/(1+'General inputs'!$H$32)^(R216-2023))</f>
        <v>51782.64862830846</v>
      </c>
    </row>
    <row r="217" spans="3:19">
      <c r="C217" s="159"/>
      <c r="D217" s="165" t="s">
        <v>284</v>
      </c>
      <c r="E217" s="161">
        <v>37594</v>
      </c>
      <c r="F217" s="172" t="str">
        <f t="shared" si="16"/>
        <v>2002-03</v>
      </c>
      <c r="G217" s="68"/>
      <c r="H217" s="167" t="s">
        <v>280</v>
      </c>
      <c r="I217" s="173">
        <v>21853.086195380012</v>
      </c>
      <c r="J217" s="168">
        <f>IFERROR(MIN('MP Calculations'!$E$30/I217,1),"-")</f>
        <v>0.32927792945511891</v>
      </c>
      <c r="K217" s="12"/>
      <c r="L217" s="159">
        <v>138.115916</v>
      </c>
      <c r="M217" s="159" t="s">
        <v>293</v>
      </c>
      <c r="N217" s="159">
        <v>726</v>
      </c>
      <c r="O217" s="185">
        <f t="shared" si="15"/>
        <v>100272.155016</v>
      </c>
      <c r="P217" s="215">
        <f t="shared" si="17"/>
        <v>33017.407585671201</v>
      </c>
      <c r="Q217" s="215" cm="1">
        <f t="array" ref="Q217">IF(P217="-",0,P217/(1+'General inputs'!$H$32)^IFERROR(INDEX('MP Calculations'!$C$40:$C$130,MATCH(F217,'MP Calculations'!$D$40:$D$130,0),0),-1))</f>
        <v>75179.139454759454</v>
      </c>
      <c r="R217" s="207">
        <f t="shared" si="14"/>
        <v>2002</v>
      </c>
      <c r="S217" s="215">
        <f>IF(P217="-",0,P217/(1+'General inputs'!$H$32)^(R217-2023))</f>
        <v>78336.663311859345</v>
      </c>
    </row>
    <row r="218" spans="3:19">
      <c r="C218" s="159"/>
      <c r="D218" s="165" t="s">
        <v>284</v>
      </c>
      <c r="E218" s="161">
        <v>37594</v>
      </c>
      <c r="F218" s="172" t="str">
        <f t="shared" si="16"/>
        <v>2002-03</v>
      </c>
      <c r="G218" s="68"/>
      <c r="H218" s="167" t="s">
        <v>280</v>
      </c>
      <c r="I218" s="173">
        <v>21853.086195380012</v>
      </c>
      <c r="J218" s="168">
        <f>IFERROR(MIN('MP Calculations'!$E$30/I218,1),"-")</f>
        <v>0.32927792945511891</v>
      </c>
      <c r="K218" s="12"/>
      <c r="L218" s="159">
        <v>105.86474800000001</v>
      </c>
      <c r="M218" s="159" t="s">
        <v>293</v>
      </c>
      <c r="N218" s="159">
        <v>726</v>
      </c>
      <c r="O218" s="185">
        <f t="shared" si="15"/>
        <v>76857.807048000002</v>
      </c>
      <c r="P218" s="215">
        <f t="shared" si="17"/>
        <v>25307.579567226487</v>
      </c>
      <c r="Q218" s="215" cm="1">
        <f t="array" ref="Q218">IF(P218="-",0,P218/(1+'General inputs'!$H$32)^IFERROR(INDEX('MP Calculations'!$C$40:$C$130,MATCH(F218,'MP Calculations'!$D$40:$D$130,0),0),-1))</f>
        <v>57624.210762465395</v>
      </c>
      <c r="R218" s="207">
        <f t="shared" si="14"/>
        <v>2002</v>
      </c>
      <c r="S218" s="215">
        <f>IF(P218="-",0,P218/(1+'General inputs'!$H$32)^(R218-2023))</f>
        <v>60044.427614488937</v>
      </c>
    </row>
    <row r="219" spans="3:19">
      <c r="C219" s="159"/>
      <c r="D219" s="165" t="s">
        <v>284</v>
      </c>
      <c r="E219" s="161">
        <v>37594</v>
      </c>
      <c r="F219" s="172" t="str">
        <f t="shared" si="16"/>
        <v>2002-03</v>
      </c>
      <c r="G219" s="68"/>
      <c r="H219" s="167" t="s">
        <v>280</v>
      </c>
      <c r="I219" s="173">
        <v>21853.086195380012</v>
      </c>
      <c r="J219" s="168">
        <f>IFERROR(MIN('MP Calculations'!$E$30/I219,1),"-")</f>
        <v>0.32927792945511891</v>
      </c>
      <c r="K219" s="12"/>
      <c r="L219" s="159">
        <v>185.94413800000001</v>
      </c>
      <c r="M219" s="159" t="s">
        <v>293</v>
      </c>
      <c r="N219" s="159">
        <v>726</v>
      </c>
      <c r="O219" s="185">
        <f t="shared" si="15"/>
        <v>134995.44418799999</v>
      </c>
      <c r="P219" s="215">
        <f t="shared" si="17"/>
        <v>44451.020348098704</v>
      </c>
      <c r="Q219" s="215" cm="1">
        <f t="array" ref="Q219">IF(P219="-",0,P219/(1+'General inputs'!$H$32)^IFERROR(INDEX('MP Calculations'!$C$40:$C$130,MATCH(F219,'MP Calculations'!$D$40:$D$130,0),0),-1))</f>
        <v>101212.95710406781</v>
      </c>
      <c r="R219" s="207">
        <f t="shared" si="14"/>
        <v>2002</v>
      </c>
      <c r="S219" s="215">
        <f>IF(P219="-",0,P219/(1+'General inputs'!$H$32)^(R219-2023))</f>
        <v>105463.90130243867</v>
      </c>
    </row>
    <row r="220" spans="3:19">
      <c r="C220" s="159"/>
      <c r="D220" s="165" t="s">
        <v>284</v>
      </c>
      <c r="E220" s="161">
        <v>37594</v>
      </c>
      <c r="F220" s="172" t="str">
        <f t="shared" si="16"/>
        <v>2002-03</v>
      </c>
      <c r="G220" s="68"/>
      <c r="H220" s="167" t="s">
        <v>280</v>
      </c>
      <c r="I220" s="173">
        <v>21853.086195380012</v>
      </c>
      <c r="J220" s="168">
        <f>IFERROR(MIN('MP Calculations'!$E$30/I220,1),"-")</f>
        <v>0.32927792945511891</v>
      </c>
      <c r="K220" s="12"/>
      <c r="L220" s="159">
        <v>1.5000340000000001</v>
      </c>
      <c r="M220" s="159" t="s">
        <v>293</v>
      </c>
      <c r="N220" s="159">
        <v>726</v>
      </c>
      <c r="O220" s="185">
        <f t="shared" si="15"/>
        <v>1089.024684</v>
      </c>
      <c r="P220" s="215">
        <f t="shared" si="17"/>
        <v>358.59179307303515</v>
      </c>
      <c r="Q220" s="215" cm="1">
        <f t="array" ref="Q220">IF(P220="-",0,P220/(1+'General inputs'!$H$32)^IFERROR(INDEX('MP Calculations'!$C$40:$C$130,MATCH(F220,'MP Calculations'!$D$40:$D$130,0),0),-1))</f>
        <v>816.49724766608813</v>
      </c>
      <c r="R220" s="207">
        <f t="shared" si="14"/>
        <v>2002</v>
      </c>
      <c r="S220" s="215">
        <f>IF(P220="-",0,P220/(1+'General inputs'!$H$32)^(R220-2023))</f>
        <v>850.79013206806383</v>
      </c>
    </row>
    <row r="221" spans="3:19">
      <c r="C221" s="159"/>
      <c r="D221" s="165" t="s">
        <v>284</v>
      </c>
      <c r="E221" s="161">
        <v>37594</v>
      </c>
      <c r="F221" s="172" t="str">
        <f t="shared" si="16"/>
        <v>2002-03</v>
      </c>
      <c r="G221" s="68"/>
      <c r="H221" s="167" t="s">
        <v>280</v>
      </c>
      <c r="I221" s="173">
        <v>21853.086195380012</v>
      </c>
      <c r="J221" s="168">
        <f>IFERROR(MIN('MP Calculations'!$E$30/I221,1),"-")</f>
        <v>0.32927792945511891</v>
      </c>
      <c r="K221" s="12"/>
      <c r="L221" s="159">
        <v>0.35033199999999998</v>
      </c>
      <c r="M221" s="159" t="s">
        <v>293</v>
      </c>
      <c r="N221" s="159">
        <v>726</v>
      </c>
      <c r="O221" s="185">
        <f t="shared" si="15"/>
        <v>254.34103199999998</v>
      </c>
      <c r="P221" s="215">
        <f t="shared" si="17"/>
        <v>83.748888392438133</v>
      </c>
      <c r="Q221" s="215" cm="1">
        <f t="array" ref="Q221">IF(P221="-",0,P221/(1+'General inputs'!$H$32)^IFERROR(INDEX('MP Calculations'!$C$40:$C$130,MATCH(F221,'MP Calculations'!$D$40:$D$130,0),0),-1))</f>
        <v>190.69242015138053</v>
      </c>
      <c r="R221" s="207">
        <f t="shared" si="14"/>
        <v>2002</v>
      </c>
      <c r="S221" s="215">
        <f>IF(P221="-",0,P221/(1+'General inputs'!$H$32)^(R221-2023))</f>
        <v>198.70150179773853</v>
      </c>
    </row>
    <row r="222" spans="3:19">
      <c r="C222" s="159"/>
      <c r="D222" s="165" t="s">
        <v>284</v>
      </c>
      <c r="E222" s="161">
        <v>37594</v>
      </c>
      <c r="F222" s="172" t="str">
        <f t="shared" si="16"/>
        <v>2002-03</v>
      </c>
      <c r="G222" s="68"/>
      <c r="H222" s="167" t="s">
        <v>280</v>
      </c>
      <c r="I222" s="173">
        <v>21853.086195380012</v>
      </c>
      <c r="J222" s="168">
        <f>IFERROR(MIN('MP Calculations'!$E$30/I222,1),"-")</f>
        <v>0.32927792945511891</v>
      </c>
      <c r="K222" s="12"/>
      <c r="L222" s="159">
        <v>1.894943</v>
      </c>
      <c r="M222" s="159" t="s">
        <v>293</v>
      </c>
      <c r="N222" s="159">
        <v>726</v>
      </c>
      <c r="O222" s="185">
        <f t="shared" si="15"/>
        <v>1375.7286180000001</v>
      </c>
      <c r="P222" s="215">
        <f t="shared" si="17"/>
        <v>452.99707082719226</v>
      </c>
      <c r="Q222" s="215" cm="1">
        <f t="array" ref="Q222">IF(P222="-",0,P222/(1+'General inputs'!$H$32)^IFERROR(INDEX('MP Calculations'!$C$40:$C$130,MATCH(F222,'MP Calculations'!$D$40:$D$130,0),0),-1))</f>
        <v>1031.4537830369979</v>
      </c>
      <c r="R222" s="207">
        <f t="shared" si="14"/>
        <v>2002</v>
      </c>
      <c r="S222" s="215">
        <f>IF(P222="-",0,P222/(1+'General inputs'!$H$32)^(R222-2023))</f>
        <v>1074.7748419245518</v>
      </c>
    </row>
    <row r="223" spans="3:19">
      <c r="C223" s="159"/>
      <c r="D223" s="165" t="s">
        <v>284</v>
      </c>
      <c r="E223" s="161">
        <v>37594</v>
      </c>
      <c r="F223" s="172" t="str">
        <f t="shared" si="16"/>
        <v>2002-03</v>
      </c>
      <c r="G223" s="68"/>
      <c r="H223" s="167" t="s">
        <v>280</v>
      </c>
      <c r="I223" s="173">
        <v>21853.086195380012</v>
      </c>
      <c r="J223" s="168">
        <f>IFERROR(MIN('MP Calculations'!$E$30/I223,1),"-")</f>
        <v>0.32927792945511891</v>
      </c>
      <c r="K223" s="12"/>
      <c r="L223" s="159">
        <v>223.401792</v>
      </c>
      <c r="M223" s="159" t="s">
        <v>293</v>
      </c>
      <c r="N223" s="159">
        <v>726</v>
      </c>
      <c r="O223" s="185">
        <f t="shared" si="15"/>
        <v>162189.700992</v>
      </c>
      <c r="P223" s="215">
        <f t="shared" si="17"/>
        <v>53405.488921590608</v>
      </c>
      <c r="Q223" s="215" cm="1">
        <f t="array" ref="Q223">IF(P223="-",0,P223/(1+'General inputs'!$H$32)^IFERROR(INDEX('MP Calculations'!$C$40:$C$130,MATCH(F223,'MP Calculations'!$D$40:$D$130,0),0),-1))</f>
        <v>121601.87588526121</v>
      </c>
      <c r="R223" s="207">
        <f t="shared" si="14"/>
        <v>2002</v>
      </c>
      <c r="S223" s="215">
        <f>IF(P223="-",0,P223/(1+'General inputs'!$H$32)^(R223-2023))</f>
        <v>126709.15467244218</v>
      </c>
    </row>
    <row r="224" spans="3:19">
      <c r="C224" s="159"/>
      <c r="D224" s="165" t="s">
        <v>284</v>
      </c>
      <c r="E224" s="161">
        <v>37594</v>
      </c>
      <c r="F224" s="172" t="str">
        <f t="shared" si="16"/>
        <v>2002-03</v>
      </c>
      <c r="G224" s="68"/>
      <c r="H224" s="167" t="s">
        <v>280</v>
      </c>
      <c r="I224" s="173">
        <v>21853.086195380012</v>
      </c>
      <c r="J224" s="168">
        <f>IFERROR(MIN('MP Calculations'!$E$30/I224,1),"-")</f>
        <v>0.32927792945511891</v>
      </c>
      <c r="K224" s="12"/>
      <c r="L224" s="159">
        <v>145.281947</v>
      </c>
      <c r="M224" s="159" t="s">
        <v>293</v>
      </c>
      <c r="N224" s="159">
        <v>726</v>
      </c>
      <c r="O224" s="185">
        <f t="shared" si="15"/>
        <v>105474.693522</v>
      </c>
      <c r="P224" s="215">
        <f t="shared" si="17"/>
        <v>34730.488692837404</v>
      </c>
      <c r="Q224" s="215" cm="1">
        <f t="array" ref="Q224">IF(P224="-",0,P224/(1+'General inputs'!$H$32)^IFERROR(INDEX('MP Calculations'!$C$40:$C$130,MATCH(F224,'MP Calculations'!$D$40:$D$130,0),0),-1))</f>
        <v>79079.747433105178</v>
      </c>
      <c r="R224" s="207">
        <f t="shared" si="14"/>
        <v>2002</v>
      </c>
      <c r="S224" s="215">
        <f>IF(P224="-",0,P224/(1+'General inputs'!$H$32)^(R224-2023))</f>
        <v>82401.096825295594</v>
      </c>
    </row>
    <row r="225" spans="3:19">
      <c r="C225" s="159"/>
      <c r="D225" s="165" t="s">
        <v>282</v>
      </c>
      <c r="E225" s="161">
        <v>37638</v>
      </c>
      <c r="F225" s="172" t="str">
        <f t="shared" si="16"/>
        <v>2002-03</v>
      </c>
      <c r="G225" s="68"/>
      <c r="H225" s="167" t="s">
        <v>280</v>
      </c>
      <c r="I225" s="173">
        <v>21853.086195380012</v>
      </c>
      <c r="J225" s="168">
        <f>IFERROR(MIN('MP Calculations'!$E$30/I225,1),"-")</f>
        <v>0.32927792945511891</v>
      </c>
      <c r="K225" s="12"/>
      <c r="L225" s="159">
        <v>33.956840999999997</v>
      </c>
      <c r="M225" s="159" t="s">
        <v>293</v>
      </c>
      <c r="N225" s="159">
        <v>511</v>
      </c>
      <c r="O225" s="185">
        <f t="shared" si="15"/>
        <v>17351.945750999999</v>
      </c>
      <c r="P225" s="215">
        <f t="shared" si="17"/>
        <v>5713.612768906828</v>
      </c>
      <c r="Q225" s="215" cm="1">
        <f t="array" ref="Q225">IF(P225="-",0,P225/(1+'General inputs'!$H$32)^IFERROR(INDEX('MP Calculations'!$C$40:$C$130,MATCH(F225,'MP Calculations'!$D$40:$D$130,0),0),-1))</f>
        <v>13009.637114288562</v>
      </c>
      <c r="R225" s="207">
        <f t="shared" si="14"/>
        <v>2003</v>
      </c>
      <c r="S225" s="215">
        <f>IF(P225="-",0,P225/(1+'General inputs'!$H$32)^(R225-2023))</f>
        <v>13009.637114288562</v>
      </c>
    </row>
    <row r="226" spans="3:19">
      <c r="C226" s="159"/>
      <c r="D226" s="165" t="s">
        <v>282</v>
      </c>
      <c r="E226" s="161">
        <v>37638</v>
      </c>
      <c r="F226" s="172" t="str">
        <f t="shared" si="16"/>
        <v>2002-03</v>
      </c>
      <c r="G226" s="68"/>
      <c r="H226" s="167" t="s">
        <v>280</v>
      </c>
      <c r="I226" s="173">
        <v>21853.086195380012</v>
      </c>
      <c r="J226" s="168">
        <f>IFERROR(MIN('MP Calculations'!$E$30/I226,1),"-")</f>
        <v>0.32927792945511891</v>
      </c>
      <c r="K226" s="12"/>
      <c r="L226" s="159">
        <v>2.7975279999999998</v>
      </c>
      <c r="M226" s="159" t="s">
        <v>293</v>
      </c>
      <c r="N226" s="159">
        <v>511</v>
      </c>
      <c r="O226" s="185">
        <f t="shared" si="15"/>
        <v>1429.5368079999998</v>
      </c>
      <c r="P226" s="215">
        <f t="shared" si="17"/>
        <v>470.7149202181198</v>
      </c>
      <c r="Q226" s="215" cm="1">
        <f t="array" ref="Q226">IF(P226="-",0,P226/(1+'General inputs'!$H$32)^IFERROR(INDEX('MP Calculations'!$C$40:$C$130,MATCH(F226,'MP Calculations'!$D$40:$D$130,0),0),-1))</f>
        <v>1071.7965224462855</v>
      </c>
      <c r="R226" s="207">
        <f t="shared" si="14"/>
        <v>2003</v>
      </c>
      <c r="S226" s="215">
        <f>IF(P226="-",0,P226/(1+'General inputs'!$H$32)^(R226-2023))</f>
        <v>1071.7965224462855</v>
      </c>
    </row>
    <row r="227" spans="3:19">
      <c r="C227" s="159"/>
      <c r="D227" s="165" t="s">
        <v>284</v>
      </c>
      <c r="E227" s="161">
        <v>37740</v>
      </c>
      <c r="F227" s="172" t="str">
        <f t="shared" si="16"/>
        <v>2002-03</v>
      </c>
      <c r="G227" s="68"/>
      <c r="H227" s="167" t="s">
        <v>280</v>
      </c>
      <c r="I227" s="173">
        <v>21853.086195380012</v>
      </c>
      <c r="J227" s="168">
        <f>IFERROR(MIN('MP Calculations'!$E$30/I227,1),"-")</f>
        <v>0.32927792945511891</v>
      </c>
      <c r="K227" s="12"/>
      <c r="L227" s="159">
        <v>6.8942319999999997</v>
      </c>
      <c r="M227" s="159" t="s">
        <v>293</v>
      </c>
      <c r="N227" s="159">
        <v>726</v>
      </c>
      <c r="O227" s="185">
        <f t="shared" si="15"/>
        <v>5005.2124319999994</v>
      </c>
      <c r="P227" s="215">
        <f t="shared" si="17"/>
        <v>1648.10598609198</v>
      </c>
      <c r="Q227" s="215" cm="1">
        <f t="array" ref="Q227">IF(P227="-",0,P227/(1+'General inputs'!$H$32)^IFERROR(INDEX('MP Calculations'!$C$40:$C$130,MATCH(F227,'MP Calculations'!$D$40:$D$130,0),0),-1))</f>
        <v>3752.6625748292836</v>
      </c>
      <c r="R227" s="207">
        <f t="shared" si="14"/>
        <v>2003</v>
      </c>
      <c r="S227" s="215">
        <f>IF(P227="-",0,P227/(1+'General inputs'!$H$32)^(R227-2023))</f>
        <v>3752.6625748292836</v>
      </c>
    </row>
    <row r="228" spans="3:19">
      <c r="C228" s="159"/>
      <c r="D228" s="165" t="s">
        <v>283</v>
      </c>
      <c r="E228" s="161">
        <v>37766</v>
      </c>
      <c r="F228" s="172" t="str">
        <f t="shared" si="16"/>
        <v>2002-03</v>
      </c>
      <c r="G228" s="68"/>
      <c r="H228" s="167" t="s">
        <v>280</v>
      </c>
      <c r="I228" s="173">
        <v>21853.086195380012</v>
      </c>
      <c r="J228" s="168">
        <f>IFERROR(MIN('MP Calculations'!$E$30/I228,1),"-")</f>
        <v>0.32927792945511891</v>
      </c>
      <c r="K228" s="12"/>
      <c r="L228" s="159">
        <v>0.852132</v>
      </c>
      <c r="M228" s="159" t="s">
        <v>293</v>
      </c>
      <c r="N228" s="159">
        <v>350</v>
      </c>
      <c r="O228" s="185">
        <f t="shared" si="15"/>
        <v>298.24619999999999</v>
      </c>
      <c r="P228" s="215">
        <f t="shared" si="17"/>
        <v>98.205891203857277</v>
      </c>
      <c r="Q228" s="215" cm="1">
        <f t="array" ref="Q228">IF(P228="-",0,P228/(1+'General inputs'!$H$32)^IFERROR(INDEX('MP Calculations'!$C$40:$C$130,MATCH(F228,'MP Calculations'!$D$40:$D$130,0),0),-1))</f>
        <v>223.61035980601304</v>
      </c>
      <c r="R228" s="207">
        <f t="shared" si="14"/>
        <v>2003</v>
      </c>
      <c r="S228" s="215">
        <f>IF(P228="-",0,P228/(1+'General inputs'!$H$32)^(R228-2023))</f>
        <v>223.61035980601304</v>
      </c>
    </row>
    <row r="229" spans="3:19">
      <c r="C229" s="159"/>
      <c r="D229" s="165" t="s">
        <v>283</v>
      </c>
      <c r="E229" s="161">
        <v>37802</v>
      </c>
      <c r="F229" s="172" t="str">
        <f t="shared" si="16"/>
        <v>2002-03</v>
      </c>
      <c r="G229" s="68"/>
      <c r="H229" s="167" t="s">
        <v>280</v>
      </c>
      <c r="I229" s="173">
        <v>21853.086195380012</v>
      </c>
      <c r="J229" s="168">
        <f>IFERROR(MIN('MP Calculations'!$E$30/I229,1),"-")</f>
        <v>0.32927792945511891</v>
      </c>
      <c r="K229" s="12"/>
      <c r="L229" s="159">
        <v>59.747618000000003</v>
      </c>
      <c r="M229" s="159" t="s">
        <v>293</v>
      </c>
      <c r="N229" s="159">
        <v>350</v>
      </c>
      <c r="O229" s="185">
        <f t="shared" si="15"/>
        <v>20911.666300000001</v>
      </c>
      <c r="P229" s="215">
        <f t="shared" si="17"/>
        <v>6885.750180720388</v>
      </c>
      <c r="Q229" s="215" cm="1">
        <f t="array" ref="Q229">IF(P229="-",0,P229/(1+'General inputs'!$H$32)^IFERROR(INDEX('MP Calculations'!$C$40:$C$130,MATCH(F229,'MP Calculations'!$D$40:$D$130,0),0),-1))</f>
        <v>15678.540834673762</v>
      </c>
      <c r="R229" s="207">
        <f t="shared" si="14"/>
        <v>2003</v>
      </c>
      <c r="S229" s="215">
        <f>IF(P229="-",0,P229/(1+'General inputs'!$H$32)^(R229-2023))</f>
        <v>15678.540834673762</v>
      </c>
    </row>
    <row r="230" spans="3:19">
      <c r="C230" s="159"/>
      <c r="D230" s="165" t="s">
        <v>283</v>
      </c>
      <c r="E230" s="161">
        <v>37802</v>
      </c>
      <c r="F230" s="172" t="str">
        <f t="shared" si="16"/>
        <v>2002-03</v>
      </c>
      <c r="G230" s="68"/>
      <c r="H230" s="167" t="s">
        <v>280</v>
      </c>
      <c r="I230" s="173">
        <v>21853.086195380012</v>
      </c>
      <c r="J230" s="168">
        <f>IFERROR(MIN('MP Calculations'!$E$30/I230,1),"-")</f>
        <v>0.32927792945511891</v>
      </c>
      <c r="K230" s="12"/>
      <c r="L230" s="159">
        <v>8.871791</v>
      </c>
      <c r="M230" s="159" t="s">
        <v>293</v>
      </c>
      <c r="N230" s="159">
        <v>350</v>
      </c>
      <c r="O230" s="185">
        <f t="shared" si="15"/>
        <v>3105.1268500000001</v>
      </c>
      <c r="P230" s="215">
        <f t="shared" si="17"/>
        <v>1022.4497398634957</v>
      </c>
      <c r="Q230" s="215" cm="1">
        <f t="array" ref="Q230">IF(P230="-",0,P230/(1+'General inputs'!$H$32)^IFERROR(INDEX('MP Calculations'!$C$40:$C$130,MATCH(F230,'MP Calculations'!$D$40:$D$130,0),0),-1))</f>
        <v>2328.0716809528903</v>
      </c>
      <c r="R230" s="207">
        <f t="shared" si="14"/>
        <v>2003</v>
      </c>
      <c r="S230" s="215">
        <f>IF(P230="-",0,P230/(1+'General inputs'!$H$32)^(R230-2023))</f>
        <v>2328.0716809528903</v>
      </c>
    </row>
    <row r="231" spans="3:19">
      <c r="C231" s="159"/>
      <c r="D231" s="165" t="s">
        <v>283</v>
      </c>
      <c r="E231" s="161">
        <v>37802</v>
      </c>
      <c r="F231" s="172" t="str">
        <f t="shared" si="16"/>
        <v>2002-03</v>
      </c>
      <c r="G231" s="68"/>
      <c r="H231" s="167" t="s">
        <v>280</v>
      </c>
      <c r="I231" s="173">
        <v>21853.086195380012</v>
      </c>
      <c r="J231" s="168">
        <f>IFERROR(MIN('MP Calculations'!$E$30/I231,1),"-")</f>
        <v>0.32927792945511891</v>
      </c>
      <c r="K231" s="12"/>
      <c r="L231" s="159">
        <v>0.87912000000000001</v>
      </c>
      <c r="M231" s="159" t="s">
        <v>293</v>
      </c>
      <c r="N231" s="159">
        <v>350</v>
      </c>
      <c r="O231" s="185">
        <f t="shared" si="15"/>
        <v>307.69200000000001</v>
      </c>
      <c r="P231" s="215">
        <f t="shared" si="17"/>
        <v>101.31618466990444</v>
      </c>
      <c r="Q231" s="215" cm="1">
        <f t="array" ref="Q231">IF(P231="-",0,P231/(1+'General inputs'!$H$32)^IFERROR(INDEX('MP Calculations'!$C$40:$C$130,MATCH(F231,'MP Calculations'!$D$40:$D$130,0),0),-1))</f>
        <v>230.69235695016991</v>
      </c>
      <c r="R231" s="207">
        <f t="shared" si="14"/>
        <v>2003</v>
      </c>
      <c r="S231" s="215">
        <f>IF(P231="-",0,P231/(1+'General inputs'!$H$32)^(R231-2023))</f>
        <v>230.69235695016991</v>
      </c>
    </row>
    <row r="232" spans="3:19">
      <c r="C232" s="159"/>
      <c r="D232" s="165" t="s">
        <v>283</v>
      </c>
      <c r="E232" s="161">
        <v>37802</v>
      </c>
      <c r="F232" s="172" t="str">
        <f t="shared" si="16"/>
        <v>2002-03</v>
      </c>
      <c r="G232" s="68"/>
      <c r="H232" s="167" t="s">
        <v>280</v>
      </c>
      <c r="I232" s="173">
        <v>21853.086195380012</v>
      </c>
      <c r="J232" s="168">
        <f>IFERROR(MIN('MP Calculations'!$E$30/I232,1),"-")</f>
        <v>0.32927792945511891</v>
      </c>
      <c r="K232" s="12"/>
      <c r="L232" s="159">
        <v>3.3121649999999998</v>
      </c>
      <c r="M232" s="159" t="s">
        <v>293</v>
      </c>
      <c r="N232" s="159">
        <v>350</v>
      </c>
      <c r="O232" s="185">
        <f t="shared" si="15"/>
        <v>1159.25775</v>
      </c>
      <c r="P232" s="215">
        <f t="shared" si="17"/>
        <v>381.71799162479988</v>
      </c>
      <c r="Q232" s="215" cm="1">
        <f t="array" ref="Q232">IF(P232="-",0,P232/(1+'General inputs'!$H$32)^IFERROR(INDEX('MP Calculations'!$C$40:$C$130,MATCH(F232,'MP Calculations'!$D$40:$D$130,0),0),-1))</f>
        <v>869.15455280036804</v>
      </c>
      <c r="R232" s="207">
        <f t="shared" si="14"/>
        <v>2003</v>
      </c>
      <c r="S232" s="215">
        <f>IF(P232="-",0,P232/(1+'General inputs'!$H$32)^(R232-2023))</f>
        <v>869.15455280036804</v>
      </c>
    </row>
    <row r="233" spans="3:19">
      <c r="C233" s="159"/>
      <c r="D233" s="165" t="s">
        <v>283</v>
      </c>
      <c r="E233" s="161">
        <v>37802</v>
      </c>
      <c r="F233" s="172" t="str">
        <f t="shared" si="16"/>
        <v>2002-03</v>
      </c>
      <c r="G233" s="68"/>
      <c r="H233" s="167" t="s">
        <v>280</v>
      </c>
      <c r="I233" s="173">
        <v>21853.086195380012</v>
      </c>
      <c r="J233" s="168">
        <f>IFERROR(MIN('MP Calculations'!$E$30/I233,1),"-")</f>
        <v>0.32927792945511891</v>
      </c>
      <c r="K233" s="12"/>
      <c r="L233" s="159">
        <v>58.050730000000001</v>
      </c>
      <c r="M233" s="159" t="s">
        <v>293</v>
      </c>
      <c r="N233" s="159">
        <v>350</v>
      </c>
      <c r="O233" s="185">
        <f t="shared" si="15"/>
        <v>20317.755499999999</v>
      </c>
      <c r="P233" s="215">
        <f t="shared" si="17"/>
        <v>6690.1884622153539</v>
      </c>
      <c r="Q233" s="215" cm="1">
        <f t="array" ref="Q233">IF(P233="-",0,P233/(1+'General inputs'!$H$32)^IFERROR(INDEX('MP Calculations'!$C$40:$C$130,MATCH(F233,'MP Calculations'!$D$40:$D$130,0),0),-1))</f>
        <v>15233.255672010575</v>
      </c>
      <c r="R233" s="207">
        <f t="shared" si="14"/>
        <v>2003</v>
      </c>
      <c r="S233" s="215">
        <f>IF(P233="-",0,P233/(1+'General inputs'!$H$32)^(R233-2023))</f>
        <v>15233.255672010575</v>
      </c>
    </row>
    <row r="234" spans="3:19">
      <c r="C234" s="159"/>
      <c r="D234" s="165" t="s">
        <v>304</v>
      </c>
      <c r="E234" s="161">
        <v>38162</v>
      </c>
      <c r="F234" s="172" t="str">
        <f t="shared" si="16"/>
        <v>2003-04</v>
      </c>
      <c r="G234" s="68"/>
      <c r="H234" s="167" t="s">
        <v>280</v>
      </c>
      <c r="I234" s="173">
        <v>21853.086195380012</v>
      </c>
      <c r="J234" s="168">
        <f>IFERROR(MIN('MP Calculations'!$E$30/I234,1),"-")</f>
        <v>0.32927792945511891</v>
      </c>
      <c r="K234" s="12"/>
      <c r="L234" s="159">
        <v>1</v>
      </c>
      <c r="M234" s="159" t="s">
        <v>294</v>
      </c>
      <c r="N234" s="159">
        <v>44952.08</v>
      </c>
      <c r="O234" s="185">
        <f t="shared" si="15"/>
        <v>44952.08</v>
      </c>
      <c r="P234" s="215">
        <f t="shared" si="17"/>
        <v>14801.727827100862</v>
      </c>
      <c r="Q234" s="215" cm="1">
        <f t="array" ref="Q234">IF(P234="-",0,P234/(1+'General inputs'!$H$32)^IFERROR(INDEX('MP Calculations'!$C$40:$C$130,MATCH(F234,'MP Calculations'!$D$40:$D$130,0),0),-1))</f>
        <v>32344.398156577547</v>
      </c>
      <c r="R234" s="207">
        <f t="shared" ref="R234:R297" si="18">YEAR(E234)</f>
        <v>2004</v>
      </c>
      <c r="S234" s="215">
        <f>IF(P234="-",0,P234/(1+'General inputs'!$H$32)^(R234-2023))</f>
        <v>32344.398156577547</v>
      </c>
    </row>
    <row r="235" spans="3:19">
      <c r="C235" s="159"/>
      <c r="D235" s="165" t="s">
        <v>283</v>
      </c>
      <c r="E235" s="161">
        <v>38211</v>
      </c>
      <c r="F235" s="172" t="str">
        <f t="shared" si="16"/>
        <v>2004-05</v>
      </c>
      <c r="G235" s="68"/>
      <c r="H235" s="167" t="s">
        <v>280</v>
      </c>
      <c r="I235" s="173">
        <v>21853.086195380012</v>
      </c>
      <c r="J235" s="168">
        <f>IFERROR(MIN('MP Calculations'!$E$30/I235,1),"-")</f>
        <v>0.32927792945511891</v>
      </c>
      <c r="K235" s="12"/>
      <c r="L235" s="159">
        <v>9.1006509999999992</v>
      </c>
      <c r="M235" s="159" t="s">
        <v>293</v>
      </c>
      <c r="N235" s="159">
        <v>350</v>
      </c>
      <c r="O235" s="185">
        <f t="shared" si="15"/>
        <v>3185.2278499999998</v>
      </c>
      <c r="P235" s="215">
        <f t="shared" si="17"/>
        <v>1048.82523129078</v>
      </c>
      <c r="Q235" s="215" cm="1">
        <f t="array" ref="Q235">IF(P235="-",0,P235/(1+'General inputs'!$H$32)^IFERROR(INDEX('MP Calculations'!$C$40:$C$130,MATCH(F235,'MP Calculations'!$D$40:$D$130,0),0),-1))</f>
        <v>2199.4903851867443</v>
      </c>
      <c r="R235" s="207">
        <f t="shared" si="18"/>
        <v>2004</v>
      </c>
      <c r="S235" s="215">
        <f>IF(P235="-",0,P235/(1+'General inputs'!$H$32)^(R235-2023))</f>
        <v>2291.8689813645879</v>
      </c>
    </row>
    <row r="236" spans="3:19">
      <c r="C236" s="159"/>
      <c r="D236" s="165" t="s">
        <v>283</v>
      </c>
      <c r="E236" s="161">
        <v>38211</v>
      </c>
      <c r="F236" s="172" t="str">
        <f t="shared" si="16"/>
        <v>2004-05</v>
      </c>
      <c r="G236" s="68"/>
      <c r="H236" s="167" t="s">
        <v>280</v>
      </c>
      <c r="I236" s="173">
        <v>21853.086195380012</v>
      </c>
      <c r="J236" s="168">
        <f>IFERROR(MIN('MP Calculations'!$E$30/I236,1),"-")</f>
        <v>0.32927792945511891</v>
      </c>
      <c r="K236" s="12"/>
      <c r="L236" s="159">
        <v>2.8275049999999999</v>
      </c>
      <c r="M236" s="159" t="s">
        <v>293</v>
      </c>
      <c r="N236" s="159">
        <v>350</v>
      </c>
      <c r="O236" s="185">
        <f t="shared" si="15"/>
        <v>989.62675000000002</v>
      </c>
      <c r="P236" s="215">
        <f t="shared" si="17"/>
        <v>325.8622471733986</v>
      </c>
      <c r="Q236" s="215" cm="1">
        <f t="array" ref="Q236">IF(P236="-",0,P236/(1+'General inputs'!$H$32)^IFERROR(INDEX('MP Calculations'!$C$40:$C$130,MATCH(F236,'MP Calculations'!$D$40:$D$130,0),0),-1))</f>
        <v>683.3654055701561</v>
      </c>
      <c r="R236" s="207">
        <f t="shared" si="18"/>
        <v>2004</v>
      </c>
      <c r="S236" s="215">
        <f>IF(P236="-",0,P236/(1+'General inputs'!$H$32)^(R236-2023))</f>
        <v>712.06675260410259</v>
      </c>
    </row>
    <row r="237" spans="3:19">
      <c r="C237" s="159"/>
      <c r="D237" s="165" t="s">
        <v>283</v>
      </c>
      <c r="E237" s="161">
        <v>38211</v>
      </c>
      <c r="F237" s="172" t="str">
        <f t="shared" si="16"/>
        <v>2004-05</v>
      </c>
      <c r="G237" s="68"/>
      <c r="H237" s="167" t="s">
        <v>280</v>
      </c>
      <c r="I237" s="173">
        <v>21853.086195380012</v>
      </c>
      <c r="J237" s="168">
        <f>IFERROR(MIN('MP Calculations'!$E$30/I237,1),"-")</f>
        <v>0.32927792945511891</v>
      </c>
      <c r="K237" s="12"/>
      <c r="L237" s="159">
        <v>3.5240629999999999</v>
      </c>
      <c r="M237" s="159" t="s">
        <v>293</v>
      </c>
      <c r="N237" s="159">
        <v>350</v>
      </c>
      <c r="O237" s="185">
        <f t="shared" si="15"/>
        <v>1233.4220499999999</v>
      </c>
      <c r="P237" s="215">
        <f t="shared" si="17"/>
        <v>406.13865876828811</v>
      </c>
      <c r="Q237" s="215" cm="1">
        <f t="array" ref="Q237">IF(P237="-",0,P237/(1+'General inputs'!$H$32)^IFERROR(INDEX('MP Calculations'!$C$40:$C$130,MATCH(F237,'MP Calculations'!$D$40:$D$130,0),0),-1))</f>
        <v>851.71299122363371</v>
      </c>
      <c r="R237" s="207">
        <f t="shared" si="18"/>
        <v>2004</v>
      </c>
      <c r="S237" s="215">
        <f>IF(P237="-",0,P237/(1+'General inputs'!$H$32)^(R237-2023))</f>
        <v>887.48493685502638</v>
      </c>
    </row>
    <row r="238" spans="3:19">
      <c r="C238" s="159"/>
      <c r="D238" s="165" t="s">
        <v>282</v>
      </c>
      <c r="E238" s="161">
        <v>38272</v>
      </c>
      <c r="F238" s="172" t="str">
        <f t="shared" si="16"/>
        <v>2004-05</v>
      </c>
      <c r="G238" s="68"/>
      <c r="H238" s="167" t="s">
        <v>280</v>
      </c>
      <c r="I238" s="173">
        <v>21853.086195380012</v>
      </c>
      <c r="J238" s="168">
        <f>IFERROR(MIN('MP Calculations'!$E$30/I238,1),"-")</f>
        <v>0.32927792945511891</v>
      </c>
      <c r="K238" s="12"/>
      <c r="L238" s="159">
        <v>1.879434</v>
      </c>
      <c r="M238" s="159" t="s">
        <v>293</v>
      </c>
      <c r="N238" s="159">
        <v>511</v>
      </c>
      <c r="O238" s="185">
        <f t="shared" si="15"/>
        <v>960.39077400000008</v>
      </c>
      <c r="P238" s="215">
        <f t="shared" si="17"/>
        <v>316.2354855305191</v>
      </c>
      <c r="Q238" s="215" cm="1">
        <f t="array" ref="Q238">IF(P238="-",0,P238/(1+'General inputs'!$H$32)^IFERROR(INDEX('MP Calculations'!$C$40:$C$130,MATCH(F238,'MP Calculations'!$D$40:$D$130,0),0),-1))</f>
        <v>663.17713297497892</v>
      </c>
      <c r="R238" s="207">
        <f t="shared" si="18"/>
        <v>2004</v>
      </c>
      <c r="S238" s="215">
        <f>IF(P238="-",0,P238/(1+'General inputs'!$H$32)^(R238-2023))</f>
        <v>691.03057255992803</v>
      </c>
    </row>
    <row r="239" spans="3:19">
      <c r="C239" s="159"/>
      <c r="D239" s="165" t="s">
        <v>282</v>
      </c>
      <c r="E239" s="161">
        <v>38272</v>
      </c>
      <c r="F239" s="172" t="str">
        <f t="shared" si="16"/>
        <v>2004-05</v>
      </c>
      <c r="G239" s="68"/>
      <c r="H239" s="167" t="s">
        <v>280</v>
      </c>
      <c r="I239" s="173">
        <v>21853.086195380012</v>
      </c>
      <c r="J239" s="168">
        <f>IFERROR(MIN('MP Calculations'!$E$30/I239,1),"-")</f>
        <v>0.32927792945511891</v>
      </c>
      <c r="K239" s="12"/>
      <c r="L239" s="159">
        <v>3.0408110000000002</v>
      </c>
      <c r="M239" s="159" t="s">
        <v>293</v>
      </c>
      <c r="N239" s="159">
        <v>511</v>
      </c>
      <c r="O239" s="185">
        <f t="shared" si="15"/>
        <v>1553.854421</v>
      </c>
      <c r="P239" s="215">
        <f t="shared" si="17"/>
        <v>511.64996642156262</v>
      </c>
      <c r="Q239" s="215" cm="1">
        <f t="array" ref="Q239">IF(P239="-",0,P239/(1+'General inputs'!$H$32)^IFERROR(INDEX('MP Calculations'!$C$40:$C$130,MATCH(F239,'MP Calculations'!$D$40:$D$130,0),0),-1))</f>
        <v>1072.9806531640793</v>
      </c>
      <c r="R239" s="207">
        <f t="shared" si="18"/>
        <v>2004</v>
      </c>
      <c r="S239" s="215">
        <f>IF(P239="-",0,P239/(1+'General inputs'!$H$32)^(R239-2023))</f>
        <v>1118.0458405969705</v>
      </c>
    </row>
    <row r="240" spans="3:19">
      <c r="C240" s="159"/>
      <c r="D240" s="165" t="s">
        <v>282</v>
      </c>
      <c r="E240" s="161">
        <v>38272</v>
      </c>
      <c r="F240" s="172" t="str">
        <f t="shared" si="16"/>
        <v>2004-05</v>
      </c>
      <c r="G240" s="68"/>
      <c r="H240" s="167" t="s">
        <v>280</v>
      </c>
      <c r="I240" s="173">
        <v>21853.086195380012</v>
      </c>
      <c r="J240" s="168">
        <f>IFERROR(MIN('MP Calculations'!$E$30/I240,1),"-")</f>
        <v>0.32927792945511891</v>
      </c>
      <c r="K240" s="12"/>
      <c r="L240" s="159">
        <v>53.05424</v>
      </c>
      <c r="M240" s="159" t="s">
        <v>293</v>
      </c>
      <c r="N240" s="159">
        <v>511</v>
      </c>
      <c r="O240" s="185">
        <f t="shared" si="15"/>
        <v>27110.716639999999</v>
      </c>
      <c r="P240" s="215">
        <f t="shared" si="17"/>
        <v>8926.9606412636385</v>
      </c>
      <c r="Q240" s="215" cm="1">
        <f t="array" ref="Q240">IF(P240="-",0,P240/(1+'General inputs'!$H$32)^IFERROR(INDEX('MP Calculations'!$C$40:$C$130,MATCH(F240,'MP Calculations'!$D$40:$D$130,0),0),-1))</f>
        <v>18720.720586818392</v>
      </c>
      <c r="R240" s="207">
        <f t="shared" si="18"/>
        <v>2004</v>
      </c>
      <c r="S240" s="215">
        <f>IF(P240="-",0,P240/(1+'General inputs'!$H$32)^(R240-2023))</f>
        <v>19506.990851464765</v>
      </c>
    </row>
    <row r="241" spans="3:19">
      <c r="C241" s="159"/>
      <c r="D241" s="165" t="s">
        <v>282</v>
      </c>
      <c r="E241" s="161">
        <v>38420</v>
      </c>
      <c r="F241" s="172" t="str">
        <f t="shared" si="16"/>
        <v>2004-05</v>
      </c>
      <c r="G241" s="68"/>
      <c r="H241" s="167" t="s">
        <v>280</v>
      </c>
      <c r="I241" s="173">
        <v>21853.086195380012</v>
      </c>
      <c r="J241" s="168">
        <f>IFERROR(MIN('MP Calculations'!$E$30/I241,1),"-")</f>
        <v>0.32927792945511891</v>
      </c>
      <c r="K241" s="12"/>
      <c r="L241" s="159">
        <v>7.5546069999999999</v>
      </c>
      <c r="M241" s="159" t="s">
        <v>293</v>
      </c>
      <c r="N241" s="159">
        <v>511</v>
      </c>
      <c r="O241" s="185">
        <f t="shared" si="15"/>
        <v>3860.4041769999999</v>
      </c>
      <c r="P241" s="215">
        <f t="shared" si="17"/>
        <v>1271.1458942624524</v>
      </c>
      <c r="Q241" s="215" cm="1">
        <f t="array" ref="Q241">IF(P241="-",0,P241/(1+'General inputs'!$H$32)^IFERROR(INDEX('MP Calculations'!$C$40:$C$130,MATCH(F241,'MP Calculations'!$D$40:$D$130,0),0),-1))</f>
        <v>2665.7188339748591</v>
      </c>
      <c r="R241" s="207">
        <f t="shared" si="18"/>
        <v>2005</v>
      </c>
      <c r="S241" s="215">
        <f>IF(P241="-",0,P241/(1+'General inputs'!$H$32)^(R241-2023))</f>
        <v>2665.7188339748591</v>
      </c>
    </row>
    <row r="242" spans="3:19">
      <c r="C242" s="159"/>
      <c r="D242" s="165" t="s">
        <v>282</v>
      </c>
      <c r="E242" s="161">
        <v>38420</v>
      </c>
      <c r="F242" s="172" t="str">
        <f t="shared" si="16"/>
        <v>2004-05</v>
      </c>
      <c r="G242" s="68"/>
      <c r="H242" s="167" t="s">
        <v>280</v>
      </c>
      <c r="I242" s="173">
        <v>21853.086195380012</v>
      </c>
      <c r="J242" s="168">
        <f>IFERROR(MIN('MP Calculations'!$E$30/I242,1),"-")</f>
        <v>0.32927792945511891</v>
      </c>
      <c r="K242" s="12"/>
      <c r="L242" s="159">
        <v>12.986333999999999</v>
      </c>
      <c r="M242" s="159" t="s">
        <v>293</v>
      </c>
      <c r="N242" s="159">
        <v>511</v>
      </c>
      <c r="O242" s="185">
        <f t="shared" si="15"/>
        <v>6636.0166739999995</v>
      </c>
      <c r="P242" s="215">
        <f t="shared" si="17"/>
        <v>2185.0938302443647</v>
      </c>
      <c r="Q242" s="215" cm="1">
        <f t="array" ref="Q242">IF(P242="-",0,P242/(1+'General inputs'!$H$32)^IFERROR(INDEX('MP Calculations'!$C$40:$C$130,MATCH(F242,'MP Calculations'!$D$40:$D$130,0),0),-1))</f>
        <v>4582.3581727134269</v>
      </c>
      <c r="R242" s="207">
        <f t="shared" si="18"/>
        <v>2005</v>
      </c>
      <c r="S242" s="215">
        <f>IF(P242="-",0,P242/(1+'General inputs'!$H$32)^(R242-2023))</f>
        <v>4582.3581727134269</v>
      </c>
    </row>
    <row r="243" spans="3:19">
      <c r="C243" s="159"/>
      <c r="D243" s="165" t="s">
        <v>283</v>
      </c>
      <c r="E243" s="161">
        <v>38420</v>
      </c>
      <c r="F243" s="172" t="str">
        <f t="shared" si="16"/>
        <v>2004-05</v>
      </c>
      <c r="G243" s="68"/>
      <c r="H243" s="167" t="s">
        <v>280</v>
      </c>
      <c r="I243" s="173">
        <v>21853.086195380012</v>
      </c>
      <c r="J243" s="168">
        <f>IFERROR(MIN('MP Calculations'!$E$30/I243,1),"-")</f>
        <v>0.32927792945511891</v>
      </c>
      <c r="K243" s="12"/>
      <c r="L243" s="159">
        <v>39.991162000000003</v>
      </c>
      <c r="M243" s="159" t="s">
        <v>293</v>
      </c>
      <c r="N243" s="159">
        <v>350</v>
      </c>
      <c r="O243" s="185">
        <f t="shared" si="15"/>
        <v>13996.906700000001</v>
      </c>
      <c r="P243" s="215">
        <f t="shared" si="17"/>
        <v>4608.872456952482</v>
      </c>
      <c r="Q243" s="215" cm="1">
        <f t="array" ref="Q243">IF(P243="-",0,P243/(1+'General inputs'!$H$32)^IFERROR(INDEX('MP Calculations'!$C$40:$C$130,MATCH(F243,'MP Calculations'!$D$40:$D$130,0),0),-1))</f>
        <v>9665.2620028441397</v>
      </c>
      <c r="R243" s="207">
        <f t="shared" si="18"/>
        <v>2005</v>
      </c>
      <c r="S243" s="215">
        <f>IF(P243="-",0,P243/(1+'General inputs'!$H$32)^(R243-2023))</f>
        <v>9665.2620028441397</v>
      </c>
    </row>
    <row r="244" spans="3:19">
      <c r="C244" s="159"/>
      <c r="D244" s="165" t="s">
        <v>282</v>
      </c>
      <c r="E244" s="161">
        <v>38420</v>
      </c>
      <c r="F244" s="172" t="str">
        <f t="shared" si="16"/>
        <v>2004-05</v>
      </c>
      <c r="G244" s="68"/>
      <c r="H244" s="167" t="s">
        <v>280</v>
      </c>
      <c r="I244" s="173">
        <v>21853.086195380012</v>
      </c>
      <c r="J244" s="168">
        <f>IFERROR(MIN('MP Calculations'!$E$30/I244,1),"-")</f>
        <v>0.32927792945511891</v>
      </c>
      <c r="K244" s="12"/>
      <c r="L244" s="159">
        <v>0.49980799999999997</v>
      </c>
      <c r="M244" s="159" t="s">
        <v>293</v>
      </c>
      <c r="N244" s="159">
        <v>511</v>
      </c>
      <c r="O244" s="185">
        <f t="shared" si="15"/>
        <v>255.40188799999999</v>
      </c>
      <c r="P244" s="215">
        <f t="shared" si="17"/>
        <v>84.09820485956817</v>
      </c>
      <c r="Q244" s="215" cm="1">
        <f t="array" ref="Q244">IF(P244="-",0,P244/(1+'General inputs'!$H$32)^IFERROR(INDEX('MP Calculations'!$C$40:$C$130,MATCH(F244,'MP Calculations'!$D$40:$D$130,0),0),-1))</f>
        <v>176.36226463816135</v>
      </c>
      <c r="R244" s="207">
        <f t="shared" si="18"/>
        <v>2005</v>
      </c>
      <c r="S244" s="215">
        <f>IF(P244="-",0,P244/(1+'General inputs'!$H$32)^(R244-2023))</f>
        <v>176.36226463816135</v>
      </c>
    </row>
    <row r="245" spans="3:19">
      <c r="C245" s="159"/>
      <c r="D245" s="165" t="s">
        <v>282</v>
      </c>
      <c r="E245" s="161">
        <v>38420</v>
      </c>
      <c r="F245" s="172" t="str">
        <f t="shared" si="16"/>
        <v>2004-05</v>
      </c>
      <c r="G245" s="68"/>
      <c r="H245" s="167" t="s">
        <v>280</v>
      </c>
      <c r="I245" s="173">
        <v>21853.086195380012</v>
      </c>
      <c r="J245" s="168">
        <f>IFERROR(MIN('MP Calculations'!$E$30/I245,1),"-")</f>
        <v>0.32927792945511891</v>
      </c>
      <c r="K245" s="12"/>
      <c r="L245" s="159">
        <v>0.45343600000000001</v>
      </c>
      <c r="M245" s="159" t="s">
        <v>293</v>
      </c>
      <c r="N245" s="159">
        <v>511</v>
      </c>
      <c r="O245" s="185">
        <f t="shared" si="15"/>
        <v>231.70579599999999</v>
      </c>
      <c r="P245" s="215">
        <f t="shared" si="17"/>
        <v>76.295604749630172</v>
      </c>
      <c r="Q245" s="215" cm="1">
        <f t="array" ref="Q245">IF(P245="-",0,P245/(1+'General inputs'!$H$32)^IFERROR(INDEX('MP Calculations'!$C$40:$C$130,MATCH(F245,'MP Calculations'!$D$40:$D$130,0),0),-1))</f>
        <v>159.9994394416843</v>
      </c>
      <c r="R245" s="207">
        <f t="shared" si="18"/>
        <v>2005</v>
      </c>
      <c r="S245" s="215">
        <f>IF(P245="-",0,P245/(1+'General inputs'!$H$32)^(R245-2023))</f>
        <v>159.9994394416843</v>
      </c>
    </row>
    <row r="246" spans="3:19">
      <c r="C246" s="159"/>
      <c r="D246" s="165" t="s">
        <v>282</v>
      </c>
      <c r="E246" s="161">
        <v>38420</v>
      </c>
      <c r="F246" s="172" t="str">
        <f t="shared" si="16"/>
        <v>2004-05</v>
      </c>
      <c r="G246" s="68"/>
      <c r="H246" s="167" t="s">
        <v>280</v>
      </c>
      <c r="I246" s="173">
        <v>21853.086195380012</v>
      </c>
      <c r="J246" s="168">
        <f>IFERROR(MIN('MP Calculations'!$E$30/I246,1),"-")</f>
        <v>0.32927792945511891</v>
      </c>
      <c r="K246" s="12"/>
      <c r="L246" s="159">
        <v>1.2109160000000001</v>
      </c>
      <c r="M246" s="159" t="s">
        <v>293</v>
      </c>
      <c r="N246" s="159">
        <v>511</v>
      </c>
      <c r="O246" s="185">
        <f t="shared" si="15"/>
        <v>618.77807600000006</v>
      </c>
      <c r="P246" s="215">
        <f t="shared" si="17"/>
        <v>203.74996365750224</v>
      </c>
      <c r="Q246" s="215" cm="1">
        <f t="array" ref="Q246">IF(P246="-",0,P246/(1+'General inputs'!$H$32)^IFERROR(INDEX('MP Calculations'!$C$40:$C$130,MATCH(F246,'MP Calculations'!$D$40:$D$130,0),0),-1))</f>
        <v>427.28385309275529</v>
      </c>
      <c r="R246" s="207">
        <f t="shared" si="18"/>
        <v>2005</v>
      </c>
      <c r="S246" s="215">
        <f>IF(P246="-",0,P246/(1+'General inputs'!$H$32)^(R246-2023))</f>
        <v>427.28385309275529</v>
      </c>
    </row>
    <row r="247" spans="3:19">
      <c r="C247" s="159"/>
      <c r="D247" s="165" t="s">
        <v>282</v>
      </c>
      <c r="E247" s="161">
        <v>38420</v>
      </c>
      <c r="F247" s="172" t="str">
        <f t="shared" si="16"/>
        <v>2004-05</v>
      </c>
      <c r="G247" s="68"/>
      <c r="H247" s="167" t="s">
        <v>280</v>
      </c>
      <c r="I247" s="173">
        <v>21853.086195380012</v>
      </c>
      <c r="J247" s="168">
        <f>IFERROR(MIN('MP Calculations'!$E$30/I247,1),"-")</f>
        <v>0.32927792945511891</v>
      </c>
      <c r="K247" s="12"/>
      <c r="L247" s="159">
        <v>44.358068000000003</v>
      </c>
      <c r="M247" s="159" t="s">
        <v>293</v>
      </c>
      <c r="N247" s="159">
        <v>511</v>
      </c>
      <c r="O247" s="185">
        <f t="shared" si="15"/>
        <v>22666.972748</v>
      </c>
      <c r="P247" s="215">
        <f t="shared" si="17"/>
        <v>7463.733853477047</v>
      </c>
      <c r="Q247" s="215" cm="1">
        <f t="array" ref="Q247">IF(P247="-",0,P247/(1+'General inputs'!$H$32)^IFERROR(INDEX('MP Calculations'!$C$40:$C$130,MATCH(F247,'MP Calculations'!$D$40:$D$130,0),0),-1))</f>
        <v>15652.189095519796</v>
      </c>
      <c r="R247" s="207">
        <f t="shared" si="18"/>
        <v>2005</v>
      </c>
      <c r="S247" s="215">
        <f>IF(P247="-",0,P247/(1+'General inputs'!$H$32)^(R247-2023))</f>
        <v>15652.189095519796</v>
      </c>
    </row>
    <row r="248" spans="3:19">
      <c r="C248" s="159"/>
      <c r="D248" s="165" t="s">
        <v>283</v>
      </c>
      <c r="E248" s="161">
        <v>38420</v>
      </c>
      <c r="F248" s="172" t="str">
        <f t="shared" si="16"/>
        <v>2004-05</v>
      </c>
      <c r="G248" s="68"/>
      <c r="H248" s="167" t="s">
        <v>280</v>
      </c>
      <c r="I248" s="173">
        <v>21853.086195380012</v>
      </c>
      <c r="J248" s="168">
        <f>IFERROR(MIN('MP Calculations'!$E$30/I248,1),"-")</f>
        <v>0.32927792945511891</v>
      </c>
      <c r="K248" s="12"/>
      <c r="L248" s="159">
        <v>4.1989130000000001</v>
      </c>
      <c r="M248" s="159" t="s">
        <v>293</v>
      </c>
      <c r="N248" s="159">
        <v>350</v>
      </c>
      <c r="O248" s="185">
        <f t="shared" si="15"/>
        <v>1469.6195500000001</v>
      </c>
      <c r="P248" s="215">
        <f t="shared" si="17"/>
        <v>483.91328251076362</v>
      </c>
      <c r="Q248" s="215" cm="1">
        <f t="array" ref="Q248">IF(P248="-",0,P248/(1+'General inputs'!$H$32)^IFERROR(INDEX('MP Calculations'!$C$40:$C$130,MATCH(F248,'MP Calculations'!$D$40:$D$130,0),0),-1))</f>
        <v>1014.8140799746776</v>
      </c>
      <c r="R248" s="207">
        <f t="shared" si="18"/>
        <v>2005</v>
      </c>
      <c r="S248" s="215">
        <f>IF(P248="-",0,P248/(1+'General inputs'!$H$32)^(R248-2023))</f>
        <v>1014.8140799746776</v>
      </c>
    </row>
    <row r="249" spans="3:19">
      <c r="C249" s="159"/>
      <c r="D249" s="165" t="s">
        <v>283</v>
      </c>
      <c r="E249" s="161">
        <v>38420</v>
      </c>
      <c r="F249" s="172" t="str">
        <f t="shared" si="16"/>
        <v>2004-05</v>
      </c>
      <c r="G249" s="68"/>
      <c r="H249" s="167" t="s">
        <v>280</v>
      </c>
      <c r="I249" s="173">
        <v>21853.086195380012</v>
      </c>
      <c r="J249" s="168">
        <f>IFERROR(MIN('MP Calculations'!$E$30/I249,1),"-")</f>
        <v>0.32927792945511891</v>
      </c>
      <c r="K249" s="12"/>
      <c r="L249" s="159">
        <v>21.504918</v>
      </c>
      <c r="M249" s="159" t="s">
        <v>293</v>
      </c>
      <c r="N249" s="159">
        <v>350</v>
      </c>
      <c r="O249" s="185">
        <f t="shared" si="15"/>
        <v>7526.7213000000002</v>
      </c>
      <c r="P249" s="215">
        <f t="shared" si="17"/>
        <v>2478.383205249741</v>
      </c>
      <c r="Q249" s="215" cm="1">
        <f t="array" ref="Q249">IF(P249="-",0,P249/(1+'General inputs'!$H$32)^IFERROR(INDEX('MP Calculations'!$C$40:$C$130,MATCH(F249,'MP Calculations'!$D$40:$D$130,0),0),-1))</f>
        <v>5197.4150393449172</v>
      </c>
      <c r="R249" s="207">
        <f t="shared" si="18"/>
        <v>2005</v>
      </c>
      <c r="S249" s="215">
        <f>IF(P249="-",0,P249/(1+'General inputs'!$H$32)^(R249-2023))</f>
        <v>5197.4150393449172</v>
      </c>
    </row>
    <row r="250" spans="3:19">
      <c r="C250" s="159"/>
      <c r="D250" s="165" t="s">
        <v>282</v>
      </c>
      <c r="E250" s="161">
        <v>38420</v>
      </c>
      <c r="F250" s="172" t="str">
        <f t="shared" si="16"/>
        <v>2004-05</v>
      </c>
      <c r="G250" s="68"/>
      <c r="H250" s="167" t="s">
        <v>280</v>
      </c>
      <c r="I250" s="173">
        <v>21853.086195380012</v>
      </c>
      <c r="J250" s="168">
        <f>IFERROR(MIN('MP Calculations'!$E$30/I250,1),"-")</f>
        <v>0.32927792945511891</v>
      </c>
      <c r="K250" s="12"/>
      <c r="L250" s="159">
        <v>15.228132</v>
      </c>
      <c r="M250" s="159" t="s">
        <v>293</v>
      </c>
      <c r="N250" s="159">
        <v>511</v>
      </c>
      <c r="O250" s="185">
        <f t="shared" si="15"/>
        <v>7781.575452</v>
      </c>
      <c r="P250" s="215">
        <f t="shared" si="17"/>
        <v>2562.3010527333413</v>
      </c>
      <c r="Q250" s="215" cm="1">
        <f t="array" ref="Q250">IF(P250="-",0,P250/(1+'General inputs'!$H$32)^IFERROR(INDEX('MP Calculations'!$C$40:$C$130,MATCH(F250,'MP Calculations'!$D$40:$D$130,0),0),-1))</f>
        <v>5373.3990767031619</v>
      </c>
      <c r="R250" s="207">
        <f t="shared" si="18"/>
        <v>2005</v>
      </c>
      <c r="S250" s="215">
        <f>IF(P250="-",0,P250/(1+'General inputs'!$H$32)^(R250-2023))</f>
        <v>5373.3990767031619</v>
      </c>
    </row>
    <row r="251" spans="3:19">
      <c r="C251" s="159"/>
      <c r="D251" s="165" t="s">
        <v>284</v>
      </c>
      <c r="E251" s="161">
        <v>38420</v>
      </c>
      <c r="F251" s="172" t="str">
        <f t="shared" si="16"/>
        <v>2004-05</v>
      </c>
      <c r="G251" s="68"/>
      <c r="H251" s="167" t="s">
        <v>280</v>
      </c>
      <c r="I251" s="173">
        <v>21853.086195380012</v>
      </c>
      <c r="J251" s="168">
        <f>IFERROR(MIN('MP Calculations'!$E$30/I251,1),"-")</f>
        <v>0.32927792945511891</v>
      </c>
      <c r="K251" s="12"/>
      <c r="L251" s="159">
        <v>15.536543999999999</v>
      </c>
      <c r="M251" s="159" t="s">
        <v>293</v>
      </c>
      <c r="N251" s="159">
        <v>726</v>
      </c>
      <c r="O251" s="185">
        <f t="shared" si="15"/>
        <v>11279.530944</v>
      </c>
      <c r="P251" s="215">
        <f t="shared" si="17"/>
        <v>3714.1005944652629</v>
      </c>
      <c r="Q251" s="215" cm="1">
        <f t="array" ref="Q251">IF(P251="-",0,P251/(1+'General inputs'!$H$32)^IFERROR(INDEX('MP Calculations'!$C$40:$C$130,MATCH(F251,'MP Calculations'!$D$40:$D$130,0),0),-1))</f>
        <v>7788.836789413469</v>
      </c>
      <c r="R251" s="207">
        <f t="shared" si="18"/>
        <v>2005</v>
      </c>
      <c r="S251" s="215">
        <f>IF(P251="-",0,P251/(1+'General inputs'!$H$32)^(R251-2023))</f>
        <v>7788.836789413469</v>
      </c>
    </row>
    <row r="252" spans="3:19">
      <c r="C252" s="159"/>
      <c r="D252" s="165" t="s">
        <v>283</v>
      </c>
      <c r="E252" s="161">
        <v>38420</v>
      </c>
      <c r="F252" s="172" t="str">
        <f t="shared" si="16"/>
        <v>2004-05</v>
      </c>
      <c r="G252" s="68"/>
      <c r="H252" s="167" t="s">
        <v>280</v>
      </c>
      <c r="I252" s="173">
        <v>21853.086195380012</v>
      </c>
      <c r="J252" s="168">
        <f>IFERROR(MIN('MP Calculations'!$E$30/I252,1),"-")</f>
        <v>0.32927792945511891</v>
      </c>
      <c r="K252" s="12"/>
      <c r="L252" s="159">
        <v>0.96512399999999998</v>
      </c>
      <c r="M252" s="159" t="s">
        <v>293</v>
      </c>
      <c r="N252" s="159">
        <v>350</v>
      </c>
      <c r="O252" s="185">
        <f t="shared" si="15"/>
        <v>337.79340000000002</v>
      </c>
      <c r="P252" s="215">
        <f t="shared" si="17"/>
        <v>111.22791133560477</v>
      </c>
      <c r="Q252" s="215" cm="1">
        <f t="array" ref="Q252">IF(P252="-",0,P252/(1+'General inputs'!$H$32)^IFERROR(INDEX('MP Calculations'!$C$40:$C$130,MATCH(F252,'MP Calculations'!$D$40:$D$130,0),0),-1))</f>
        <v>233.25594603209944</v>
      </c>
      <c r="R252" s="207">
        <f t="shared" si="18"/>
        <v>2005</v>
      </c>
      <c r="S252" s="215">
        <f>IF(P252="-",0,P252/(1+'General inputs'!$H$32)^(R252-2023))</f>
        <v>233.25594603209944</v>
      </c>
    </row>
    <row r="253" spans="3:19">
      <c r="C253" s="159"/>
      <c r="D253" s="165" t="s">
        <v>282</v>
      </c>
      <c r="E253" s="161">
        <v>38420</v>
      </c>
      <c r="F253" s="172" t="str">
        <f t="shared" si="16"/>
        <v>2004-05</v>
      </c>
      <c r="G253" s="68"/>
      <c r="H253" s="167" t="s">
        <v>280</v>
      </c>
      <c r="I253" s="173">
        <v>21853.086195380012</v>
      </c>
      <c r="J253" s="168">
        <f>IFERROR(MIN('MP Calculations'!$E$30/I253,1),"-")</f>
        <v>0.32927792945511891</v>
      </c>
      <c r="K253" s="12"/>
      <c r="L253" s="159">
        <v>0.70237700000000003</v>
      </c>
      <c r="M253" s="159" t="s">
        <v>293</v>
      </c>
      <c r="N253" s="159">
        <v>511</v>
      </c>
      <c r="O253" s="185">
        <f t="shared" si="15"/>
        <v>358.914647</v>
      </c>
      <c r="P253" s="215">
        <f t="shared" si="17"/>
        <v>118.1826718152749</v>
      </c>
      <c r="Q253" s="215" cm="1">
        <f t="array" ref="Q253">IF(P253="-",0,P253/(1+'General inputs'!$H$32)^IFERROR(INDEX('MP Calculations'!$C$40:$C$130,MATCH(F253,'MP Calculations'!$D$40:$D$130,0),0),-1))</f>
        <v>247.84076755425656</v>
      </c>
      <c r="R253" s="207">
        <f t="shared" si="18"/>
        <v>2005</v>
      </c>
      <c r="S253" s="215">
        <f>IF(P253="-",0,P253/(1+'General inputs'!$H$32)^(R253-2023))</f>
        <v>247.84076755425656</v>
      </c>
    </row>
    <row r="254" spans="3:19">
      <c r="C254" s="159"/>
      <c r="D254" s="165" t="s">
        <v>282</v>
      </c>
      <c r="E254" s="161">
        <v>38420</v>
      </c>
      <c r="F254" s="172" t="str">
        <f t="shared" si="16"/>
        <v>2004-05</v>
      </c>
      <c r="G254" s="68"/>
      <c r="H254" s="167" t="s">
        <v>280</v>
      </c>
      <c r="I254" s="173">
        <v>21853.086195380012</v>
      </c>
      <c r="J254" s="168">
        <f>IFERROR(MIN('MP Calculations'!$E$30/I254,1),"-")</f>
        <v>0.32927792945511891</v>
      </c>
      <c r="K254" s="12"/>
      <c r="L254" s="159">
        <v>28.201848999999999</v>
      </c>
      <c r="M254" s="159" t="s">
        <v>293</v>
      </c>
      <c r="N254" s="159">
        <v>511</v>
      </c>
      <c r="O254" s="185">
        <f t="shared" si="15"/>
        <v>14411.144839000001</v>
      </c>
      <c r="P254" s="215">
        <f t="shared" si="17"/>
        <v>4745.2719336637429</v>
      </c>
      <c r="Q254" s="215" cm="1">
        <f t="array" ref="Q254">IF(P254="-",0,P254/(1+'General inputs'!$H$32)^IFERROR(INDEX('MP Calculations'!$C$40:$C$130,MATCH(F254,'MP Calculations'!$D$40:$D$130,0),0),-1))</f>
        <v>9951.3052144492813</v>
      </c>
      <c r="R254" s="207">
        <f t="shared" si="18"/>
        <v>2005</v>
      </c>
      <c r="S254" s="215">
        <f>IF(P254="-",0,P254/(1+'General inputs'!$H$32)^(R254-2023))</f>
        <v>9951.3052144492813</v>
      </c>
    </row>
    <row r="255" spans="3:19">
      <c r="C255" s="159"/>
      <c r="D255" s="165" t="s">
        <v>282</v>
      </c>
      <c r="E255" s="161">
        <v>38420</v>
      </c>
      <c r="F255" s="172" t="str">
        <f t="shared" si="16"/>
        <v>2004-05</v>
      </c>
      <c r="G255" s="68"/>
      <c r="H255" s="167" t="s">
        <v>280</v>
      </c>
      <c r="I255" s="173">
        <v>21853.086195380012</v>
      </c>
      <c r="J255" s="168">
        <f>IFERROR(MIN('MP Calculations'!$E$30/I255,1),"-")</f>
        <v>0.32927792945511891</v>
      </c>
      <c r="K255" s="12"/>
      <c r="L255" s="159">
        <v>0.581013</v>
      </c>
      <c r="M255" s="159" t="s">
        <v>293</v>
      </c>
      <c r="N255" s="159">
        <v>511</v>
      </c>
      <c r="O255" s="185">
        <f t="shared" si="15"/>
        <v>296.89764300000002</v>
      </c>
      <c r="P255" s="215">
        <f t="shared" si="17"/>
        <v>97.761841147145091</v>
      </c>
      <c r="Q255" s="215" cm="1">
        <f t="array" ref="Q255">IF(P255="-",0,P255/(1+'General inputs'!$H$32)^IFERROR(INDEX('MP Calculations'!$C$40:$C$130,MATCH(F255,'MP Calculations'!$D$40:$D$130,0),0),-1))</f>
        <v>205.01626317348277</v>
      </c>
      <c r="R255" s="207">
        <f t="shared" si="18"/>
        <v>2005</v>
      </c>
      <c r="S255" s="215">
        <f>IF(P255="-",0,P255/(1+'General inputs'!$H$32)^(R255-2023))</f>
        <v>205.01626317348277</v>
      </c>
    </row>
    <row r="256" spans="3:19">
      <c r="C256" s="159"/>
      <c r="D256" s="165" t="s">
        <v>284</v>
      </c>
      <c r="E256" s="161">
        <v>38420</v>
      </c>
      <c r="F256" s="172" t="str">
        <f t="shared" si="16"/>
        <v>2004-05</v>
      </c>
      <c r="G256" s="68"/>
      <c r="H256" s="167" t="s">
        <v>280</v>
      </c>
      <c r="I256" s="173">
        <v>21853.086195380012</v>
      </c>
      <c r="J256" s="168">
        <f>IFERROR(MIN('MP Calculations'!$E$30/I256,1),"-")</f>
        <v>0.32927792945511891</v>
      </c>
      <c r="K256" s="12"/>
      <c r="L256" s="159">
        <v>3.7346819999999998</v>
      </c>
      <c r="M256" s="159" t="s">
        <v>293</v>
      </c>
      <c r="N256" s="159">
        <v>726</v>
      </c>
      <c r="O256" s="185">
        <f t="shared" si="15"/>
        <v>2711.379132</v>
      </c>
      <c r="P256" s="215">
        <f t="shared" si="17"/>
        <v>892.79730655277751</v>
      </c>
      <c r="Q256" s="215" cm="1">
        <f t="array" ref="Q256">IF(P256="-",0,P256/(1+'General inputs'!$H$32)^IFERROR(INDEX('MP Calculations'!$C$40:$C$130,MATCH(F256,'MP Calculations'!$D$40:$D$130,0),0),-1))</f>
        <v>1872.2843740770322</v>
      </c>
      <c r="R256" s="207">
        <f t="shared" si="18"/>
        <v>2005</v>
      </c>
      <c r="S256" s="215">
        <f>IF(P256="-",0,P256/(1+'General inputs'!$H$32)^(R256-2023))</f>
        <v>1872.2843740770322</v>
      </c>
    </row>
    <row r="257" spans="3:19">
      <c r="C257" s="159"/>
      <c r="D257" s="165" t="s">
        <v>284</v>
      </c>
      <c r="E257" s="161">
        <v>38420</v>
      </c>
      <c r="F257" s="172" t="str">
        <f t="shared" si="16"/>
        <v>2004-05</v>
      </c>
      <c r="G257" s="68"/>
      <c r="H257" s="167" t="s">
        <v>280</v>
      </c>
      <c r="I257" s="173">
        <v>21853.086195380012</v>
      </c>
      <c r="J257" s="168">
        <f>IFERROR(MIN('MP Calculations'!$E$30/I257,1),"-")</f>
        <v>0.32927792945511891</v>
      </c>
      <c r="K257" s="12"/>
      <c r="L257" s="159">
        <v>6.0775870000000003</v>
      </c>
      <c r="M257" s="159" t="s">
        <v>293</v>
      </c>
      <c r="N257" s="159">
        <v>726</v>
      </c>
      <c r="O257" s="185">
        <f t="shared" ref="O257:O320" si="19">IF(N257="","-",L257*N257)</f>
        <v>4412.3281619999998</v>
      </c>
      <c r="P257" s="215">
        <f t="shared" si="17"/>
        <v>1452.8822812598705</v>
      </c>
      <c r="Q257" s="215" cm="1">
        <f t="array" ref="Q257">IF(P257="-",0,P257/(1+'General inputs'!$H$32)^IFERROR(INDEX('MP Calculations'!$C$40:$C$130,MATCH(F257,'MP Calculations'!$D$40:$D$130,0),0),-1))</f>
        <v>3046.8380365968796</v>
      </c>
      <c r="R257" s="207">
        <f t="shared" si="18"/>
        <v>2005</v>
      </c>
      <c r="S257" s="215">
        <f>IF(P257="-",0,P257/(1+'General inputs'!$H$32)^(R257-2023))</f>
        <v>3046.8380365968796</v>
      </c>
    </row>
    <row r="258" spans="3:19">
      <c r="C258" s="159"/>
      <c r="D258" s="165" t="s">
        <v>283</v>
      </c>
      <c r="E258" s="161">
        <v>38420</v>
      </c>
      <c r="F258" s="172" t="str">
        <f t="shared" si="16"/>
        <v>2004-05</v>
      </c>
      <c r="G258" s="68"/>
      <c r="H258" s="167" t="s">
        <v>280</v>
      </c>
      <c r="I258" s="173">
        <v>21853.086195380012</v>
      </c>
      <c r="J258" s="168">
        <f>IFERROR(MIN('MP Calculations'!$E$30/I258,1),"-")</f>
        <v>0.32927792945511891</v>
      </c>
      <c r="K258" s="12"/>
      <c r="L258" s="159">
        <v>1.000461</v>
      </c>
      <c r="M258" s="159" t="s">
        <v>293</v>
      </c>
      <c r="N258" s="159">
        <v>350</v>
      </c>
      <c r="O258" s="185">
        <f t="shared" si="19"/>
        <v>350.16135000000003</v>
      </c>
      <c r="P258" s="215">
        <f t="shared" si="17"/>
        <v>115.30040430320921</v>
      </c>
      <c r="Q258" s="215" cm="1">
        <f t="array" ref="Q258">IF(P258="-",0,P258/(1+'General inputs'!$H$32)^IFERROR(INDEX('MP Calculations'!$C$40:$C$130,MATCH(F258,'MP Calculations'!$D$40:$D$130,0),0),-1))</f>
        <v>241.79636712300206</v>
      </c>
      <c r="R258" s="207">
        <f t="shared" si="18"/>
        <v>2005</v>
      </c>
      <c r="S258" s="215">
        <f>IF(P258="-",0,P258/(1+'General inputs'!$H$32)^(R258-2023))</f>
        <v>241.79636712300206</v>
      </c>
    </row>
    <row r="259" spans="3:19">
      <c r="C259" s="159"/>
      <c r="D259" s="165" t="s">
        <v>284</v>
      </c>
      <c r="E259" s="161">
        <v>38420</v>
      </c>
      <c r="F259" s="172" t="str">
        <f t="shared" si="16"/>
        <v>2004-05</v>
      </c>
      <c r="G259" s="68"/>
      <c r="H259" s="167" t="s">
        <v>280</v>
      </c>
      <c r="I259" s="173">
        <v>21853.086195380012</v>
      </c>
      <c r="J259" s="168">
        <f>IFERROR(MIN('MP Calculations'!$E$30/I259,1),"-")</f>
        <v>0.32927792945511891</v>
      </c>
      <c r="K259" s="12"/>
      <c r="L259" s="159">
        <v>1.463462</v>
      </c>
      <c r="M259" s="159" t="s">
        <v>293</v>
      </c>
      <c r="N259" s="159">
        <v>726</v>
      </c>
      <c r="O259" s="185">
        <f t="shared" si="19"/>
        <v>1062.4734120000001</v>
      </c>
      <c r="P259" s="215">
        <f t="shared" si="17"/>
        <v>349.84904520447549</v>
      </c>
      <c r="Q259" s="215" cm="1">
        <f t="array" ref="Q259">IF(P259="-",0,P259/(1+'General inputs'!$H$32)^IFERROR(INDEX('MP Calculations'!$C$40:$C$130,MATCH(F259,'MP Calculations'!$D$40:$D$130,0),0),-1))</f>
        <v>733.66809668280234</v>
      </c>
      <c r="R259" s="207">
        <f t="shared" si="18"/>
        <v>2005</v>
      </c>
      <c r="S259" s="215">
        <f>IF(P259="-",0,P259/(1+'General inputs'!$H$32)^(R259-2023))</f>
        <v>733.66809668280234</v>
      </c>
    </row>
    <row r="260" spans="3:19">
      <c r="C260" s="159"/>
      <c r="D260" s="165" t="s">
        <v>283</v>
      </c>
      <c r="E260" s="161">
        <v>38420</v>
      </c>
      <c r="F260" s="172" t="str">
        <f t="shared" si="16"/>
        <v>2004-05</v>
      </c>
      <c r="G260" s="68"/>
      <c r="H260" s="167" t="s">
        <v>280</v>
      </c>
      <c r="I260" s="173">
        <v>21853.086195380012</v>
      </c>
      <c r="J260" s="168">
        <f>IFERROR(MIN('MP Calculations'!$E$30/I260,1),"-")</f>
        <v>0.32927792945511891</v>
      </c>
      <c r="K260" s="12"/>
      <c r="L260" s="159">
        <v>23.780123</v>
      </c>
      <c r="M260" s="159" t="s">
        <v>293</v>
      </c>
      <c r="N260" s="159">
        <v>350</v>
      </c>
      <c r="O260" s="185">
        <f t="shared" si="19"/>
        <v>8323.0430500000002</v>
      </c>
      <c r="P260" s="215">
        <f t="shared" si="17"/>
        <v>2740.5943822698177</v>
      </c>
      <c r="Q260" s="215" cm="1">
        <f t="array" ref="Q260">IF(P260="-",0,P260/(1+'General inputs'!$H$32)^IFERROR(INDEX('MP Calculations'!$C$40:$C$130,MATCH(F260,'MP Calculations'!$D$40:$D$130,0),0),-1))</f>
        <v>5747.2978468307556</v>
      </c>
      <c r="R260" s="207">
        <f t="shared" si="18"/>
        <v>2005</v>
      </c>
      <c r="S260" s="215">
        <f>IF(P260="-",0,P260/(1+'General inputs'!$H$32)^(R260-2023))</f>
        <v>5747.2978468307556</v>
      </c>
    </row>
    <row r="261" spans="3:19">
      <c r="C261" s="159"/>
      <c r="D261" s="165" t="s">
        <v>282</v>
      </c>
      <c r="E261" s="161">
        <v>38420</v>
      </c>
      <c r="F261" s="172" t="str">
        <f t="shared" si="16"/>
        <v>2004-05</v>
      </c>
      <c r="G261" s="68"/>
      <c r="H261" s="167" t="s">
        <v>280</v>
      </c>
      <c r="I261" s="173">
        <v>21853.086195380012</v>
      </c>
      <c r="J261" s="168">
        <f>IFERROR(MIN('MP Calculations'!$E$30/I261,1),"-")</f>
        <v>0.32927792945511891</v>
      </c>
      <c r="K261" s="12"/>
      <c r="L261" s="159">
        <v>0.14977599999999999</v>
      </c>
      <c r="M261" s="159" t="s">
        <v>293</v>
      </c>
      <c r="N261" s="159">
        <v>511</v>
      </c>
      <c r="O261" s="185">
        <f t="shared" si="19"/>
        <v>76.535535999999993</v>
      </c>
      <c r="P261" s="215">
        <f t="shared" si="17"/>
        <v>25.20146282381771</v>
      </c>
      <c r="Q261" s="215" cm="1">
        <f t="array" ref="Q261">IF(P261="-",0,P261/(1+'General inputs'!$H$32)^IFERROR(INDEX('MP Calculations'!$C$40:$C$130,MATCH(F261,'MP Calculations'!$D$40:$D$130,0),0),-1))</f>
        <v>52.849963482867928</v>
      </c>
      <c r="R261" s="207">
        <f t="shared" si="18"/>
        <v>2005</v>
      </c>
      <c r="S261" s="215">
        <f>IF(P261="-",0,P261/(1+'General inputs'!$H$32)^(R261-2023))</f>
        <v>52.849963482867928</v>
      </c>
    </row>
    <row r="262" spans="3:19">
      <c r="C262" s="159"/>
      <c r="D262" s="165" t="s">
        <v>284</v>
      </c>
      <c r="E262" s="161">
        <v>38420</v>
      </c>
      <c r="F262" s="172" t="str">
        <f t="shared" si="16"/>
        <v>2004-05</v>
      </c>
      <c r="G262" s="68"/>
      <c r="H262" s="167" t="s">
        <v>280</v>
      </c>
      <c r="I262" s="173">
        <v>21853.086195380012</v>
      </c>
      <c r="J262" s="168">
        <f>IFERROR(MIN('MP Calculations'!$E$30/I262,1),"-")</f>
        <v>0.32927792945511891</v>
      </c>
      <c r="K262" s="12"/>
      <c r="L262" s="159">
        <v>5.5660280000000002</v>
      </c>
      <c r="M262" s="159" t="s">
        <v>293</v>
      </c>
      <c r="N262" s="159">
        <v>726</v>
      </c>
      <c r="O262" s="185">
        <f t="shared" si="19"/>
        <v>4040.9363280000002</v>
      </c>
      <c r="P262" s="215">
        <f t="shared" si="17"/>
        <v>1330.5911471438114</v>
      </c>
      <c r="Q262" s="215" cm="1">
        <f t="array" ref="Q262">IF(P262="-",0,P262/(1+'General inputs'!$H$32)^IFERROR(INDEX('MP Calculations'!$C$40:$C$130,MATCH(F262,'MP Calculations'!$D$40:$D$130,0),0),-1))</f>
        <v>2790.3814166976563</v>
      </c>
      <c r="R262" s="207">
        <f t="shared" si="18"/>
        <v>2005</v>
      </c>
      <c r="S262" s="215">
        <f>IF(P262="-",0,P262/(1+'General inputs'!$H$32)^(R262-2023))</f>
        <v>2790.3814166976563</v>
      </c>
    </row>
    <row r="263" spans="3:19">
      <c r="C263" s="159"/>
      <c r="D263" s="165" t="s">
        <v>283</v>
      </c>
      <c r="E263" s="161">
        <v>38420</v>
      </c>
      <c r="F263" s="172" t="str">
        <f t="shared" si="16"/>
        <v>2004-05</v>
      </c>
      <c r="G263" s="68"/>
      <c r="H263" s="167" t="s">
        <v>280</v>
      </c>
      <c r="I263" s="173">
        <v>21853.086195380012</v>
      </c>
      <c r="J263" s="168">
        <f>IFERROR(MIN('MP Calculations'!$E$30/I263,1),"-")</f>
        <v>0.32927792945511891</v>
      </c>
      <c r="K263" s="12"/>
      <c r="L263" s="159">
        <v>1.286133</v>
      </c>
      <c r="M263" s="159" t="s">
        <v>293</v>
      </c>
      <c r="N263" s="159">
        <v>350</v>
      </c>
      <c r="O263" s="185">
        <f t="shared" si="19"/>
        <v>450.14654999999999</v>
      </c>
      <c r="P263" s="215">
        <f t="shared" si="17"/>
        <v>148.22332393536516</v>
      </c>
      <c r="Q263" s="215" cm="1">
        <f t="array" ref="Q263">IF(P263="-",0,P263/(1+'General inputs'!$H$32)^IFERROR(INDEX('MP Calculations'!$C$40:$C$130,MATCH(F263,'MP Calculations'!$D$40:$D$130,0),0),-1))</f>
        <v>310.83899026249696</v>
      </c>
      <c r="R263" s="207">
        <f t="shared" si="18"/>
        <v>2005</v>
      </c>
      <c r="S263" s="215">
        <f>IF(P263="-",0,P263/(1+'General inputs'!$H$32)^(R263-2023))</f>
        <v>310.83899026249696</v>
      </c>
    </row>
    <row r="264" spans="3:19">
      <c r="C264" s="159"/>
      <c r="D264" s="165" t="s">
        <v>284</v>
      </c>
      <c r="E264" s="161">
        <v>38420</v>
      </c>
      <c r="F264" s="172" t="str">
        <f t="shared" si="16"/>
        <v>2004-05</v>
      </c>
      <c r="G264" s="68"/>
      <c r="H264" s="167" t="s">
        <v>280</v>
      </c>
      <c r="I264" s="173">
        <v>21853.086195380012</v>
      </c>
      <c r="J264" s="168">
        <f>IFERROR(MIN('MP Calculations'!$E$30/I264,1),"-")</f>
        <v>0.32927792945511891</v>
      </c>
      <c r="K264" s="12"/>
      <c r="L264" s="159">
        <v>0.75417900000000004</v>
      </c>
      <c r="M264" s="159" t="s">
        <v>293</v>
      </c>
      <c r="N264" s="159">
        <v>726</v>
      </c>
      <c r="O264" s="185">
        <f t="shared" si="19"/>
        <v>547.53395399999999</v>
      </c>
      <c r="P264" s="215">
        <f t="shared" si="17"/>
        <v>180.29084667949431</v>
      </c>
      <c r="Q264" s="215" cm="1">
        <f t="array" ref="Q264">IF(P264="-",0,P264/(1+'General inputs'!$H$32)^IFERROR(INDEX('MP Calculations'!$C$40:$C$130,MATCH(F264,'MP Calculations'!$D$40:$D$130,0),0),-1))</f>
        <v>378.08776140968416</v>
      </c>
      <c r="R264" s="207">
        <f t="shared" si="18"/>
        <v>2005</v>
      </c>
      <c r="S264" s="215">
        <f>IF(P264="-",0,P264/(1+'General inputs'!$H$32)^(R264-2023))</f>
        <v>378.08776140968416</v>
      </c>
    </row>
    <row r="265" spans="3:19">
      <c r="C265" s="159"/>
      <c r="D265" s="165" t="s">
        <v>284</v>
      </c>
      <c r="E265" s="161">
        <v>38420</v>
      </c>
      <c r="F265" s="172" t="str">
        <f t="shared" si="16"/>
        <v>2004-05</v>
      </c>
      <c r="G265" s="68"/>
      <c r="H265" s="167" t="s">
        <v>280</v>
      </c>
      <c r="I265" s="173">
        <v>21853.086195380012</v>
      </c>
      <c r="J265" s="168">
        <f>IFERROR(MIN('MP Calculations'!$E$30/I265,1),"-")</f>
        <v>0.32927792945511891</v>
      </c>
      <c r="K265" s="12"/>
      <c r="L265" s="159">
        <v>0.860043</v>
      </c>
      <c r="M265" s="159" t="s">
        <v>293</v>
      </c>
      <c r="N265" s="159">
        <v>726</v>
      </c>
      <c r="O265" s="185">
        <f t="shared" si="19"/>
        <v>624.39121799999998</v>
      </c>
      <c r="P265" s="215">
        <f t="shared" si="17"/>
        <v>205.59824743299976</v>
      </c>
      <c r="Q265" s="215" cm="1">
        <f t="array" ref="Q265">IF(P265="-",0,P265/(1+'General inputs'!$H$32)^IFERROR(INDEX('MP Calculations'!$C$40:$C$130,MATCH(F265,'MP Calculations'!$D$40:$D$130,0),0),-1))</f>
        <v>431.15988722315126</v>
      </c>
      <c r="R265" s="207">
        <f t="shared" si="18"/>
        <v>2005</v>
      </c>
      <c r="S265" s="215">
        <f>IF(P265="-",0,P265/(1+'General inputs'!$H$32)^(R265-2023))</f>
        <v>431.15988722315126</v>
      </c>
    </row>
    <row r="266" spans="3:19">
      <c r="C266" s="159"/>
      <c r="D266" s="165" t="s">
        <v>282</v>
      </c>
      <c r="E266" s="161">
        <v>38420</v>
      </c>
      <c r="F266" s="172" t="str">
        <f t="shared" si="16"/>
        <v>2004-05</v>
      </c>
      <c r="G266" s="68"/>
      <c r="H266" s="167" t="s">
        <v>280</v>
      </c>
      <c r="I266" s="173">
        <v>21853.086195380012</v>
      </c>
      <c r="J266" s="168">
        <f>IFERROR(MIN('MP Calculations'!$E$30/I266,1),"-")</f>
        <v>0.32927792945511891</v>
      </c>
      <c r="K266" s="12"/>
      <c r="L266" s="159">
        <v>0.87955499999999998</v>
      </c>
      <c r="M266" s="159" t="s">
        <v>293</v>
      </c>
      <c r="N266" s="159">
        <v>511</v>
      </c>
      <c r="O266" s="185">
        <f t="shared" si="19"/>
        <v>449.45260500000001</v>
      </c>
      <c r="P266" s="215">
        <f t="shared" si="17"/>
        <v>147.99482316260944</v>
      </c>
      <c r="Q266" s="215" cm="1">
        <f t="array" ref="Q266">IF(P266="-",0,P266/(1+'General inputs'!$H$32)^IFERROR(INDEX('MP Calculations'!$C$40:$C$130,MATCH(F266,'MP Calculations'!$D$40:$D$130,0),0),-1))</f>
        <v>310.35980151141649</v>
      </c>
      <c r="R266" s="207">
        <f t="shared" si="18"/>
        <v>2005</v>
      </c>
      <c r="S266" s="215">
        <f>IF(P266="-",0,P266/(1+'General inputs'!$H$32)^(R266-2023))</f>
        <v>310.35980151141649</v>
      </c>
    </row>
    <row r="267" spans="3:19">
      <c r="C267" s="159"/>
      <c r="D267" s="165" t="s">
        <v>284</v>
      </c>
      <c r="E267" s="161">
        <v>38420</v>
      </c>
      <c r="F267" s="172" t="str">
        <f t="shared" si="16"/>
        <v>2004-05</v>
      </c>
      <c r="G267" s="68"/>
      <c r="H267" s="167" t="s">
        <v>280</v>
      </c>
      <c r="I267" s="173">
        <v>21853.086195380012</v>
      </c>
      <c r="J267" s="168">
        <f>IFERROR(MIN('MP Calculations'!$E$30/I267,1),"-")</f>
        <v>0.32927792945511891</v>
      </c>
      <c r="K267" s="12"/>
      <c r="L267" s="159">
        <v>0.89626399999999995</v>
      </c>
      <c r="M267" s="159" t="s">
        <v>293</v>
      </c>
      <c r="N267" s="159">
        <v>726</v>
      </c>
      <c r="O267" s="185">
        <f t="shared" si="19"/>
        <v>650.68766399999993</v>
      </c>
      <c r="P267" s="215">
        <f t="shared" si="17"/>
        <v>214.25708672390809</v>
      </c>
      <c r="Q267" s="215" cm="1">
        <f t="array" ref="Q267">IF(P267="-",0,P267/(1+'General inputs'!$H$32)^IFERROR(INDEX('MP Calculations'!$C$40:$C$130,MATCH(F267,'MP Calculations'!$D$40:$D$130,0),0),-1))</f>
        <v>449.31833078365895</v>
      </c>
      <c r="R267" s="207">
        <f t="shared" si="18"/>
        <v>2005</v>
      </c>
      <c r="S267" s="215">
        <f>IF(P267="-",0,P267/(1+'General inputs'!$H$32)^(R267-2023))</f>
        <v>449.31833078365895</v>
      </c>
    </row>
    <row r="268" spans="3:19">
      <c r="C268" s="159"/>
      <c r="D268" s="165" t="s">
        <v>284</v>
      </c>
      <c r="E268" s="161">
        <v>38420</v>
      </c>
      <c r="F268" s="172" t="str">
        <f t="shared" si="16"/>
        <v>2004-05</v>
      </c>
      <c r="G268" s="68"/>
      <c r="H268" s="167" t="s">
        <v>280</v>
      </c>
      <c r="I268" s="173">
        <v>21853.086195380012</v>
      </c>
      <c r="J268" s="168">
        <f>IFERROR(MIN('MP Calculations'!$E$30/I268,1),"-")</f>
        <v>0.32927792945511891</v>
      </c>
      <c r="K268" s="12"/>
      <c r="L268" s="159">
        <v>69.707840000000004</v>
      </c>
      <c r="M268" s="159" t="s">
        <v>293</v>
      </c>
      <c r="N268" s="159">
        <v>726</v>
      </c>
      <c r="O268" s="185">
        <f t="shared" si="19"/>
        <v>50607.891840000004</v>
      </c>
      <c r="P268" s="215">
        <f t="shared" si="17"/>
        <v>16664.061839163809</v>
      </c>
      <c r="Q268" s="215" cm="1">
        <f t="array" ref="Q268">IF(P268="-",0,P268/(1+'General inputs'!$H$32)^IFERROR(INDEX('MP Calculations'!$C$40:$C$130,MATCH(F268,'MP Calculations'!$D$40:$D$130,0),0),-1))</f>
        <v>34946.188077769919</v>
      </c>
      <c r="R268" s="207">
        <f t="shared" si="18"/>
        <v>2005</v>
      </c>
      <c r="S268" s="215">
        <f>IF(P268="-",0,P268/(1+'General inputs'!$H$32)^(R268-2023))</f>
        <v>34946.188077769919</v>
      </c>
    </row>
    <row r="269" spans="3:19">
      <c r="C269" s="159"/>
      <c r="D269" s="165" t="s">
        <v>284</v>
      </c>
      <c r="E269" s="161">
        <v>38420</v>
      </c>
      <c r="F269" s="172" t="str">
        <f t="shared" si="16"/>
        <v>2004-05</v>
      </c>
      <c r="G269" s="68"/>
      <c r="H269" s="167" t="s">
        <v>280</v>
      </c>
      <c r="I269" s="173">
        <v>21853.086195380012</v>
      </c>
      <c r="J269" s="168">
        <f>IFERROR(MIN('MP Calculations'!$E$30/I269,1),"-")</f>
        <v>0.32927792945511891</v>
      </c>
      <c r="K269" s="12"/>
      <c r="L269" s="159">
        <v>2.7743030000000002</v>
      </c>
      <c r="M269" s="159" t="s">
        <v>293</v>
      </c>
      <c r="N269" s="159">
        <v>726</v>
      </c>
      <c r="O269" s="185">
        <f t="shared" si="19"/>
        <v>2014.1439780000001</v>
      </c>
      <c r="P269" s="215">
        <f t="shared" si="17"/>
        <v>663.21315870033663</v>
      </c>
      <c r="Q269" s="215" cm="1">
        <f t="array" ref="Q269">IF(P269="-",0,P269/(1+'General inputs'!$H$32)^IFERROR(INDEX('MP Calculations'!$C$40:$C$130,MATCH(F269,'MP Calculations'!$D$40:$D$130,0),0),-1))</f>
        <v>1390.8236781217338</v>
      </c>
      <c r="R269" s="207">
        <f t="shared" si="18"/>
        <v>2005</v>
      </c>
      <c r="S269" s="215">
        <f>IF(P269="-",0,P269/(1+'General inputs'!$H$32)^(R269-2023))</f>
        <v>1390.8236781217338</v>
      </c>
    </row>
    <row r="270" spans="3:19">
      <c r="C270" s="159"/>
      <c r="D270" s="165" t="s">
        <v>282</v>
      </c>
      <c r="E270" s="161">
        <v>38420</v>
      </c>
      <c r="F270" s="172" t="str">
        <f t="shared" si="16"/>
        <v>2004-05</v>
      </c>
      <c r="G270" s="68"/>
      <c r="H270" s="167" t="s">
        <v>280</v>
      </c>
      <c r="I270" s="173">
        <v>21853.086195380012</v>
      </c>
      <c r="J270" s="168">
        <f>IFERROR(MIN('MP Calculations'!$E$30/I270,1),"-")</f>
        <v>0.32927792945511891</v>
      </c>
      <c r="K270" s="12"/>
      <c r="L270" s="159">
        <v>14.64066</v>
      </c>
      <c r="M270" s="159" t="s">
        <v>293</v>
      </c>
      <c r="N270" s="159">
        <v>511</v>
      </c>
      <c r="O270" s="185">
        <f t="shared" si="19"/>
        <v>7481.3772600000002</v>
      </c>
      <c r="P270" s="215">
        <f t="shared" si="17"/>
        <v>2463.4524136454111</v>
      </c>
      <c r="Q270" s="215" cm="1">
        <f t="array" ref="Q270">IF(P270="-",0,P270/(1+'General inputs'!$H$32)^IFERROR(INDEX('MP Calculations'!$C$40:$C$130,MATCH(F270,'MP Calculations'!$D$40:$D$130,0),0),-1))</f>
        <v>5166.1036906118834</v>
      </c>
      <c r="R270" s="207">
        <f t="shared" si="18"/>
        <v>2005</v>
      </c>
      <c r="S270" s="215">
        <f>IF(P270="-",0,P270/(1+'General inputs'!$H$32)^(R270-2023))</f>
        <v>5166.1036906118834</v>
      </c>
    </row>
    <row r="271" spans="3:19">
      <c r="C271" s="159"/>
      <c r="D271" s="165" t="s">
        <v>284</v>
      </c>
      <c r="E271" s="161">
        <v>38420</v>
      </c>
      <c r="F271" s="172" t="str">
        <f t="shared" si="16"/>
        <v>2004-05</v>
      </c>
      <c r="G271" s="68"/>
      <c r="H271" s="167" t="s">
        <v>280</v>
      </c>
      <c r="I271" s="173">
        <v>21853.086195380012</v>
      </c>
      <c r="J271" s="168">
        <f>IFERROR(MIN('MP Calculations'!$E$30/I271,1),"-")</f>
        <v>0.32927792945511891</v>
      </c>
      <c r="K271" s="12"/>
      <c r="L271" s="159">
        <v>1.044133</v>
      </c>
      <c r="M271" s="159" t="s">
        <v>293</v>
      </c>
      <c r="N271" s="159">
        <v>726</v>
      </c>
      <c r="O271" s="185">
        <f t="shared" si="19"/>
        <v>758.04055800000003</v>
      </c>
      <c r="P271" s="215">
        <f t="shared" si="17"/>
        <v>249.606025381243</v>
      </c>
      <c r="Q271" s="215" cm="1">
        <f t="array" ref="Q271">IF(P271="-",0,P271/(1+'General inputs'!$H$32)^IFERROR(INDEX('MP Calculations'!$C$40:$C$130,MATCH(F271,'MP Calculations'!$D$40:$D$130,0),0),-1))</f>
        <v>523.44855609076603</v>
      </c>
      <c r="R271" s="207">
        <f t="shared" si="18"/>
        <v>2005</v>
      </c>
      <c r="S271" s="215">
        <f>IF(P271="-",0,P271/(1+'General inputs'!$H$32)^(R271-2023))</f>
        <v>523.44855609076603</v>
      </c>
    </row>
    <row r="272" spans="3:19">
      <c r="C272" s="159"/>
      <c r="D272" s="165" t="s">
        <v>283</v>
      </c>
      <c r="E272" s="161">
        <v>38420</v>
      </c>
      <c r="F272" s="172" t="str">
        <f t="shared" si="16"/>
        <v>2004-05</v>
      </c>
      <c r="G272" s="68"/>
      <c r="H272" s="167" t="s">
        <v>280</v>
      </c>
      <c r="I272" s="173">
        <v>21853.086195380012</v>
      </c>
      <c r="J272" s="168">
        <f>IFERROR(MIN('MP Calculations'!$E$30/I272,1),"-")</f>
        <v>0.32927792945511891</v>
      </c>
      <c r="K272" s="12"/>
      <c r="L272" s="159">
        <v>5.8448969999999996</v>
      </c>
      <c r="M272" s="159" t="s">
        <v>293</v>
      </c>
      <c r="N272" s="159">
        <v>350</v>
      </c>
      <c r="O272" s="185">
        <f t="shared" si="19"/>
        <v>2045.7139499999998</v>
      </c>
      <c r="P272" s="215">
        <f t="shared" si="17"/>
        <v>673.6084537134526</v>
      </c>
      <c r="Q272" s="215" cm="1">
        <f t="array" ref="Q272">IF(P272="-",0,P272/(1+'General inputs'!$H$32)^IFERROR(INDEX('MP Calculations'!$C$40:$C$130,MATCH(F272,'MP Calculations'!$D$40:$D$130,0),0),-1))</f>
        <v>1412.6236413094896</v>
      </c>
      <c r="R272" s="207">
        <f t="shared" si="18"/>
        <v>2005</v>
      </c>
      <c r="S272" s="215">
        <f>IF(P272="-",0,P272/(1+'General inputs'!$H$32)^(R272-2023))</f>
        <v>1412.6236413094896</v>
      </c>
    </row>
    <row r="273" spans="3:19">
      <c r="C273" s="159"/>
      <c r="D273" s="165" t="s">
        <v>284</v>
      </c>
      <c r="E273" s="161">
        <v>38420</v>
      </c>
      <c r="F273" s="172" t="str">
        <f t="shared" si="16"/>
        <v>2004-05</v>
      </c>
      <c r="G273" s="68"/>
      <c r="H273" s="167" t="s">
        <v>280</v>
      </c>
      <c r="I273" s="173">
        <v>21853.086195380012</v>
      </c>
      <c r="J273" s="168">
        <f>IFERROR(MIN('MP Calculations'!$E$30/I273,1),"-")</f>
        <v>0.32927792945511891</v>
      </c>
      <c r="K273" s="12"/>
      <c r="L273" s="159">
        <v>39.323979000000001</v>
      </c>
      <c r="M273" s="159" t="s">
        <v>293</v>
      </c>
      <c r="N273" s="159">
        <v>726</v>
      </c>
      <c r="O273" s="185">
        <f t="shared" si="19"/>
        <v>28549.208753999999</v>
      </c>
      <c r="P273" s="215">
        <f t="shared" si="17"/>
        <v>9400.6243460990754</v>
      </c>
      <c r="Q273" s="215" cm="1">
        <f t="array" ref="Q273">IF(P273="-",0,P273/(1+'General inputs'!$H$32)^IFERROR(INDEX('MP Calculations'!$C$40:$C$130,MATCH(F273,'MP Calculations'!$D$40:$D$130,0),0),-1))</f>
        <v>19714.040287294436</v>
      </c>
      <c r="R273" s="207">
        <f t="shared" si="18"/>
        <v>2005</v>
      </c>
      <c r="S273" s="215">
        <f>IF(P273="-",0,P273/(1+'General inputs'!$H$32)^(R273-2023))</f>
        <v>19714.040287294436</v>
      </c>
    </row>
    <row r="274" spans="3:19">
      <c r="C274" s="159"/>
      <c r="D274" s="165" t="s">
        <v>284</v>
      </c>
      <c r="E274" s="161">
        <v>38837</v>
      </c>
      <c r="F274" s="172" t="str">
        <f t="shared" si="16"/>
        <v>2005-06</v>
      </c>
      <c r="G274" s="68"/>
      <c r="H274" s="167" t="s">
        <v>280</v>
      </c>
      <c r="I274" s="173">
        <v>21853.086195380012</v>
      </c>
      <c r="J274" s="168">
        <f>IFERROR(MIN('MP Calculations'!$E$30/I274,1),"-")</f>
        <v>0.32927792945511891</v>
      </c>
      <c r="K274" s="12"/>
      <c r="L274" s="159">
        <v>0.68718599999999996</v>
      </c>
      <c r="M274" s="159" t="s">
        <v>293</v>
      </c>
      <c r="N274" s="159">
        <v>726</v>
      </c>
      <c r="O274" s="185">
        <f t="shared" si="19"/>
        <v>498.89703599999996</v>
      </c>
      <c r="P274" s="215">
        <f t="shared" si="17"/>
        <v>164.27578302537592</v>
      </c>
      <c r="Q274" s="215" cm="1">
        <f t="array" ref="Q274">IF(P274="-",0,P274/(1+'General inputs'!$H$32)^IFERROR(INDEX('MP Calculations'!$C$40:$C$130,MATCH(F274,'MP Calculations'!$D$40:$D$130,0),0),-1))</f>
        <v>330.61668599082248</v>
      </c>
      <c r="R274" s="207">
        <f t="shared" si="18"/>
        <v>2006</v>
      </c>
      <c r="S274" s="215">
        <f>IF(P274="-",0,P274/(1+'General inputs'!$H$32)^(R274-2023))</f>
        <v>330.61668599082248</v>
      </c>
    </row>
    <row r="275" spans="3:19">
      <c r="C275" s="159"/>
      <c r="D275" s="165" t="s">
        <v>284</v>
      </c>
      <c r="E275" s="161">
        <v>38837</v>
      </c>
      <c r="F275" s="172" t="str">
        <f t="shared" si="16"/>
        <v>2005-06</v>
      </c>
      <c r="G275" s="68"/>
      <c r="H275" s="167" t="s">
        <v>280</v>
      </c>
      <c r="I275" s="173">
        <v>21853.086195380012</v>
      </c>
      <c r="J275" s="168">
        <f>IFERROR(MIN('MP Calculations'!$E$30/I275,1),"-")</f>
        <v>0.32927792945511891</v>
      </c>
      <c r="K275" s="12"/>
      <c r="L275" s="159">
        <v>1.5037689999999999</v>
      </c>
      <c r="M275" s="159" t="s">
        <v>293</v>
      </c>
      <c r="N275" s="159">
        <v>726</v>
      </c>
      <c r="O275" s="185">
        <f t="shared" si="19"/>
        <v>1091.736294</v>
      </c>
      <c r="P275" s="215">
        <f t="shared" si="17"/>
        <v>359.48466639932496</v>
      </c>
      <c r="Q275" s="215" cm="1">
        <f t="array" ref="Q275">IF(P275="-",0,P275/(1+'General inputs'!$H$32)^IFERROR(INDEX('MP Calculations'!$C$40:$C$130,MATCH(F275,'MP Calculations'!$D$40:$D$130,0),0),-1))</f>
        <v>723.48843439146481</v>
      </c>
      <c r="R275" s="207">
        <f t="shared" si="18"/>
        <v>2006</v>
      </c>
      <c r="S275" s="215">
        <f>IF(P275="-",0,P275/(1+'General inputs'!$H$32)^(R275-2023))</f>
        <v>723.48843439146481</v>
      </c>
    </row>
    <row r="276" spans="3:19">
      <c r="C276" s="159"/>
      <c r="D276" s="165" t="s">
        <v>284</v>
      </c>
      <c r="E276" s="161">
        <v>38837</v>
      </c>
      <c r="F276" s="172" t="str">
        <f t="shared" si="16"/>
        <v>2005-06</v>
      </c>
      <c r="G276" s="68"/>
      <c r="H276" s="167" t="s">
        <v>280</v>
      </c>
      <c r="I276" s="173">
        <v>21853.086195380012</v>
      </c>
      <c r="J276" s="168">
        <f>IFERROR(MIN('MP Calculations'!$E$30/I276,1),"-")</f>
        <v>0.32927792945511891</v>
      </c>
      <c r="K276" s="12"/>
      <c r="L276" s="159">
        <v>1.241736</v>
      </c>
      <c r="M276" s="159" t="s">
        <v>293</v>
      </c>
      <c r="N276" s="159">
        <v>726</v>
      </c>
      <c r="O276" s="185">
        <f t="shared" si="19"/>
        <v>901.50033599999995</v>
      </c>
      <c r="P276" s="215">
        <f t="shared" si="17"/>
        <v>296.844164041174</v>
      </c>
      <c r="Q276" s="215" cm="1">
        <f t="array" ref="Q276">IF(P276="-",0,P276/(1+'General inputs'!$H$32)^IFERROR(INDEX('MP Calculations'!$C$40:$C$130,MATCH(F276,'MP Calculations'!$D$40:$D$130,0),0),-1))</f>
        <v>597.41997246087658</v>
      </c>
      <c r="R276" s="207">
        <f t="shared" si="18"/>
        <v>2006</v>
      </c>
      <c r="S276" s="215">
        <f>IF(P276="-",0,P276/(1+'General inputs'!$H$32)^(R276-2023))</f>
        <v>597.41997246087658</v>
      </c>
    </row>
    <row r="277" spans="3:19">
      <c r="C277" s="159"/>
      <c r="D277" s="165" t="s">
        <v>292</v>
      </c>
      <c r="E277" s="161">
        <v>38837</v>
      </c>
      <c r="F277" s="172" t="str">
        <f t="shared" si="16"/>
        <v>2005-06</v>
      </c>
      <c r="G277" s="68"/>
      <c r="H277" s="167" t="s">
        <v>280</v>
      </c>
      <c r="I277" s="173">
        <v>21853.086195380012</v>
      </c>
      <c r="J277" s="168">
        <f>IFERROR(MIN('MP Calculations'!$E$30/I277,1),"-")</f>
        <v>0.32927792945511891</v>
      </c>
      <c r="K277" s="12"/>
      <c r="L277" s="159">
        <v>3.5097489999999998</v>
      </c>
      <c r="M277" s="159" t="s">
        <v>293</v>
      </c>
      <c r="N277" s="159">
        <v>589</v>
      </c>
      <c r="O277" s="185">
        <f t="shared" si="19"/>
        <v>2067.2421609999997</v>
      </c>
      <c r="P277" s="215">
        <f t="shared" si="17"/>
        <v>680.69721845640549</v>
      </c>
      <c r="Q277" s="215" cm="1">
        <f t="array" ref="Q277">IF(P277="-",0,P277/(1+'General inputs'!$H$32)^IFERROR(INDEX('MP Calculations'!$C$40:$C$130,MATCH(F277,'MP Calculations'!$D$40:$D$130,0),0),-1))</f>
        <v>1369.9515192355768</v>
      </c>
      <c r="R277" s="207">
        <f t="shared" si="18"/>
        <v>2006</v>
      </c>
      <c r="S277" s="215">
        <f>IF(P277="-",0,P277/(1+'General inputs'!$H$32)^(R277-2023))</f>
        <v>1369.9515192355768</v>
      </c>
    </row>
    <row r="278" spans="3:19">
      <c r="C278" s="159"/>
      <c r="D278" s="165" t="s">
        <v>284</v>
      </c>
      <c r="E278" s="161">
        <v>38837</v>
      </c>
      <c r="F278" s="172" t="str">
        <f t="shared" ref="F278:F341" si="20">IF(E278="","-",IF(OR(E278&lt;$E$15,E278&gt;$E$16),"ERROR - date outside of range",IF(MONTH(E278)&gt;=7,YEAR(E278)&amp;"-"&amp;IF(YEAR(E278)=1999,"00",IF(AND(YEAR(E278)&gt;=2000,YEAR(E278)&lt;2009),"0","")&amp;RIGHT(YEAR(E278),2)+1),RIGHT(YEAR(E278),4)-1&amp;"-"&amp;RIGHT(YEAR(E278),2))))</f>
        <v>2005-06</v>
      </c>
      <c r="G278" s="68"/>
      <c r="H278" s="167" t="s">
        <v>280</v>
      </c>
      <c r="I278" s="173">
        <v>21853.086195380012</v>
      </c>
      <c r="J278" s="168">
        <f>IFERROR(MIN('MP Calculations'!$E$30/I278,1),"-")</f>
        <v>0.32927792945511891</v>
      </c>
      <c r="K278" s="12"/>
      <c r="L278" s="159">
        <v>0.98781799999999997</v>
      </c>
      <c r="M278" s="159" t="s">
        <v>293</v>
      </c>
      <c r="N278" s="159">
        <v>726</v>
      </c>
      <c r="O278" s="185">
        <f t="shared" si="19"/>
        <v>717.15586799999994</v>
      </c>
      <c r="P278" s="215">
        <f t="shared" si="17"/>
        <v>236.14359931162855</v>
      </c>
      <c r="Q278" s="215" cm="1">
        <f t="array" ref="Q278">IF(P278="-",0,P278/(1+'General inputs'!$H$32)^IFERROR(INDEX('MP Calculations'!$C$40:$C$130,MATCH(F278,'MP Calculations'!$D$40:$D$130,0),0),-1))</f>
        <v>475.25577285055613</v>
      </c>
      <c r="R278" s="207">
        <f t="shared" si="18"/>
        <v>2006</v>
      </c>
      <c r="S278" s="215">
        <f>IF(P278="-",0,P278/(1+'General inputs'!$H$32)^(R278-2023))</f>
        <v>475.25577285055613</v>
      </c>
    </row>
    <row r="279" spans="3:19">
      <c r="C279" s="159"/>
      <c r="D279" s="165" t="s">
        <v>283</v>
      </c>
      <c r="E279" s="161">
        <v>38837</v>
      </c>
      <c r="F279" s="172" t="str">
        <f t="shared" si="20"/>
        <v>2005-06</v>
      </c>
      <c r="G279" s="68"/>
      <c r="H279" s="167" t="s">
        <v>280</v>
      </c>
      <c r="I279" s="173">
        <v>21853.086195380012</v>
      </c>
      <c r="J279" s="168">
        <f>IFERROR(MIN('MP Calculations'!$E$30/I279,1),"-")</f>
        <v>0.32927792945511891</v>
      </c>
      <c r="K279" s="12"/>
      <c r="L279" s="159">
        <v>1.734448</v>
      </c>
      <c r="M279" s="159" t="s">
        <v>293</v>
      </c>
      <c r="N279" s="159">
        <v>350</v>
      </c>
      <c r="O279" s="185">
        <f t="shared" si="19"/>
        <v>607.05679999999995</v>
      </c>
      <c r="P279" s="215">
        <f t="shared" ref="P279:P342" si="21">IF(O279="-","-",IF(OR(E279&lt;$E$15,E279&gt;$E$16),0,O279*J279))</f>
        <v>199.89040616565021</v>
      </c>
      <c r="Q279" s="215" cm="1">
        <f t="array" ref="Q279">IF(P279="-",0,P279/(1+'General inputs'!$H$32)^IFERROR(INDEX('MP Calculations'!$C$40:$C$130,MATCH(F279,'MP Calculations'!$D$40:$D$130,0),0),-1))</f>
        <v>402.2936456655828</v>
      </c>
      <c r="R279" s="207">
        <f t="shared" si="18"/>
        <v>2006</v>
      </c>
      <c r="S279" s="215">
        <f>IF(P279="-",0,P279/(1+'General inputs'!$H$32)^(R279-2023))</f>
        <v>402.2936456655828</v>
      </c>
    </row>
    <row r="280" spans="3:19">
      <c r="C280" s="159"/>
      <c r="D280" s="165" t="s">
        <v>284</v>
      </c>
      <c r="E280" s="161">
        <v>38837</v>
      </c>
      <c r="F280" s="172" t="str">
        <f t="shared" si="20"/>
        <v>2005-06</v>
      </c>
      <c r="G280" s="68"/>
      <c r="H280" s="167" t="s">
        <v>280</v>
      </c>
      <c r="I280" s="173">
        <v>21853.086195380012</v>
      </c>
      <c r="J280" s="168">
        <f>IFERROR(MIN('MP Calculations'!$E$30/I280,1),"-")</f>
        <v>0.32927792945511891</v>
      </c>
      <c r="K280" s="12"/>
      <c r="L280" s="159">
        <v>1.064738</v>
      </c>
      <c r="M280" s="159" t="s">
        <v>293</v>
      </c>
      <c r="N280" s="159">
        <v>726</v>
      </c>
      <c r="O280" s="185">
        <f t="shared" si="19"/>
        <v>772.99978799999997</v>
      </c>
      <c r="P280" s="215">
        <f t="shared" si="21"/>
        <v>254.53176966188587</v>
      </c>
      <c r="Q280" s="215" cm="1">
        <f t="array" ref="Q280">IF(P280="-",0,P280/(1+'General inputs'!$H$32)^IFERROR(INDEX('MP Calculations'!$C$40:$C$130,MATCH(F280,'MP Calculations'!$D$40:$D$130,0),0),-1))</f>
        <v>512.26327225597777</v>
      </c>
      <c r="R280" s="207">
        <f t="shared" si="18"/>
        <v>2006</v>
      </c>
      <c r="S280" s="215">
        <f>IF(P280="-",0,P280/(1+'General inputs'!$H$32)^(R280-2023))</f>
        <v>512.26327225597777</v>
      </c>
    </row>
    <row r="281" spans="3:19">
      <c r="C281" s="159"/>
      <c r="D281" s="165" t="s">
        <v>292</v>
      </c>
      <c r="E281" s="161">
        <v>38837</v>
      </c>
      <c r="F281" s="172" t="str">
        <f t="shared" si="20"/>
        <v>2005-06</v>
      </c>
      <c r="G281" s="68"/>
      <c r="H281" s="167" t="s">
        <v>280</v>
      </c>
      <c r="I281" s="173">
        <v>21853.086195380012</v>
      </c>
      <c r="J281" s="168">
        <f>IFERROR(MIN('MP Calculations'!$E$30/I281,1),"-")</f>
        <v>0.32927792945511891</v>
      </c>
      <c r="K281" s="12"/>
      <c r="L281" s="159">
        <v>1.485652</v>
      </c>
      <c r="M281" s="159" t="s">
        <v>293</v>
      </c>
      <c r="N281" s="159">
        <v>589</v>
      </c>
      <c r="O281" s="185">
        <f t="shared" si="19"/>
        <v>875.04902800000002</v>
      </c>
      <c r="P281" s="215">
        <f t="shared" si="21"/>
        <v>288.13433211155439</v>
      </c>
      <c r="Q281" s="215" cm="1">
        <f t="array" ref="Q281">IF(P281="-",0,P281/(1+'General inputs'!$H$32)^IFERROR(INDEX('MP Calculations'!$C$40:$C$130,MATCH(F281,'MP Calculations'!$D$40:$D$130,0),0),-1))</f>
        <v>579.89081682347467</v>
      </c>
      <c r="R281" s="207">
        <f t="shared" si="18"/>
        <v>2006</v>
      </c>
      <c r="S281" s="215">
        <f>IF(P281="-",0,P281/(1+'General inputs'!$H$32)^(R281-2023))</f>
        <v>579.89081682347467</v>
      </c>
    </row>
    <row r="282" spans="3:19">
      <c r="C282" s="159"/>
      <c r="D282" s="165" t="s">
        <v>282</v>
      </c>
      <c r="E282" s="161">
        <v>38837</v>
      </c>
      <c r="F282" s="172" t="str">
        <f t="shared" si="20"/>
        <v>2005-06</v>
      </c>
      <c r="G282" s="68"/>
      <c r="H282" s="167" t="s">
        <v>280</v>
      </c>
      <c r="I282" s="173">
        <v>21853.086195380012</v>
      </c>
      <c r="J282" s="168">
        <f>IFERROR(MIN('MP Calculations'!$E$30/I282,1),"-")</f>
        <v>0.32927792945511891</v>
      </c>
      <c r="K282" s="12"/>
      <c r="L282" s="159">
        <v>5.1197039999999996</v>
      </c>
      <c r="M282" s="159" t="s">
        <v>293</v>
      </c>
      <c r="N282" s="159">
        <v>511</v>
      </c>
      <c r="O282" s="185">
        <f t="shared" si="19"/>
        <v>2616.1687439999996</v>
      </c>
      <c r="P282" s="215">
        <f t="shared" si="21"/>
        <v>861.4466271295189</v>
      </c>
      <c r="Q282" s="215" cm="1">
        <f t="array" ref="Q282">IF(P282="-",0,P282/(1+'General inputs'!$H$32)^IFERROR(INDEX('MP Calculations'!$C$40:$C$130,MATCH(F282,'MP Calculations'!$D$40:$D$130,0),0),-1))</f>
        <v>1733.7225473796007</v>
      </c>
      <c r="R282" s="207">
        <f t="shared" si="18"/>
        <v>2006</v>
      </c>
      <c r="S282" s="215">
        <f>IF(P282="-",0,P282/(1+'General inputs'!$H$32)^(R282-2023))</f>
        <v>1733.7225473796007</v>
      </c>
    </row>
    <row r="283" spans="3:19">
      <c r="C283" s="159"/>
      <c r="D283" s="165" t="s">
        <v>292</v>
      </c>
      <c r="E283" s="161">
        <v>38837</v>
      </c>
      <c r="F283" s="172" t="str">
        <f t="shared" si="20"/>
        <v>2005-06</v>
      </c>
      <c r="G283" s="68"/>
      <c r="H283" s="167" t="s">
        <v>280</v>
      </c>
      <c r="I283" s="173">
        <v>21853.086195380012</v>
      </c>
      <c r="J283" s="168">
        <f>IFERROR(MIN('MP Calculations'!$E$30/I283,1),"-")</f>
        <v>0.32927792945511891</v>
      </c>
      <c r="K283" s="12"/>
      <c r="L283" s="159">
        <v>2.0945200000000002</v>
      </c>
      <c r="M283" s="159" t="s">
        <v>293</v>
      </c>
      <c r="N283" s="159">
        <v>589</v>
      </c>
      <c r="O283" s="185">
        <f t="shared" si="19"/>
        <v>1233.67228</v>
      </c>
      <c r="P283" s="215">
        <f t="shared" si="21"/>
        <v>406.22105398457569</v>
      </c>
      <c r="Q283" s="215" cm="1">
        <f t="array" ref="Q283">IF(P283="-",0,P283/(1+'General inputs'!$H$32)^IFERROR(INDEX('MP Calculations'!$C$40:$C$130,MATCH(F283,'MP Calculations'!$D$40:$D$130,0),0),-1))</f>
        <v>817.54873527118332</v>
      </c>
      <c r="R283" s="207">
        <f t="shared" si="18"/>
        <v>2006</v>
      </c>
      <c r="S283" s="215">
        <f>IF(P283="-",0,P283/(1+'General inputs'!$H$32)^(R283-2023))</f>
        <v>817.54873527118332</v>
      </c>
    </row>
    <row r="284" spans="3:19">
      <c r="C284" s="159"/>
      <c r="D284" s="165" t="s">
        <v>282</v>
      </c>
      <c r="E284" s="161">
        <v>38837</v>
      </c>
      <c r="F284" s="172" t="str">
        <f t="shared" si="20"/>
        <v>2005-06</v>
      </c>
      <c r="G284" s="68"/>
      <c r="H284" s="167" t="s">
        <v>280</v>
      </c>
      <c r="I284" s="173">
        <v>21853.086195380012</v>
      </c>
      <c r="J284" s="168">
        <f>IFERROR(MIN('MP Calculations'!$E$30/I284,1),"-")</f>
        <v>0.32927792945511891</v>
      </c>
      <c r="K284" s="12"/>
      <c r="L284" s="159">
        <v>0.46113300000000002</v>
      </c>
      <c r="M284" s="159" t="s">
        <v>293</v>
      </c>
      <c r="N284" s="159">
        <v>511</v>
      </c>
      <c r="O284" s="185">
        <f t="shared" si="19"/>
        <v>235.63896300000002</v>
      </c>
      <c r="P284" s="215">
        <f t="shared" si="21"/>
        <v>77.590709835591383</v>
      </c>
      <c r="Q284" s="215" cm="1">
        <f t="array" ref="Q284">IF(P284="-",0,P284/(1+'General inputs'!$H$32)^IFERROR(INDEX('MP Calculations'!$C$40:$C$130,MATCH(F284,'MP Calculations'!$D$40:$D$130,0),0),-1))</f>
        <v>156.15681676925024</v>
      </c>
      <c r="R284" s="207">
        <f t="shared" si="18"/>
        <v>2006</v>
      </c>
      <c r="S284" s="215">
        <f>IF(P284="-",0,P284/(1+'General inputs'!$H$32)^(R284-2023))</f>
        <v>156.15681676925024</v>
      </c>
    </row>
    <row r="285" spans="3:19">
      <c r="C285" s="159"/>
      <c r="D285" s="165" t="s">
        <v>292</v>
      </c>
      <c r="E285" s="161">
        <v>38837</v>
      </c>
      <c r="F285" s="172" t="str">
        <f t="shared" si="20"/>
        <v>2005-06</v>
      </c>
      <c r="G285" s="68"/>
      <c r="H285" s="167" t="s">
        <v>280</v>
      </c>
      <c r="I285" s="173">
        <v>21853.086195380012</v>
      </c>
      <c r="J285" s="168">
        <f>IFERROR(MIN('MP Calculations'!$E$30/I285,1),"-")</f>
        <v>0.32927792945511891</v>
      </c>
      <c r="K285" s="12"/>
      <c r="L285" s="159">
        <v>1.832975</v>
      </c>
      <c r="M285" s="159" t="s">
        <v>293</v>
      </c>
      <c r="N285" s="159">
        <v>589</v>
      </c>
      <c r="O285" s="185">
        <f t="shared" si="19"/>
        <v>1079.6222749999999</v>
      </c>
      <c r="P285" s="215">
        <f t="shared" si="21"/>
        <v>355.49578730562496</v>
      </c>
      <c r="Q285" s="215" cm="1">
        <f t="array" ref="Q285">IF(P285="-",0,P285/(1+'General inputs'!$H$32)^IFERROR(INDEX('MP Calculations'!$C$40:$C$130,MATCH(F285,'MP Calculations'!$D$40:$D$130,0),0),-1))</f>
        <v>715.46053178470345</v>
      </c>
      <c r="R285" s="207">
        <f t="shared" si="18"/>
        <v>2006</v>
      </c>
      <c r="S285" s="215">
        <f>IF(P285="-",0,P285/(1+'General inputs'!$H$32)^(R285-2023))</f>
        <v>715.46053178470345</v>
      </c>
    </row>
    <row r="286" spans="3:19">
      <c r="C286" s="159"/>
      <c r="D286" s="165" t="s">
        <v>283</v>
      </c>
      <c r="E286" s="161">
        <v>38837</v>
      </c>
      <c r="F286" s="172" t="str">
        <f t="shared" si="20"/>
        <v>2005-06</v>
      </c>
      <c r="G286" s="68"/>
      <c r="H286" s="167" t="s">
        <v>280</v>
      </c>
      <c r="I286" s="173">
        <v>21853.086195380012</v>
      </c>
      <c r="J286" s="168">
        <f>IFERROR(MIN('MP Calculations'!$E$30/I286,1),"-")</f>
        <v>0.32927792945511891</v>
      </c>
      <c r="K286" s="12"/>
      <c r="L286" s="159">
        <v>0.65011300000000005</v>
      </c>
      <c r="M286" s="159" t="s">
        <v>293</v>
      </c>
      <c r="N286" s="159">
        <v>350</v>
      </c>
      <c r="O286" s="185">
        <f t="shared" si="19"/>
        <v>227.53955000000002</v>
      </c>
      <c r="P286" s="215">
        <f t="shared" si="21"/>
        <v>74.923751893149515</v>
      </c>
      <c r="Q286" s="215" cm="1">
        <f t="array" ref="Q286">IF(P286="-",0,P286/(1+'General inputs'!$H$32)^IFERROR(INDEX('MP Calculations'!$C$40:$C$130,MATCH(F286,'MP Calculations'!$D$40:$D$130,0),0),-1))</f>
        <v>150.78937440879699</v>
      </c>
      <c r="R286" s="207">
        <f t="shared" si="18"/>
        <v>2006</v>
      </c>
      <c r="S286" s="215">
        <f>IF(P286="-",0,P286/(1+'General inputs'!$H$32)^(R286-2023))</f>
        <v>150.78937440879699</v>
      </c>
    </row>
    <row r="287" spans="3:19">
      <c r="C287" s="159"/>
      <c r="D287" s="165" t="s">
        <v>284</v>
      </c>
      <c r="E287" s="161">
        <v>38837</v>
      </c>
      <c r="F287" s="172" t="str">
        <f t="shared" si="20"/>
        <v>2005-06</v>
      </c>
      <c r="G287" s="68"/>
      <c r="H287" s="167" t="s">
        <v>280</v>
      </c>
      <c r="I287" s="173">
        <v>21853.086195380012</v>
      </c>
      <c r="J287" s="168">
        <f>IFERROR(MIN('MP Calculations'!$E$30/I287,1),"-")</f>
        <v>0.32927792945511891</v>
      </c>
      <c r="K287" s="12"/>
      <c r="L287" s="159">
        <v>0.45660200000000001</v>
      </c>
      <c r="M287" s="159" t="s">
        <v>293</v>
      </c>
      <c r="N287" s="159">
        <v>726</v>
      </c>
      <c r="O287" s="185">
        <f t="shared" si="19"/>
        <v>331.49305199999998</v>
      </c>
      <c r="P287" s="215">
        <f t="shared" si="21"/>
        <v>109.15334579131806</v>
      </c>
      <c r="Q287" s="215" cm="1">
        <f t="array" ref="Q287">IF(P287="-",0,P287/(1+'General inputs'!$H$32)^IFERROR(INDEX('MP Calculations'!$C$40:$C$130,MATCH(F287,'MP Calculations'!$D$40:$D$130,0),0),-1))</f>
        <v>219.67886432025904</v>
      </c>
      <c r="R287" s="207">
        <f t="shared" si="18"/>
        <v>2006</v>
      </c>
      <c r="S287" s="215">
        <f>IF(P287="-",0,P287/(1+'General inputs'!$H$32)^(R287-2023))</f>
        <v>219.67886432025904</v>
      </c>
    </row>
    <row r="288" spans="3:19">
      <c r="C288" s="159"/>
      <c r="D288" s="165" t="s">
        <v>283</v>
      </c>
      <c r="E288" s="161">
        <v>38837</v>
      </c>
      <c r="F288" s="172" t="str">
        <f t="shared" si="20"/>
        <v>2005-06</v>
      </c>
      <c r="G288" s="68"/>
      <c r="H288" s="167" t="s">
        <v>280</v>
      </c>
      <c r="I288" s="173">
        <v>21853.086195380012</v>
      </c>
      <c r="J288" s="168">
        <f>IFERROR(MIN('MP Calculations'!$E$30/I288,1),"-")</f>
        <v>0.32927792945511891</v>
      </c>
      <c r="K288" s="12"/>
      <c r="L288" s="159">
        <v>1.8031900000000001</v>
      </c>
      <c r="M288" s="159" t="s">
        <v>293</v>
      </c>
      <c r="N288" s="159">
        <v>350</v>
      </c>
      <c r="O288" s="185">
        <f t="shared" si="19"/>
        <v>631.11649999999997</v>
      </c>
      <c r="P288" s="215">
        <f t="shared" si="21"/>
        <v>207.81273436496156</v>
      </c>
      <c r="Q288" s="215" cm="1">
        <f t="array" ref="Q288">IF(P288="-",0,P288/(1+'General inputs'!$H$32)^IFERROR(INDEX('MP Calculations'!$C$40:$C$130,MATCH(F288,'MP Calculations'!$D$40:$D$130,0),0),-1))</f>
        <v>418.23789408948687</v>
      </c>
      <c r="R288" s="207">
        <f t="shared" si="18"/>
        <v>2006</v>
      </c>
      <c r="S288" s="215">
        <f>IF(P288="-",0,P288/(1+'General inputs'!$H$32)^(R288-2023))</f>
        <v>418.23789408948687</v>
      </c>
    </row>
    <row r="289" spans="3:19">
      <c r="C289" s="159"/>
      <c r="D289" s="165" t="s">
        <v>292</v>
      </c>
      <c r="E289" s="161">
        <v>38837</v>
      </c>
      <c r="F289" s="172" t="str">
        <f t="shared" si="20"/>
        <v>2005-06</v>
      </c>
      <c r="G289" s="68"/>
      <c r="H289" s="167" t="s">
        <v>280</v>
      </c>
      <c r="I289" s="173">
        <v>21853.086195380012</v>
      </c>
      <c r="J289" s="168">
        <f>IFERROR(MIN('MP Calculations'!$E$30/I289,1),"-")</f>
        <v>0.32927792945511891</v>
      </c>
      <c r="K289" s="12"/>
      <c r="L289" s="159">
        <v>0.49682300000000001</v>
      </c>
      <c r="M289" s="159" t="s">
        <v>293</v>
      </c>
      <c r="N289" s="159">
        <v>589</v>
      </c>
      <c r="O289" s="185">
        <f t="shared" si="19"/>
        <v>292.62874700000003</v>
      </c>
      <c r="P289" s="215">
        <f t="shared" si="21"/>
        <v>96.356187911205851</v>
      </c>
      <c r="Q289" s="215" cm="1">
        <f t="array" ref="Q289">IF(P289="-",0,P289/(1+'General inputs'!$H$32)^IFERROR(INDEX('MP Calculations'!$C$40:$C$130,MATCH(F289,'MP Calculations'!$D$40:$D$130,0),0),-1))</f>
        <v>193.9236747816374</v>
      </c>
      <c r="R289" s="207">
        <f t="shared" si="18"/>
        <v>2006</v>
      </c>
      <c r="S289" s="215">
        <f>IF(P289="-",0,P289/(1+'General inputs'!$H$32)^(R289-2023))</f>
        <v>193.9236747816374</v>
      </c>
    </row>
    <row r="290" spans="3:19">
      <c r="C290" s="159"/>
      <c r="D290" s="165" t="s">
        <v>292</v>
      </c>
      <c r="E290" s="161">
        <v>38837</v>
      </c>
      <c r="F290" s="172" t="str">
        <f t="shared" si="20"/>
        <v>2005-06</v>
      </c>
      <c r="G290" s="68"/>
      <c r="H290" s="167" t="s">
        <v>280</v>
      </c>
      <c r="I290" s="173">
        <v>21853.086195380012</v>
      </c>
      <c r="J290" s="168">
        <f>IFERROR(MIN('MP Calculations'!$E$30/I290,1),"-")</f>
        <v>0.32927792945511891</v>
      </c>
      <c r="K290" s="12"/>
      <c r="L290" s="159">
        <v>18.276758000000001</v>
      </c>
      <c r="M290" s="159" t="s">
        <v>293</v>
      </c>
      <c r="N290" s="159">
        <v>589</v>
      </c>
      <c r="O290" s="185">
        <f t="shared" si="19"/>
        <v>10765.010462</v>
      </c>
      <c r="P290" s="215">
        <f t="shared" si="21"/>
        <v>3544.680355490053</v>
      </c>
      <c r="Q290" s="215" cm="1">
        <f t="array" ref="Q290">IF(P290="-",0,P290/(1+'General inputs'!$H$32)^IFERROR(INDEX('MP Calculations'!$C$40:$C$130,MATCH(F290,'MP Calculations'!$D$40:$D$130,0),0),-1))</f>
        <v>7133.9210834737705</v>
      </c>
      <c r="R290" s="207">
        <f t="shared" si="18"/>
        <v>2006</v>
      </c>
      <c r="S290" s="215">
        <f>IF(P290="-",0,P290/(1+'General inputs'!$H$32)^(R290-2023))</f>
        <v>7133.9210834737705</v>
      </c>
    </row>
    <row r="291" spans="3:19">
      <c r="C291" s="159"/>
      <c r="D291" s="165" t="s">
        <v>292</v>
      </c>
      <c r="E291" s="161">
        <v>38837</v>
      </c>
      <c r="F291" s="172" t="str">
        <f t="shared" si="20"/>
        <v>2005-06</v>
      </c>
      <c r="G291" s="68"/>
      <c r="H291" s="167" t="s">
        <v>280</v>
      </c>
      <c r="I291" s="173">
        <v>21853.086195380012</v>
      </c>
      <c r="J291" s="168">
        <f>IFERROR(MIN('MP Calculations'!$E$30/I291,1),"-")</f>
        <v>0.32927792945511891</v>
      </c>
      <c r="K291" s="12"/>
      <c r="L291" s="159">
        <v>0.49682300000000001</v>
      </c>
      <c r="M291" s="159" t="s">
        <v>293</v>
      </c>
      <c r="N291" s="159">
        <v>589</v>
      </c>
      <c r="O291" s="185">
        <f t="shared" si="19"/>
        <v>292.62874700000003</v>
      </c>
      <c r="P291" s="215">
        <f t="shared" si="21"/>
        <v>96.356187911205851</v>
      </c>
      <c r="Q291" s="215" cm="1">
        <f t="array" ref="Q291">IF(P291="-",0,P291/(1+'General inputs'!$H$32)^IFERROR(INDEX('MP Calculations'!$C$40:$C$130,MATCH(F291,'MP Calculations'!$D$40:$D$130,0),0),-1))</f>
        <v>193.9236747816374</v>
      </c>
      <c r="R291" s="207">
        <f t="shared" si="18"/>
        <v>2006</v>
      </c>
      <c r="S291" s="215">
        <f>IF(P291="-",0,P291/(1+'General inputs'!$H$32)^(R291-2023))</f>
        <v>193.9236747816374</v>
      </c>
    </row>
    <row r="292" spans="3:19">
      <c r="C292" s="159"/>
      <c r="D292" s="165" t="s">
        <v>292</v>
      </c>
      <c r="E292" s="161">
        <v>38837</v>
      </c>
      <c r="F292" s="172" t="str">
        <f t="shared" si="20"/>
        <v>2005-06</v>
      </c>
      <c r="G292" s="68"/>
      <c r="H292" s="167" t="s">
        <v>280</v>
      </c>
      <c r="I292" s="173">
        <v>21853.086195380012</v>
      </c>
      <c r="J292" s="168">
        <f>IFERROR(MIN('MP Calculations'!$E$30/I292,1),"-")</f>
        <v>0.32927792945511891</v>
      </c>
      <c r="K292" s="12"/>
      <c r="L292" s="159">
        <v>0.42605799999999999</v>
      </c>
      <c r="M292" s="159" t="s">
        <v>293</v>
      </c>
      <c r="N292" s="159">
        <v>589</v>
      </c>
      <c r="O292" s="185">
        <f t="shared" si="19"/>
        <v>250.948162</v>
      </c>
      <c r="P292" s="215">
        <f t="shared" si="21"/>
        <v>82.631691183927757</v>
      </c>
      <c r="Q292" s="215" cm="1">
        <f t="array" ref="Q292">IF(P292="-",0,P292/(1+'General inputs'!$H$32)^IFERROR(INDEX('MP Calculations'!$C$40:$C$130,MATCH(F292,'MP Calculations'!$D$40:$D$130,0),0),-1))</f>
        <v>166.30214992082665</v>
      </c>
      <c r="R292" s="207">
        <f t="shared" si="18"/>
        <v>2006</v>
      </c>
      <c r="S292" s="215">
        <f>IF(P292="-",0,P292/(1+'General inputs'!$H$32)^(R292-2023))</f>
        <v>166.30214992082665</v>
      </c>
    </row>
    <row r="293" spans="3:19">
      <c r="C293" s="159"/>
      <c r="D293" s="165" t="s">
        <v>292</v>
      </c>
      <c r="E293" s="161">
        <v>38837</v>
      </c>
      <c r="F293" s="172" t="str">
        <f t="shared" si="20"/>
        <v>2005-06</v>
      </c>
      <c r="G293" s="68"/>
      <c r="H293" s="167" t="s">
        <v>280</v>
      </c>
      <c r="I293" s="173">
        <v>21853.086195380012</v>
      </c>
      <c r="J293" s="168">
        <f>IFERROR(MIN('MP Calculations'!$E$30/I293,1),"-")</f>
        <v>0.32927792945511891</v>
      </c>
      <c r="K293" s="12"/>
      <c r="L293" s="159">
        <v>0.63449199999999994</v>
      </c>
      <c r="M293" s="159" t="s">
        <v>293</v>
      </c>
      <c r="N293" s="159">
        <v>589</v>
      </c>
      <c r="O293" s="185">
        <f t="shared" si="19"/>
        <v>373.71578799999997</v>
      </c>
      <c r="P293" s="215">
        <f t="shared" si="21"/>
        <v>123.05636087732816</v>
      </c>
      <c r="Q293" s="215" cm="1">
        <f t="array" ref="Q293">IF(P293="-",0,P293/(1+'General inputs'!$H$32)^IFERROR(INDEX('MP Calculations'!$C$40:$C$130,MATCH(F293,'MP Calculations'!$D$40:$D$130,0),0),-1))</f>
        <v>247.65967006267957</v>
      </c>
      <c r="R293" s="207">
        <f t="shared" si="18"/>
        <v>2006</v>
      </c>
      <c r="S293" s="215">
        <f>IF(P293="-",0,P293/(1+'General inputs'!$H$32)^(R293-2023))</f>
        <v>247.65967006267957</v>
      </c>
    </row>
    <row r="294" spans="3:19">
      <c r="C294" s="159"/>
      <c r="D294" s="165" t="s">
        <v>292</v>
      </c>
      <c r="E294" s="161">
        <v>38837</v>
      </c>
      <c r="F294" s="172" t="str">
        <f t="shared" si="20"/>
        <v>2005-06</v>
      </c>
      <c r="G294" s="68"/>
      <c r="H294" s="167" t="s">
        <v>280</v>
      </c>
      <c r="I294" s="173">
        <v>21853.086195380012</v>
      </c>
      <c r="J294" s="168">
        <f>IFERROR(MIN('MP Calculations'!$E$30/I294,1),"-")</f>
        <v>0.32927792945511891</v>
      </c>
      <c r="K294" s="12"/>
      <c r="L294" s="159">
        <v>1.51572</v>
      </c>
      <c r="M294" s="159" t="s">
        <v>293</v>
      </c>
      <c r="N294" s="159">
        <v>589</v>
      </c>
      <c r="O294" s="185">
        <f t="shared" si="19"/>
        <v>892.75907999999993</v>
      </c>
      <c r="P294" s="215">
        <f t="shared" si="21"/>
        <v>293.96586136465686</v>
      </c>
      <c r="Q294" s="215" cm="1">
        <f t="array" ref="Q294">IF(P294="-",0,P294/(1+'General inputs'!$H$32)^IFERROR(INDEX('MP Calculations'!$C$40:$C$130,MATCH(F294,'MP Calculations'!$D$40:$D$130,0),0),-1))</f>
        <v>591.62718380594981</v>
      </c>
      <c r="R294" s="207">
        <f t="shared" si="18"/>
        <v>2006</v>
      </c>
      <c r="S294" s="215">
        <f>IF(P294="-",0,P294/(1+'General inputs'!$H$32)^(R294-2023))</f>
        <v>591.62718380594981</v>
      </c>
    </row>
    <row r="295" spans="3:19">
      <c r="C295" s="159"/>
      <c r="D295" s="165" t="s">
        <v>292</v>
      </c>
      <c r="E295" s="161">
        <v>38837</v>
      </c>
      <c r="F295" s="172" t="str">
        <f t="shared" si="20"/>
        <v>2005-06</v>
      </c>
      <c r="G295" s="68"/>
      <c r="H295" s="167" t="s">
        <v>280</v>
      </c>
      <c r="I295" s="173">
        <v>21853.086195380012</v>
      </c>
      <c r="J295" s="168">
        <f>IFERROR(MIN('MP Calculations'!$E$30/I295,1),"-")</f>
        <v>0.32927792945511891</v>
      </c>
      <c r="K295" s="12"/>
      <c r="L295" s="159">
        <v>31.900950999999999</v>
      </c>
      <c r="M295" s="159" t="s">
        <v>293</v>
      </c>
      <c r="N295" s="159">
        <v>589</v>
      </c>
      <c r="O295" s="185">
        <f t="shared" si="19"/>
        <v>18789.660139</v>
      </c>
      <c r="P295" s="215">
        <f t="shared" si="21"/>
        <v>6187.0203857353017</v>
      </c>
      <c r="Q295" s="215" cm="1">
        <f t="array" ref="Q295">IF(P295="-",0,P295/(1+'General inputs'!$H$32)^IFERROR(INDEX('MP Calculations'!$C$40:$C$130,MATCH(F295,'MP Calculations'!$D$40:$D$130,0),0),-1))</f>
        <v>12451.818146400126</v>
      </c>
      <c r="R295" s="207">
        <f t="shared" si="18"/>
        <v>2006</v>
      </c>
      <c r="S295" s="215">
        <f>IF(P295="-",0,P295/(1+'General inputs'!$H$32)^(R295-2023))</f>
        <v>12451.818146400126</v>
      </c>
    </row>
    <row r="296" spans="3:19">
      <c r="C296" s="159"/>
      <c r="D296" s="165" t="s">
        <v>284</v>
      </c>
      <c r="E296" s="161">
        <v>38837</v>
      </c>
      <c r="F296" s="172" t="str">
        <f t="shared" si="20"/>
        <v>2005-06</v>
      </c>
      <c r="G296" s="68"/>
      <c r="H296" s="167" t="s">
        <v>280</v>
      </c>
      <c r="I296" s="173">
        <v>21853.086195380012</v>
      </c>
      <c r="J296" s="168">
        <f>IFERROR(MIN('MP Calculations'!$E$30/I296,1),"-")</f>
        <v>0.32927792945511891</v>
      </c>
      <c r="K296" s="12"/>
      <c r="L296" s="159">
        <v>1.275609</v>
      </c>
      <c r="M296" s="159" t="s">
        <v>293</v>
      </c>
      <c r="N296" s="159">
        <v>726</v>
      </c>
      <c r="O296" s="185">
        <f t="shared" si="19"/>
        <v>926.09213399999999</v>
      </c>
      <c r="P296" s="215">
        <f t="shared" si="21"/>
        <v>304.94170036819253</v>
      </c>
      <c r="Q296" s="215" cm="1">
        <f t="array" ref="Q296">IF(P296="-",0,P296/(1+'General inputs'!$H$32)^IFERROR(INDEX('MP Calculations'!$C$40:$C$130,MATCH(F296,'MP Calculations'!$D$40:$D$130,0),0),-1))</f>
        <v>613.71683969124376</v>
      </c>
      <c r="R296" s="207">
        <f t="shared" si="18"/>
        <v>2006</v>
      </c>
      <c r="S296" s="215">
        <f>IF(P296="-",0,P296/(1+'General inputs'!$H$32)^(R296-2023))</f>
        <v>613.71683969124376</v>
      </c>
    </row>
    <row r="297" spans="3:19">
      <c r="C297" s="159"/>
      <c r="D297" s="165" t="s">
        <v>292</v>
      </c>
      <c r="E297" s="161">
        <v>38837</v>
      </c>
      <c r="F297" s="172" t="str">
        <f t="shared" si="20"/>
        <v>2005-06</v>
      </c>
      <c r="G297" s="68"/>
      <c r="H297" s="167" t="s">
        <v>280</v>
      </c>
      <c r="I297" s="173">
        <v>21853.086195380012</v>
      </c>
      <c r="J297" s="168">
        <f>IFERROR(MIN('MP Calculations'!$E$30/I297,1),"-")</f>
        <v>0.32927792945511891</v>
      </c>
      <c r="K297" s="12"/>
      <c r="L297" s="159">
        <v>0.80045500000000003</v>
      </c>
      <c r="M297" s="159" t="s">
        <v>293</v>
      </c>
      <c r="N297" s="159">
        <v>589</v>
      </c>
      <c r="O297" s="185">
        <f t="shared" si="19"/>
        <v>471.46799500000003</v>
      </c>
      <c r="P297" s="215">
        <f t="shared" si="21"/>
        <v>155.24400519795637</v>
      </c>
      <c r="Q297" s="215" cm="1">
        <f t="array" ref="Q297">IF(P297="-",0,P297/(1+'General inputs'!$H$32)^IFERROR(INDEX('MP Calculations'!$C$40:$C$130,MATCH(F297,'MP Calculations'!$D$40:$D$130,0),0),-1))</f>
        <v>312.4395913581609</v>
      </c>
      <c r="R297" s="207">
        <f t="shared" si="18"/>
        <v>2006</v>
      </c>
      <c r="S297" s="215">
        <f>IF(P297="-",0,P297/(1+'General inputs'!$H$32)^(R297-2023))</f>
        <v>312.4395913581609</v>
      </c>
    </row>
    <row r="298" spans="3:19">
      <c r="C298" s="159"/>
      <c r="D298" s="165" t="s">
        <v>292</v>
      </c>
      <c r="E298" s="161">
        <v>38837</v>
      </c>
      <c r="F298" s="172" t="str">
        <f t="shared" si="20"/>
        <v>2005-06</v>
      </c>
      <c r="G298" s="68"/>
      <c r="H298" s="167" t="s">
        <v>280</v>
      </c>
      <c r="I298" s="173">
        <v>21853.086195380012</v>
      </c>
      <c r="J298" s="168">
        <f>IFERROR(MIN('MP Calculations'!$E$30/I298,1),"-")</f>
        <v>0.32927792945511891</v>
      </c>
      <c r="K298" s="12"/>
      <c r="L298" s="159">
        <v>0.56302799999999997</v>
      </c>
      <c r="M298" s="159" t="s">
        <v>293</v>
      </c>
      <c r="N298" s="159">
        <v>589</v>
      </c>
      <c r="O298" s="185">
        <f t="shared" si="19"/>
        <v>331.623492</v>
      </c>
      <c r="P298" s="215">
        <f t="shared" si="21"/>
        <v>109.19629680443619</v>
      </c>
      <c r="Q298" s="215" cm="1">
        <f t="array" ref="Q298">IF(P298="-",0,P298/(1+'General inputs'!$H$32)^IFERROR(INDEX('MP Calculations'!$C$40:$C$130,MATCH(F298,'MP Calculations'!$D$40:$D$130,0),0),-1))</f>
        <v>219.76530628605303</v>
      </c>
      <c r="R298" s="207">
        <f t="shared" ref="R298:R361" si="22">YEAR(E298)</f>
        <v>2006</v>
      </c>
      <c r="S298" s="215">
        <f>IF(P298="-",0,P298/(1+'General inputs'!$H$32)^(R298-2023))</f>
        <v>219.76530628605303</v>
      </c>
    </row>
    <row r="299" spans="3:19">
      <c r="C299" s="159"/>
      <c r="D299" s="165" t="s">
        <v>292</v>
      </c>
      <c r="E299" s="161">
        <v>38837</v>
      </c>
      <c r="F299" s="172" t="str">
        <f t="shared" si="20"/>
        <v>2005-06</v>
      </c>
      <c r="G299" s="68"/>
      <c r="H299" s="167" t="s">
        <v>280</v>
      </c>
      <c r="I299" s="173">
        <v>21853.086195380012</v>
      </c>
      <c r="J299" s="168">
        <f>IFERROR(MIN('MP Calculations'!$E$30/I299,1),"-")</f>
        <v>0.32927792945511891</v>
      </c>
      <c r="K299" s="12"/>
      <c r="L299" s="159">
        <v>0.82998400000000006</v>
      </c>
      <c r="M299" s="159" t="s">
        <v>293</v>
      </c>
      <c r="N299" s="159">
        <v>589</v>
      </c>
      <c r="O299" s="185">
        <f t="shared" si="19"/>
        <v>488.86057600000004</v>
      </c>
      <c r="P299" s="215">
        <f t="shared" si="21"/>
        <v>160.97099825751681</v>
      </c>
      <c r="Q299" s="215" cm="1">
        <f t="array" ref="Q299">IF(P299="-",0,P299/(1+'General inputs'!$H$32)^IFERROR(INDEX('MP Calculations'!$C$40:$C$130,MATCH(F299,'MP Calculations'!$D$40:$D$130,0),0),-1))</f>
        <v>323.96557182329025</v>
      </c>
      <c r="R299" s="207">
        <f t="shared" si="22"/>
        <v>2006</v>
      </c>
      <c r="S299" s="215">
        <f>IF(P299="-",0,P299/(1+'General inputs'!$H$32)^(R299-2023))</f>
        <v>323.96557182329025</v>
      </c>
    </row>
    <row r="300" spans="3:19">
      <c r="C300" s="159"/>
      <c r="D300" s="165" t="s">
        <v>284</v>
      </c>
      <c r="E300" s="161">
        <v>38837</v>
      </c>
      <c r="F300" s="172" t="str">
        <f t="shared" si="20"/>
        <v>2005-06</v>
      </c>
      <c r="G300" s="68"/>
      <c r="H300" s="167" t="s">
        <v>280</v>
      </c>
      <c r="I300" s="173">
        <v>21853.086195380012</v>
      </c>
      <c r="J300" s="168">
        <f>IFERROR(MIN('MP Calculations'!$E$30/I300,1),"-")</f>
        <v>0.32927792945511891</v>
      </c>
      <c r="K300" s="12"/>
      <c r="L300" s="159">
        <v>3.8196629999999998</v>
      </c>
      <c r="M300" s="159" t="s">
        <v>293</v>
      </c>
      <c r="N300" s="159">
        <v>726</v>
      </c>
      <c r="O300" s="185">
        <f t="shared" si="19"/>
        <v>2773.0753379999996</v>
      </c>
      <c r="P300" s="215">
        <f t="shared" si="21"/>
        <v>913.11250551969397</v>
      </c>
      <c r="Q300" s="215" cm="1">
        <f t="array" ref="Q300">IF(P300="-",0,P300/(1+'General inputs'!$H$32)^IFERROR(INDEX('MP Calculations'!$C$40:$C$130,MATCH(F300,'MP Calculations'!$D$40:$D$130,0),0),-1))</f>
        <v>1837.7037987702934</v>
      </c>
      <c r="R300" s="207">
        <f t="shared" si="22"/>
        <v>2006</v>
      </c>
      <c r="S300" s="215">
        <f>IF(P300="-",0,P300/(1+'General inputs'!$H$32)^(R300-2023))</f>
        <v>1837.7037987702934</v>
      </c>
    </row>
    <row r="301" spans="3:19">
      <c r="C301" s="159"/>
      <c r="D301" s="165" t="s">
        <v>282</v>
      </c>
      <c r="E301" s="161">
        <v>38837</v>
      </c>
      <c r="F301" s="172" t="str">
        <f t="shared" si="20"/>
        <v>2005-06</v>
      </c>
      <c r="G301" s="68"/>
      <c r="H301" s="167" t="s">
        <v>280</v>
      </c>
      <c r="I301" s="173">
        <v>21853.086195380012</v>
      </c>
      <c r="J301" s="168">
        <f>IFERROR(MIN('MP Calculations'!$E$30/I301,1),"-")</f>
        <v>0.32927792945511891</v>
      </c>
      <c r="K301" s="12"/>
      <c r="L301" s="159">
        <v>0.335561</v>
      </c>
      <c r="M301" s="159" t="s">
        <v>293</v>
      </c>
      <c r="N301" s="159">
        <v>511</v>
      </c>
      <c r="O301" s="185">
        <f t="shared" si="19"/>
        <v>171.47167099999999</v>
      </c>
      <c r="P301" s="215">
        <f t="shared" si="21"/>
        <v>56.461836787089354</v>
      </c>
      <c r="Q301" s="215" cm="1">
        <f t="array" ref="Q301">IF(P301="-",0,P301/(1+'General inputs'!$H$32)^IFERROR(INDEX('MP Calculations'!$C$40:$C$130,MATCH(F301,'MP Calculations'!$D$40:$D$130,0),0),-1))</f>
        <v>113.6334584423721</v>
      </c>
      <c r="R301" s="207">
        <f t="shared" si="22"/>
        <v>2006</v>
      </c>
      <c r="S301" s="215">
        <f>IF(P301="-",0,P301/(1+'General inputs'!$H$32)^(R301-2023))</f>
        <v>113.6334584423721</v>
      </c>
    </row>
    <row r="302" spans="3:19">
      <c r="C302" s="159"/>
      <c r="D302" s="165" t="s">
        <v>284</v>
      </c>
      <c r="E302" s="161">
        <v>38837</v>
      </c>
      <c r="F302" s="172" t="str">
        <f t="shared" si="20"/>
        <v>2005-06</v>
      </c>
      <c r="G302" s="68"/>
      <c r="H302" s="167" t="s">
        <v>280</v>
      </c>
      <c r="I302" s="173">
        <v>21853.086195380012</v>
      </c>
      <c r="J302" s="168">
        <f>IFERROR(MIN('MP Calculations'!$E$30/I302,1),"-")</f>
        <v>0.32927792945511891</v>
      </c>
      <c r="K302" s="12"/>
      <c r="L302" s="159">
        <v>0.56226799999999999</v>
      </c>
      <c r="M302" s="159" t="s">
        <v>293</v>
      </c>
      <c r="N302" s="159">
        <v>726</v>
      </c>
      <c r="O302" s="185">
        <f t="shared" si="19"/>
        <v>408.206568</v>
      </c>
      <c r="P302" s="215">
        <f t="shared" si="21"/>
        <v>134.41341350102022</v>
      </c>
      <c r="Q302" s="215" cm="1">
        <f t="array" ref="Q302">IF(P302="-",0,P302/(1+'General inputs'!$H$32)^IFERROR(INDEX('MP Calculations'!$C$40:$C$130,MATCH(F302,'MP Calculations'!$D$40:$D$130,0),0),-1))</f>
        <v>270.51654544575672</v>
      </c>
      <c r="R302" s="207">
        <f t="shared" si="22"/>
        <v>2006</v>
      </c>
      <c r="S302" s="215">
        <f>IF(P302="-",0,P302/(1+'General inputs'!$H$32)^(R302-2023))</f>
        <v>270.51654544575672</v>
      </c>
    </row>
    <row r="303" spans="3:19">
      <c r="C303" s="159"/>
      <c r="D303" s="165" t="s">
        <v>292</v>
      </c>
      <c r="E303" s="161">
        <v>38837</v>
      </c>
      <c r="F303" s="172" t="str">
        <f t="shared" si="20"/>
        <v>2005-06</v>
      </c>
      <c r="G303" s="68"/>
      <c r="H303" s="167" t="s">
        <v>280</v>
      </c>
      <c r="I303" s="173">
        <v>21853.086195380012</v>
      </c>
      <c r="J303" s="168">
        <f>IFERROR(MIN('MP Calculations'!$E$30/I303,1),"-")</f>
        <v>0.32927792945511891</v>
      </c>
      <c r="K303" s="12"/>
      <c r="L303" s="159">
        <v>0.58410399999999996</v>
      </c>
      <c r="M303" s="159" t="s">
        <v>293</v>
      </c>
      <c r="N303" s="159">
        <v>589</v>
      </c>
      <c r="O303" s="185">
        <f t="shared" si="19"/>
        <v>344.03725599999996</v>
      </c>
      <c r="P303" s="215">
        <f t="shared" si="21"/>
        <v>113.28387531110067</v>
      </c>
      <c r="Q303" s="215" cm="1">
        <f t="array" ref="Q303">IF(P303="-",0,P303/(1+'General inputs'!$H$32)^IFERROR(INDEX('MP Calculations'!$C$40:$C$130,MATCH(F303,'MP Calculations'!$D$40:$D$130,0),0),-1))</f>
        <v>227.99184847451409</v>
      </c>
      <c r="R303" s="207">
        <f t="shared" si="22"/>
        <v>2006</v>
      </c>
      <c r="S303" s="215">
        <f>IF(P303="-",0,P303/(1+'General inputs'!$H$32)^(R303-2023))</f>
        <v>227.99184847451409</v>
      </c>
    </row>
    <row r="304" spans="3:19">
      <c r="C304" s="159"/>
      <c r="D304" s="165" t="s">
        <v>284</v>
      </c>
      <c r="E304" s="161">
        <v>38837</v>
      </c>
      <c r="F304" s="172" t="str">
        <f t="shared" si="20"/>
        <v>2005-06</v>
      </c>
      <c r="G304" s="68"/>
      <c r="H304" s="167" t="s">
        <v>280</v>
      </c>
      <c r="I304" s="173">
        <v>21853.086195380012</v>
      </c>
      <c r="J304" s="168">
        <f>IFERROR(MIN('MP Calculations'!$E$30/I304,1),"-")</f>
        <v>0.32927792945511891</v>
      </c>
      <c r="K304" s="12"/>
      <c r="L304" s="159">
        <v>1.0770789999999999</v>
      </c>
      <c r="M304" s="159" t="s">
        <v>293</v>
      </c>
      <c r="N304" s="159">
        <v>726</v>
      </c>
      <c r="O304" s="185">
        <f t="shared" si="19"/>
        <v>781.95935399999996</v>
      </c>
      <c r="P304" s="215">
        <f t="shared" si="21"/>
        <v>257.48195700318234</v>
      </c>
      <c r="Q304" s="215" cm="1">
        <f t="array" ref="Q304">IF(P304="-",0,P304/(1+'General inputs'!$H$32)^IFERROR(INDEX('MP Calculations'!$C$40:$C$130,MATCH(F304,'MP Calculations'!$D$40:$D$130,0),0),-1))</f>
        <v>518.20073390655375</v>
      </c>
      <c r="R304" s="207">
        <f t="shared" si="22"/>
        <v>2006</v>
      </c>
      <c r="S304" s="215">
        <f>IF(P304="-",0,P304/(1+'General inputs'!$H$32)^(R304-2023))</f>
        <v>518.20073390655375</v>
      </c>
    </row>
    <row r="305" spans="3:19">
      <c r="C305" s="159"/>
      <c r="D305" s="165" t="s">
        <v>284</v>
      </c>
      <c r="E305" s="161">
        <v>38837</v>
      </c>
      <c r="F305" s="172" t="str">
        <f t="shared" si="20"/>
        <v>2005-06</v>
      </c>
      <c r="G305" s="68"/>
      <c r="H305" s="167" t="s">
        <v>280</v>
      </c>
      <c r="I305" s="173">
        <v>21853.086195380012</v>
      </c>
      <c r="J305" s="168">
        <f>IFERROR(MIN('MP Calculations'!$E$30/I305,1),"-")</f>
        <v>0.32927792945511891</v>
      </c>
      <c r="K305" s="12"/>
      <c r="L305" s="159">
        <v>0.86787199999999998</v>
      </c>
      <c r="M305" s="159" t="s">
        <v>293</v>
      </c>
      <c r="N305" s="159">
        <v>726</v>
      </c>
      <c r="O305" s="185">
        <f t="shared" si="19"/>
        <v>630.07507199999998</v>
      </c>
      <c r="P305" s="215">
        <f t="shared" si="21"/>
        <v>207.46981510944497</v>
      </c>
      <c r="Q305" s="215" cm="1">
        <f t="array" ref="Q305">IF(P305="-",0,P305/(1+'General inputs'!$H$32)^IFERROR(INDEX('MP Calculations'!$C$40:$C$130,MATCH(F305,'MP Calculations'!$D$40:$D$130,0),0),-1))</f>
        <v>417.54774472155583</v>
      </c>
      <c r="R305" s="207">
        <f t="shared" si="22"/>
        <v>2006</v>
      </c>
      <c r="S305" s="215">
        <f>IF(P305="-",0,P305/(1+'General inputs'!$H$32)^(R305-2023))</f>
        <v>417.54774472155583</v>
      </c>
    </row>
    <row r="306" spans="3:19">
      <c r="C306" s="159"/>
      <c r="D306" s="165" t="s">
        <v>284</v>
      </c>
      <c r="E306" s="161">
        <v>38837</v>
      </c>
      <c r="F306" s="172" t="str">
        <f t="shared" si="20"/>
        <v>2005-06</v>
      </c>
      <c r="G306" s="68"/>
      <c r="H306" s="167" t="s">
        <v>280</v>
      </c>
      <c r="I306" s="173">
        <v>21853.086195380012</v>
      </c>
      <c r="J306" s="168">
        <f>IFERROR(MIN('MP Calculations'!$E$30/I306,1),"-")</f>
        <v>0.32927792945511891</v>
      </c>
      <c r="K306" s="12"/>
      <c r="L306" s="159">
        <v>1.6649400000000001</v>
      </c>
      <c r="M306" s="159" t="s">
        <v>293</v>
      </c>
      <c r="N306" s="159">
        <v>726</v>
      </c>
      <c r="O306" s="185">
        <f t="shared" si="19"/>
        <v>1208.7464400000001</v>
      </c>
      <c r="P306" s="215">
        <f t="shared" si="21"/>
        <v>398.01352499944619</v>
      </c>
      <c r="Q306" s="215" cm="1">
        <f t="array" ref="Q306">IF(P306="-",0,P306/(1+'General inputs'!$H$32)^IFERROR(INDEX('MP Calculations'!$C$40:$C$130,MATCH(F306,'MP Calculations'!$D$40:$D$130,0),0),-1))</f>
        <v>801.03050000081498</v>
      </c>
      <c r="R306" s="207">
        <f t="shared" si="22"/>
        <v>2006</v>
      </c>
      <c r="S306" s="215">
        <f>IF(P306="-",0,P306/(1+'General inputs'!$H$32)^(R306-2023))</f>
        <v>801.03050000081498</v>
      </c>
    </row>
    <row r="307" spans="3:19">
      <c r="C307" s="159"/>
      <c r="D307" s="165" t="s">
        <v>292</v>
      </c>
      <c r="E307" s="161">
        <v>38837</v>
      </c>
      <c r="F307" s="172" t="str">
        <f t="shared" si="20"/>
        <v>2005-06</v>
      </c>
      <c r="G307" s="68"/>
      <c r="H307" s="167" t="s">
        <v>280</v>
      </c>
      <c r="I307" s="173">
        <v>21853.086195380012</v>
      </c>
      <c r="J307" s="168">
        <f>IFERROR(MIN('MP Calculations'!$E$30/I307,1),"-")</f>
        <v>0.32927792945511891</v>
      </c>
      <c r="K307" s="12"/>
      <c r="L307" s="159">
        <v>0.537327</v>
      </c>
      <c r="M307" s="159" t="s">
        <v>293</v>
      </c>
      <c r="N307" s="159">
        <v>589</v>
      </c>
      <c r="O307" s="185">
        <f t="shared" si="19"/>
        <v>316.48560300000003</v>
      </c>
      <c r="P307" s="215">
        <f t="shared" si="21"/>
        <v>104.21172405819478</v>
      </c>
      <c r="Q307" s="215" cm="1">
        <f t="array" ref="Q307">IF(P307="-",0,P307/(1+'General inputs'!$H$32)^IFERROR(INDEX('MP Calculations'!$C$40:$C$130,MATCH(F307,'MP Calculations'!$D$40:$D$130,0),0),-1))</f>
        <v>209.73349945431849</v>
      </c>
      <c r="R307" s="207">
        <f t="shared" si="22"/>
        <v>2006</v>
      </c>
      <c r="S307" s="215">
        <f>IF(P307="-",0,P307/(1+'General inputs'!$H$32)^(R307-2023))</f>
        <v>209.73349945431849</v>
      </c>
    </row>
    <row r="308" spans="3:19">
      <c r="C308" s="159"/>
      <c r="D308" s="165" t="s">
        <v>283</v>
      </c>
      <c r="E308" s="161">
        <v>38837</v>
      </c>
      <c r="F308" s="172" t="str">
        <f t="shared" si="20"/>
        <v>2005-06</v>
      </c>
      <c r="G308" s="68"/>
      <c r="H308" s="167" t="s">
        <v>280</v>
      </c>
      <c r="I308" s="173">
        <v>21853.086195380012</v>
      </c>
      <c r="J308" s="168">
        <f>IFERROR(MIN('MP Calculations'!$E$30/I308,1),"-")</f>
        <v>0.32927792945511891</v>
      </c>
      <c r="K308" s="12"/>
      <c r="L308" s="159">
        <v>0.42982799999999999</v>
      </c>
      <c r="M308" s="159" t="s">
        <v>293</v>
      </c>
      <c r="N308" s="159">
        <v>350</v>
      </c>
      <c r="O308" s="185">
        <f t="shared" si="19"/>
        <v>150.43979999999999</v>
      </c>
      <c r="P308" s="215">
        <f t="shared" si="21"/>
        <v>49.536505851642197</v>
      </c>
      <c r="Q308" s="215" cm="1">
        <f t="array" ref="Q308">IF(P308="-",0,P308/(1+'General inputs'!$H$32)^IFERROR(INDEX('MP Calculations'!$C$40:$C$130,MATCH(F308,'MP Calculations'!$D$40:$D$130,0),0),-1))</f>
        <v>99.695737853856755</v>
      </c>
      <c r="R308" s="207">
        <f t="shared" si="22"/>
        <v>2006</v>
      </c>
      <c r="S308" s="215">
        <f>IF(P308="-",0,P308/(1+'General inputs'!$H$32)^(R308-2023))</f>
        <v>99.695737853856755</v>
      </c>
    </row>
    <row r="309" spans="3:19">
      <c r="C309" s="159"/>
      <c r="D309" s="165" t="s">
        <v>283</v>
      </c>
      <c r="E309" s="161">
        <v>38837</v>
      </c>
      <c r="F309" s="172" t="str">
        <f t="shared" si="20"/>
        <v>2005-06</v>
      </c>
      <c r="G309" s="68"/>
      <c r="H309" s="167" t="s">
        <v>280</v>
      </c>
      <c r="I309" s="173">
        <v>21853.086195380012</v>
      </c>
      <c r="J309" s="168">
        <f>IFERROR(MIN('MP Calculations'!$E$30/I309,1),"-")</f>
        <v>0.32927792945511891</v>
      </c>
      <c r="K309" s="12"/>
      <c r="L309" s="159">
        <v>0.45710200000000001</v>
      </c>
      <c r="M309" s="159" t="s">
        <v>293</v>
      </c>
      <c r="N309" s="159">
        <v>350</v>
      </c>
      <c r="O309" s="185">
        <f t="shared" si="19"/>
        <v>159.98570000000001</v>
      </c>
      <c r="P309" s="215">
        <f t="shared" si="21"/>
        <v>52.679760038427823</v>
      </c>
      <c r="Q309" s="215" cm="1">
        <f t="array" ref="Q309">IF(P309="-",0,P309/(1+'General inputs'!$H$32)^IFERROR(INDEX('MP Calculations'!$C$40:$C$130,MATCH(F309,'MP Calculations'!$D$40:$D$130,0),0),-1))</f>
        <v>106.02176024938727</v>
      </c>
      <c r="R309" s="207">
        <f t="shared" si="22"/>
        <v>2006</v>
      </c>
      <c r="S309" s="215">
        <f>IF(P309="-",0,P309/(1+'General inputs'!$H$32)^(R309-2023))</f>
        <v>106.02176024938727</v>
      </c>
    </row>
    <row r="310" spans="3:19">
      <c r="C310" s="159"/>
      <c r="D310" s="165" t="s">
        <v>283</v>
      </c>
      <c r="E310" s="161">
        <v>38837</v>
      </c>
      <c r="F310" s="172" t="str">
        <f t="shared" si="20"/>
        <v>2005-06</v>
      </c>
      <c r="G310" s="68"/>
      <c r="H310" s="167" t="s">
        <v>280</v>
      </c>
      <c r="I310" s="173">
        <v>21853.086195380012</v>
      </c>
      <c r="J310" s="168">
        <f>IFERROR(MIN('MP Calculations'!$E$30/I310,1),"-")</f>
        <v>0.32927792945511891</v>
      </c>
      <c r="K310" s="12"/>
      <c r="L310" s="159">
        <v>1.5358339999999999</v>
      </c>
      <c r="M310" s="159" t="s">
        <v>293</v>
      </c>
      <c r="N310" s="159">
        <v>350</v>
      </c>
      <c r="O310" s="185">
        <f t="shared" si="19"/>
        <v>537.54189999999994</v>
      </c>
      <c r="P310" s="215">
        <f t="shared" si="21"/>
        <v>177.00068382737055</v>
      </c>
      <c r="Q310" s="215" cm="1">
        <f t="array" ref="Q310">IF(P310="-",0,P310/(1+'General inputs'!$H$32)^IFERROR(INDEX('MP Calculations'!$C$40:$C$130,MATCH(F310,'MP Calculations'!$D$40:$D$130,0),0),-1))</f>
        <v>356.22645302548972</v>
      </c>
      <c r="R310" s="207">
        <f t="shared" si="22"/>
        <v>2006</v>
      </c>
      <c r="S310" s="215">
        <f>IF(P310="-",0,P310/(1+'General inputs'!$H$32)^(R310-2023))</f>
        <v>356.22645302548972</v>
      </c>
    </row>
    <row r="311" spans="3:19">
      <c r="C311" s="159"/>
      <c r="D311" s="165" t="s">
        <v>312</v>
      </c>
      <c r="E311" s="161">
        <v>38883</v>
      </c>
      <c r="F311" s="172" t="str">
        <f t="shared" si="20"/>
        <v>2005-06</v>
      </c>
      <c r="G311" s="68"/>
      <c r="H311" s="167" t="s">
        <v>280</v>
      </c>
      <c r="I311" s="173">
        <v>21853.086195380012</v>
      </c>
      <c r="J311" s="168">
        <f>IFERROR(MIN('MP Calculations'!$E$30/I311,1),"-")</f>
        <v>0.32927792945511891</v>
      </c>
      <c r="K311" s="12"/>
      <c r="L311" s="159">
        <v>1</v>
      </c>
      <c r="M311" s="159" t="s">
        <v>294</v>
      </c>
      <c r="N311" s="159">
        <v>115782.6</v>
      </c>
      <c r="O311" s="185">
        <f t="shared" si="19"/>
        <v>115782.6</v>
      </c>
      <c r="P311" s="215">
        <f t="shared" si="21"/>
        <v>38124.654794930255</v>
      </c>
      <c r="Q311" s="215" cm="1">
        <f t="array" ref="Q311">IF(P311="-",0,P311/(1+'General inputs'!$H$32)^IFERROR(INDEX('MP Calculations'!$C$40:$C$130,MATCH(F311,'MP Calculations'!$D$40:$D$130,0),0),-1))</f>
        <v>76728.576730612214</v>
      </c>
      <c r="R311" s="207">
        <f t="shared" si="22"/>
        <v>2006</v>
      </c>
      <c r="S311" s="215">
        <f>IF(P311="-",0,P311/(1+'General inputs'!$H$32)^(R311-2023))</f>
        <v>76728.576730612214</v>
      </c>
    </row>
    <row r="312" spans="3:19">
      <c r="C312" s="159"/>
      <c r="D312" s="165" t="s">
        <v>309</v>
      </c>
      <c r="E312" s="161">
        <v>38883</v>
      </c>
      <c r="F312" s="172" t="str">
        <f t="shared" si="20"/>
        <v>2005-06</v>
      </c>
      <c r="G312" s="68"/>
      <c r="H312" s="167" t="s">
        <v>280</v>
      </c>
      <c r="I312" s="173">
        <v>21853.086195380012</v>
      </c>
      <c r="J312" s="168">
        <f>IFERROR(MIN('MP Calculations'!$E$30/I312,1),"-")</f>
        <v>0.32927792945511891</v>
      </c>
      <c r="K312" s="12"/>
      <c r="L312" s="159">
        <v>1</v>
      </c>
      <c r="M312" s="159" t="s">
        <v>294</v>
      </c>
      <c r="N312" s="159">
        <v>14702.24</v>
      </c>
      <c r="O312" s="185">
        <f t="shared" si="19"/>
        <v>14702.24</v>
      </c>
      <c r="P312" s="215">
        <f t="shared" si="21"/>
        <v>4841.1231455522275</v>
      </c>
      <c r="Q312" s="215" cm="1">
        <f t="array" ref="Q312">IF(P312="-",0,P312/(1+'General inputs'!$H$32)^IFERROR(INDEX('MP Calculations'!$C$40:$C$130,MATCH(F312,'MP Calculations'!$D$40:$D$130,0),0),-1))</f>
        <v>9743.1043175043233</v>
      </c>
      <c r="R312" s="207">
        <f t="shared" si="22"/>
        <v>2006</v>
      </c>
      <c r="S312" s="215">
        <f>IF(P312="-",0,P312/(1+'General inputs'!$H$32)^(R312-2023))</f>
        <v>9743.1043175043233</v>
      </c>
    </row>
    <row r="313" spans="3:19">
      <c r="C313" s="159"/>
      <c r="D313" s="165" t="s">
        <v>310</v>
      </c>
      <c r="E313" s="161">
        <v>38883</v>
      </c>
      <c r="F313" s="172" t="str">
        <f t="shared" si="20"/>
        <v>2005-06</v>
      </c>
      <c r="G313" s="68"/>
      <c r="H313" s="167" t="s">
        <v>280</v>
      </c>
      <c r="I313" s="173">
        <v>21853.086195380012</v>
      </c>
      <c r="J313" s="168">
        <f>IFERROR(MIN('MP Calculations'!$E$30/I313,1),"-")</f>
        <v>0.32927792945511891</v>
      </c>
      <c r="K313" s="12"/>
      <c r="L313" s="159">
        <v>1</v>
      </c>
      <c r="M313" s="159" t="s">
        <v>294</v>
      </c>
      <c r="N313" s="159">
        <v>14702.24</v>
      </c>
      <c r="O313" s="185">
        <f t="shared" si="19"/>
        <v>14702.24</v>
      </c>
      <c r="P313" s="215">
        <f t="shared" si="21"/>
        <v>4841.1231455522275</v>
      </c>
      <c r="Q313" s="215" cm="1">
        <f t="array" ref="Q313">IF(P313="-",0,P313/(1+'General inputs'!$H$32)^IFERROR(INDEX('MP Calculations'!$C$40:$C$130,MATCH(F313,'MP Calculations'!$D$40:$D$130,0),0),-1))</f>
        <v>9743.1043175043233</v>
      </c>
      <c r="R313" s="207">
        <f t="shared" si="22"/>
        <v>2006</v>
      </c>
      <c r="S313" s="215">
        <f>IF(P313="-",0,P313/(1+'General inputs'!$H$32)^(R313-2023))</f>
        <v>9743.1043175043233</v>
      </c>
    </row>
    <row r="314" spans="3:19">
      <c r="C314" s="159"/>
      <c r="D314" s="165" t="s">
        <v>311</v>
      </c>
      <c r="E314" s="161">
        <v>38883</v>
      </c>
      <c r="F314" s="172" t="str">
        <f t="shared" si="20"/>
        <v>2005-06</v>
      </c>
      <c r="G314" s="68"/>
      <c r="H314" s="167" t="s">
        <v>280</v>
      </c>
      <c r="I314" s="173">
        <v>21853.086195380012</v>
      </c>
      <c r="J314" s="168">
        <f>IFERROR(MIN('MP Calculations'!$E$30/I314,1),"-")</f>
        <v>0.32927792945511891</v>
      </c>
      <c r="K314" s="12"/>
      <c r="L314" s="159">
        <v>1</v>
      </c>
      <c r="M314" s="159" t="s">
        <v>294</v>
      </c>
      <c r="N314" s="159">
        <v>14702.24</v>
      </c>
      <c r="O314" s="185">
        <f t="shared" si="19"/>
        <v>14702.24</v>
      </c>
      <c r="P314" s="215">
        <f t="shared" si="21"/>
        <v>4841.1231455522275</v>
      </c>
      <c r="Q314" s="215" cm="1">
        <f t="array" ref="Q314">IF(P314="-",0,P314/(1+'General inputs'!$H$32)^IFERROR(INDEX('MP Calculations'!$C$40:$C$130,MATCH(F314,'MP Calculations'!$D$40:$D$130,0),0),-1))</f>
        <v>9743.1043175043233</v>
      </c>
      <c r="R314" s="207">
        <f t="shared" si="22"/>
        <v>2006</v>
      </c>
      <c r="S314" s="215">
        <f>IF(P314="-",0,P314/(1+'General inputs'!$H$32)^(R314-2023))</f>
        <v>9743.1043175043233</v>
      </c>
    </row>
    <row r="315" spans="3:19">
      <c r="C315" s="159"/>
      <c r="D315" s="165" t="s">
        <v>307</v>
      </c>
      <c r="E315" s="161">
        <v>38883</v>
      </c>
      <c r="F315" s="172" t="str">
        <f t="shared" si="20"/>
        <v>2005-06</v>
      </c>
      <c r="G315" s="68"/>
      <c r="H315" s="167" t="s">
        <v>280</v>
      </c>
      <c r="I315" s="173">
        <v>21853.086195380012</v>
      </c>
      <c r="J315" s="168">
        <f>IFERROR(MIN('MP Calculations'!$E$30/I315,1),"-")</f>
        <v>0.32927792945511891</v>
      </c>
      <c r="K315" s="12"/>
      <c r="L315" s="159">
        <v>1</v>
      </c>
      <c r="M315" s="159" t="s">
        <v>294</v>
      </c>
      <c r="N315" s="159">
        <v>6768.8</v>
      </c>
      <c r="O315" s="185">
        <f t="shared" si="19"/>
        <v>6768.8</v>
      </c>
      <c r="P315" s="215">
        <f t="shared" si="21"/>
        <v>2228.8164488958091</v>
      </c>
      <c r="Q315" s="215" cm="1">
        <f t="array" ref="Q315">IF(P315="-",0,P315/(1+'General inputs'!$H$32)^IFERROR(INDEX('MP Calculations'!$C$40:$C$130,MATCH(F315,'MP Calculations'!$D$40:$D$130,0),0),-1))</f>
        <v>4485.6514724506787</v>
      </c>
      <c r="R315" s="207">
        <f t="shared" si="22"/>
        <v>2006</v>
      </c>
      <c r="S315" s="215">
        <f>IF(P315="-",0,P315/(1+'General inputs'!$H$32)^(R315-2023))</f>
        <v>4485.6514724506787</v>
      </c>
    </row>
    <row r="316" spans="3:19">
      <c r="C316" s="159"/>
      <c r="D316" s="165" t="s">
        <v>313</v>
      </c>
      <c r="E316" s="161">
        <v>38883</v>
      </c>
      <c r="F316" s="172" t="str">
        <f t="shared" si="20"/>
        <v>2005-06</v>
      </c>
      <c r="G316" s="68"/>
      <c r="H316" s="167" t="s">
        <v>280</v>
      </c>
      <c r="I316" s="173">
        <v>21853.086195380012</v>
      </c>
      <c r="J316" s="168">
        <f>IFERROR(MIN('MP Calculations'!$E$30/I316,1),"-")</f>
        <v>0.32927792945511891</v>
      </c>
      <c r="K316" s="12"/>
      <c r="L316" s="159">
        <v>1</v>
      </c>
      <c r="M316" s="159" t="s">
        <v>294</v>
      </c>
      <c r="N316" s="159">
        <v>6768.8</v>
      </c>
      <c r="O316" s="185">
        <f t="shared" si="19"/>
        <v>6768.8</v>
      </c>
      <c r="P316" s="215">
        <f t="shared" si="21"/>
        <v>2228.8164488958091</v>
      </c>
      <c r="Q316" s="215" cm="1">
        <f t="array" ref="Q316">IF(P316="-",0,P316/(1+'General inputs'!$H$32)^IFERROR(INDEX('MP Calculations'!$C$40:$C$130,MATCH(F316,'MP Calculations'!$D$40:$D$130,0),0),-1))</f>
        <v>4485.6514724506787</v>
      </c>
      <c r="R316" s="207">
        <f t="shared" si="22"/>
        <v>2006</v>
      </c>
      <c r="S316" s="215">
        <f>IF(P316="-",0,P316/(1+'General inputs'!$H$32)^(R316-2023))</f>
        <v>4485.6514724506787</v>
      </c>
    </row>
    <row r="317" spans="3:19">
      <c r="C317" s="159"/>
      <c r="D317" s="165" t="s">
        <v>308</v>
      </c>
      <c r="E317" s="161">
        <v>38883</v>
      </c>
      <c r="F317" s="172" t="str">
        <f t="shared" si="20"/>
        <v>2005-06</v>
      </c>
      <c r="G317" s="68"/>
      <c r="H317" s="167" t="s">
        <v>280</v>
      </c>
      <c r="I317" s="173">
        <v>21853.086195380012</v>
      </c>
      <c r="J317" s="168">
        <f>IFERROR(MIN('MP Calculations'!$E$30/I317,1),"-")</f>
        <v>0.32927792945511891</v>
      </c>
      <c r="K317" s="12"/>
      <c r="L317" s="159">
        <v>1</v>
      </c>
      <c r="M317" s="159" t="s">
        <v>294</v>
      </c>
      <c r="N317" s="159">
        <v>138029.71</v>
      </c>
      <c r="O317" s="185">
        <f t="shared" si="19"/>
        <v>138029.71</v>
      </c>
      <c r="P317" s="215">
        <f t="shared" si="21"/>
        <v>45450.137112090517</v>
      </c>
      <c r="Q317" s="215" cm="1">
        <f t="array" ref="Q317">IF(P317="-",0,P317/(1+'General inputs'!$H$32)^IFERROR(INDEX('MP Calculations'!$C$40:$C$130,MATCH(F317,'MP Calculations'!$D$40:$D$130,0),0),-1))</f>
        <v>91471.630407670498</v>
      </c>
      <c r="R317" s="207">
        <f t="shared" si="22"/>
        <v>2006</v>
      </c>
      <c r="S317" s="215">
        <f>IF(P317="-",0,P317/(1+'General inputs'!$H$32)^(R317-2023))</f>
        <v>91471.630407670498</v>
      </c>
    </row>
    <row r="318" spans="3:19">
      <c r="C318" s="159"/>
      <c r="D318" s="165" t="s">
        <v>305</v>
      </c>
      <c r="E318" s="161">
        <v>38883</v>
      </c>
      <c r="F318" s="172" t="str">
        <f t="shared" si="20"/>
        <v>2005-06</v>
      </c>
      <c r="G318" s="68"/>
      <c r="H318" s="167" t="s">
        <v>280</v>
      </c>
      <c r="I318" s="173">
        <v>21853.086195380012</v>
      </c>
      <c r="J318" s="168">
        <f>IFERROR(MIN('MP Calculations'!$E$30/I318,1),"-")</f>
        <v>0.32927792945511891</v>
      </c>
      <c r="K318" s="12"/>
      <c r="L318" s="159">
        <v>1</v>
      </c>
      <c r="M318" s="159" t="s">
        <v>294</v>
      </c>
      <c r="N318" s="159">
        <v>74976.69</v>
      </c>
      <c r="O318" s="185">
        <f t="shared" si="19"/>
        <v>74976.69</v>
      </c>
      <c r="P318" s="215">
        <f t="shared" si="21"/>
        <v>24688.169240598319</v>
      </c>
      <c r="Q318" s="215" cm="1">
        <f t="array" ref="Q318">IF(P318="-",0,P318/(1+'General inputs'!$H$32)^IFERROR(INDEX('MP Calculations'!$C$40:$C$130,MATCH(F318,'MP Calculations'!$D$40:$D$130,0),0),-1))</f>
        <v>49686.69482005349</v>
      </c>
      <c r="R318" s="207">
        <f t="shared" si="22"/>
        <v>2006</v>
      </c>
      <c r="S318" s="215">
        <f>IF(P318="-",0,P318/(1+'General inputs'!$H$32)^(R318-2023))</f>
        <v>49686.69482005349</v>
      </c>
    </row>
    <row r="319" spans="3:19">
      <c r="C319" s="159"/>
      <c r="D319" s="165" t="s">
        <v>306</v>
      </c>
      <c r="E319" s="161">
        <v>38883</v>
      </c>
      <c r="F319" s="172" t="str">
        <f t="shared" si="20"/>
        <v>2005-06</v>
      </c>
      <c r="G319" s="68"/>
      <c r="H319" s="167" t="s">
        <v>280</v>
      </c>
      <c r="I319" s="173">
        <v>21853.086195380012</v>
      </c>
      <c r="J319" s="168">
        <f>IFERROR(MIN('MP Calculations'!$E$30/I319,1),"-")</f>
        <v>0.32927792945511891</v>
      </c>
      <c r="K319" s="12"/>
      <c r="L319" s="159">
        <v>1</v>
      </c>
      <c r="M319" s="159" t="s">
        <v>294</v>
      </c>
      <c r="N319" s="159">
        <v>24040.49</v>
      </c>
      <c r="O319" s="185">
        <f t="shared" si="19"/>
        <v>24040.49</v>
      </c>
      <c r="P319" s="215">
        <f t="shared" si="21"/>
        <v>7916.0027702864918</v>
      </c>
      <c r="Q319" s="215" cm="1">
        <f t="array" ref="Q319">IF(P319="-",0,P319/(1+'General inputs'!$H$32)^IFERROR(INDEX('MP Calculations'!$C$40:$C$130,MATCH(F319,'MP Calculations'!$D$40:$D$130,0),0),-1))</f>
        <v>15931.518048536789</v>
      </c>
      <c r="R319" s="207">
        <f t="shared" si="22"/>
        <v>2006</v>
      </c>
      <c r="S319" s="215">
        <f>IF(P319="-",0,P319/(1+'General inputs'!$H$32)^(R319-2023))</f>
        <v>15931.518048536789</v>
      </c>
    </row>
    <row r="320" spans="3:19">
      <c r="C320" s="159"/>
      <c r="D320" s="165" t="s">
        <v>314</v>
      </c>
      <c r="E320" s="161">
        <v>38883</v>
      </c>
      <c r="F320" s="172" t="str">
        <f t="shared" si="20"/>
        <v>2005-06</v>
      </c>
      <c r="G320" s="68"/>
      <c r="H320" s="167" t="s">
        <v>280</v>
      </c>
      <c r="I320" s="173">
        <v>21853.086195380012</v>
      </c>
      <c r="J320" s="168">
        <f>IFERROR(MIN('MP Calculations'!$E$30/I320,1),"-")</f>
        <v>0.32927792945511891</v>
      </c>
      <c r="K320" s="12"/>
      <c r="L320" s="159">
        <v>1</v>
      </c>
      <c r="M320" s="159" t="s">
        <v>294</v>
      </c>
      <c r="N320" s="159">
        <v>11084.13</v>
      </c>
      <c r="O320" s="185">
        <f t="shared" si="19"/>
        <v>11084.13</v>
      </c>
      <c r="P320" s="215">
        <f t="shared" si="21"/>
        <v>3649.759376211367</v>
      </c>
      <c r="Q320" s="215" cm="1">
        <f t="array" ref="Q320">IF(P320="-",0,P320/(1+'General inputs'!$H$32)^IFERROR(INDEX('MP Calculations'!$C$40:$C$130,MATCH(F320,'MP Calculations'!$D$40:$D$130,0),0),-1))</f>
        <v>7345.4000790885739</v>
      </c>
      <c r="R320" s="207">
        <f t="shared" si="22"/>
        <v>2006</v>
      </c>
      <c r="S320" s="215">
        <f>IF(P320="-",0,P320/(1+'General inputs'!$H$32)^(R320-2023))</f>
        <v>7345.4000790885739</v>
      </c>
    </row>
    <row r="321" spans="3:19">
      <c r="C321" s="159"/>
      <c r="D321" s="165" t="s">
        <v>315</v>
      </c>
      <c r="E321" s="161">
        <v>38960</v>
      </c>
      <c r="F321" s="172" t="str">
        <f t="shared" si="20"/>
        <v>2006-07</v>
      </c>
      <c r="G321" s="68"/>
      <c r="H321" s="167" t="s">
        <v>280</v>
      </c>
      <c r="I321" s="173">
        <v>21853.086195380012</v>
      </c>
      <c r="J321" s="168">
        <f>IFERROR(MIN('MP Calculations'!$E$30/I321,1),"-")</f>
        <v>0.32927792945511891</v>
      </c>
      <c r="K321" s="12"/>
      <c r="L321" s="159">
        <v>1</v>
      </c>
      <c r="M321" s="159" t="s">
        <v>294</v>
      </c>
      <c r="N321" s="159">
        <v>89885.54</v>
      </c>
      <c r="O321" s="185">
        <f t="shared" ref="O321:O384" si="23">IF(N321="","-",L321*N321)</f>
        <v>89885.54</v>
      </c>
      <c r="P321" s="215">
        <f t="shared" si="21"/>
        <v>29597.324499155267</v>
      </c>
      <c r="Q321" s="215" cm="1">
        <f t="array" ref="Q321">IF(P321="-",0,P321/(1+'General inputs'!$H$32)^IFERROR(INDEX('MP Calculations'!$C$40:$C$130,MATCH(F321,'MP Calculations'!$D$40:$D$130,0),0),-1))</f>
        <v>57165.756812875923</v>
      </c>
      <c r="R321" s="207">
        <f t="shared" si="22"/>
        <v>2006</v>
      </c>
      <c r="S321" s="215">
        <f>IF(P321="-",0,P321/(1+'General inputs'!$H$32)^(R321-2023))</f>
        <v>59566.718599016713</v>
      </c>
    </row>
    <row r="322" spans="3:19">
      <c r="C322" s="159"/>
      <c r="D322" s="165" t="s">
        <v>316</v>
      </c>
      <c r="E322" s="161">
        <v>39499</v>
      </c>
      <c r="F322" s="172" t="str">
        <f t="shared" si="20"/>
        <v>2007-08</v>
      </c>
      <c r="G322" s="68"/>
      <c r="H322" s="167" t="s">
        <v>280</v>
      </c>
      <c r="I322" s="173">
        <v>21853.086195380012</v>
      </c>
      <c r="J322" s="168">
        <f>IFERROR(MIN('MP Calculations'!$E$30/I322,1),"-")</f>
        <v>0.32927792945511891</v>
      </c>
      <c r="K322" s="12"/>
      <c r="L322" s="159">
        <v>1</v>
      </c>
      <c r="M322" s="159" t="s">
        <v>294</v>
      </c>
      <c r="N322" s="159">
        <v>33320.639999999999</v>
      </c>
      <c r="O322" s="185">
        <f t="shared" si="23"/>
        <v>33320.639999999999</v>
      </c>
      <c r="P322" s="215">
        <f t="shared" si="21"/>
        <v>10971.751347319414</v>
      </c>
      <c r="Q322" s="215" cm="1">
        <f t="array" ref="Q322">IF(P322="-",0,P322/(1+'General inputs'!$H$32)^IFERROR(INDEX('MP Calculations'!$C$40:$C$130,MATCH(F322,'MP Calculations'!$D$40:$D$130,0),0),-1))</f>
        <v>20337.227230511842</v>
      </c>
      <c r="R322" s="207">
        <f t="shared" si="22"/>
        <v>2008</v>
      </c>
      <c r="S322" s="215">
        <f>IF(P322="-",0,P322/(1+'General inputs'!$H$32)^(R322-2023))</f>
        <v>20337.227230511842</v>
      </c>
    </row>
    <row r="323" spans="3:19">
      <c r="C323" s="159"/>
      <c r="D323" s="165" t="s">
        <v>317</v>
      </c>
      <c r="E323" s="161">
        <v>39630</v>
      </c>
      <c r="F323" s="172" t="str">
        <f t="shared" si="20"/>
        <v>2008-09</v>
      </c>
      <c r="G323" s="68"/>
      <c r="H323" s="167" t="s">
        <v>280</v>
      </c>
      <c r="I323" s="173">
        <v>21853.086195380012</v>
      </c>
      <c r="J323" s="168">
        <f>IFERROR(MIN('MP Calculations'!$E$30/I323,1),"-")</f>
        <v>0.32927792945511891</v>
      </c>
      <c r="K323" s="12"/>
      <c r="L323" s="159">
        <v>1</v>
      </c>
      <c r="M323" s="159" t="s">
        <v>294</v>
      </c>
      <c r="N323" s="159">
        <v>20830.79</v>
      </c>
      <c r="O323" s="185">
        <f t="shared" si="23"/>
        <v>20830.79</v>
      </c>
      <c r="P323" s="215">
        <f t="shared" si="21"/>
        <v>6859.1194001143967</v>
      </c>
      <c r="Q323" s="215" cm="1">
        <f t="array" ref="Q323">IF(P323="-",0,P323/(1+'General inputs'!$H$32)^IFERROR(INDEX('MP Calculations'!$C$40:$C$130,MATCH(F323,'MP Calculations'!$D$40:$D$130,0),0),-1))</f>
        <v>12201.590020597128</v>
      </c>
      <c r="R323" s="207">
        <f t="shared" si="22"/>
        <v>2008</v>
      </c>
      <c r="S323" s="215">
        <f>IF(P323="-",0,P323/(1+'General inputs'!$H$32)^(R323-2023))</f>
        <v>12714.056801462209</v>
      </c>
    </row>
    <row r="324" spans="3:19">
      <c r="C324" s="159"/>
      <c r="D324" s="165" t="s">
        <v>317</v>
      </c>
      <c r="E324" s="161">
        <v>39630</v>
      </c>
      <c r="F324" s="172" t="str">
        <f t="shared" si="20"/>
        <v>2008-09</v>
      </c>
      <c r="G324" s="68"/>
      <c r="H324" s="167" t="s">
        <v>280</v>
      </c>
      <c r="I324" s="173">
        <v>21853.086195380012</v>
      </c>
      <c r="J324" s="168">
        <f>IFERROR(MIN('MP Calculations'!$E$30/I324,1),"-")</f>
        <v>0.32927792945511891</v>
      </c>
      <c r="K324" s="12"/>
      <c r="L324" s="159">
        <v>1</v>
      </c>
      <c r="M324" s="159" t="s">
        <v>294</v>
      </c>
      <c r="N324" s="159">
        <v>1606.73</v>
      </c>
      <c r="O324" s="185">
        <f t="shared" si="23"/>
        <v>1606.73</v>
      </c>
      <c r="P324" s="215">
        <f t="shared" si="21"/>
        <v>529.06072759342317</v>
      </c>
      <c r="Q324" s="215" cm="1">
        <f t="array" ref="Q324">IF(P324="-",0,P324/(1+'General inputs'!$H$32)^IFERROR(INDEX('MP Calculations'!$C$40:$C$130,MATCH(F324,'MP Calculations'!$D$40:$D$130,0),0),-1))</f>
        <v>941.13860942355143</v>
      </c>
      <c r="R324" s="207">
        <f t="shared" si="22"/>
        <v>2008</v>
      </c>
      <c r="S324" s="215">
        <f>IF(P324="-",0,P324/(1+'General inputs'!$H$32)^(R324-2023))</f>
        <v>980.66643101934073</v>
      </c>
    </row>
    <row r="325" spans="3:19">
      <c r="C325" s="159"/>
      <c r="D325" s="165" t="s">
        <v>318</v>
      </c>
      <c r="E325" s="161">
        <v>39814</v>
      </c>
      <c r="F325" s="172" t="str">
        <f t="shared" si="20"/>
        <v>2008-09</v>
      </c>
      <c r="G325" s="68"/>
      <c r="H325" s="167" t="s">
        <v>280</v>
      </c>
      <c r="I325" s="173">
        <v>21853.086195380012</v>
      </c>
      <c r="J325" s="168">
        <f>IFERROR(MIN('MP Calculations'!$E$30/I325,1),"-")</f>
        <v>0.32927792945511891</v>
      </c>
      <c r="K325" s="12"/>
      <c r="L325" s="159">
        <v>1</v>
      </c>
      <c r="M325" s="159" t="s">
        <v>294</v>
      </c>
      <c r="N325" s="159">
        <v>95443.41</v>
      </c>
      <c r="O325" s="185">
        <f t="shared" si="23"/>
        <v>95443.41</v>
      </c>
      <c r="P325" s="215">
        <f t="shared" si="21"/>
        <v>31427.408424935991</v>
      </c>
      <c r="Q325" s="215" cm="1">
        <f t="array" ref="Q325">IF(P325="-",0,P325/(1+'General inputs'!$H$32)^IFERROR(INDEX('MP Calculations'!$C$40:$C$130,MATCH(F325,'MP Calculations'!$D$40:$D$130,0),0),-1))</f>
        <v>55905.770207839458</v>
      </c>
      <c r="R325" s="207">
        <f t="shared" si="22"/>
        <v>2009</v>
      </c>
      <c r="S325" s="215">
        <f>IF(P325="-",0,P325/(1+'General inputs'!$H$32)^(R325-2023))</f>
        <v>55905.770207839458</v>
      </c>
    </row>
    <row r="326" spans="3:19">
      <c r="C326" s="159"/>
      <c r="D326" s="165" t="s">
        <v>283</v>
      </c>
      <c r="E326" s="161">
        <v>39826</v>
      </c>
      <c r="F326" s="172" t="str">
        <f t="shared" si="20"/>
        <v>2008-09</v>
      </c>
      <c r="G326" s="68"/>
      <c r="H326" s="167" t="s">
        <v>280</v>
      </c>
      <c r="I326" s="173">
        <v>21853.086195380012</v>
      </c>
      <c r="J326" s="168">
        <f>IFERROR(MIN('MP Calculations'!$E$30/I326,1),"-")</f>
        <v>0.32927792945511891</v>
      </c>
      <c r="K326" s="12"/>
      <c r="L326" s="159">
        <v>5.4962619999999998</v>
      </c>
      <c r="M326" s="159" t="s">
        <v>293</v>
      </c>
      <c r="N326" s="159">
        <v>350</v>
      </c>
      <c r="O326" s="185">
        <f t="shared" si="23"/>
        <v>1923.6916999999999</v>
      </c>
      <c r="P326" s="215">
        <f t="shared" si="21"/>
        <v>633.42921988599778</v>
      </c>
      <c r="Q326" s="215" cm="1">
        <f t="array" ref="Q326">IF(P326="-",0,P326/(1+'General inputs'!$H$32)^IFERROR(INDEX('MP Calculations'!$C$40:$C$130,MATCH(F326,'MP Calculations'!$D$40:$D$130,0),0),-1))</f>
        <v>1126.7982371012104</v>
      </c>
      <c r="R326" s="207">
        <f t="shared" si="22"/>
        <v>2009</v>
      </c>
      <c r="S326" s="215">
        <f>IF(P326="-",0,P326/(1+'General inputs'!$H$32)^(R326-2023))</f>
        <v>1126.7982371012104</v>
      </c>
    </row>
    <row r="327" spans="3:19">
      <c r="C327" s="159"/>
      <c r="D327" s="165" t="s">
        <v>283</v>
      </c>
      <c r="E327" s="161">
        <v>39826</v>
      </c>
      <c r="F327" s="172" t="str">
        <f t="shared" si="20"/>
        <v>2008-09</v>
      </c>
      <c r="G327" s="68"/>
      <c r="H327" s="167" t="s">
        <v>280</v>
      </c>
      <c r="I327" s="173">
        <v>21853.086195380012</v>
      </c>
      <c r="J327" s="168">
        <f>IFERROR(MIN('MP Calculations'!$E$30/I327,1),"-")</f>
        <v>0.32927792945511891</v>
      </c>
      <c r="K327" s="12"/>
      <c r="L327" s="159">
        <v>23.776139000000001</v>
      </c>
      <c r="M327" s="159" t="s">
        <v>293</v>
      </c>
      <c r="N327" s="159">
        <v>350</v>
      </c>
      <c r="O327" s="185">
        <f t="shared" si="23"/>
        <v>8321.648650000001</v>
      </c>
      <c r="P327" s="215">
        <f t="shared" si="21"/>
        <v>2740.1352371249859</v>
      </c>
      <c r="Q327" s="215" cm="1">
        <f t="array" ref="Q327">IF(P327="-",0,P327/(1+'General inputs'!$H$32)^IFERROR(INDEX('MP Calculations'!$C$40:$C$130,MATCH(F327,'MP Calculations'!$D$40:$D$130,0),0),-1))</f>
        <v>4874.3876311342765</v>
      </c>
      <c r="R327" s="207">
        <f t="shared" si="22"/>
        <v>2009</v>
      </c>
      <c r="S327" s="215">
        <f>IF(P327="-",0,P327/(1+'General inputs'!$H$32)^(R327-2023))</f>
        <v>4874.3876311342765</v>
      </c>
    </row>
    <row r="328" spans="3:19">
      <c r="C328" s="159"/>
      <c r="D328" s="165" t="s">
        <v>283</v>
      </c>
      <c r="E328" s="161">
        <v>39826</v>
      </c>
      <c r="F328" s="172" t="str">
        <f t="shared" si="20"/>
        <v>2008-09</v>
      </c>
      <c r="G328" s="68"/>
      <c r="H328" s="167" t="s">
        <v>280</v>
      </c>
      <c r="I328" s="173">
        <v>21853.086195380012</v>
      </c>
      <c r="J328" s="168">
        <f>IFERROR(MIN('MP Calculations'!$E$30/I328,1),"-")</f>
        <v>0.32927792945511891</v>
      </c>
      <c r="K328" s="12"/>
      <c r="L328" s="159">
        <v>6.6056650000000001</v>
      </c>
      <c r="M328" s="159" t="s">
        <v>293</v>
      </c>
      <c r="N328" s="159">
        <v>350</v>
      </c>
      <c r="O328" s="185">
        <f t="shared" si="23"/>
        <v>2311.9827500000001</v>
      </c>
      <c r="P328" s="215">
        <f t="shared" si="21"/>
        <v>761.28489285595185</v>
      </c>
      <c r="Q328" s="215" cm="1">
        <f t="array" ref="Q328">IF(P328="-",0,P328/(1+'General inputs'!$H$32)^IFERROR(INDEX('MP Calculations'!$C$40:$C$130,MATCH(F328,'MP Calculations'!$D$40:$D$130,0),0),-1))</f>
        <v>1354.2388766913164</v>
      </c>
      <c r="R328" s="207">
        <f t="shared" si="22"/>
        <v>2009</v>
      </c>
      <c r="S328" s="215">
        <f>IF(P328="-",0,P328/(1+'General inputs'!$H$32)^(R328-2023))</f>
        <v>1354.2388766913164</v>
      </c>
    </row>
    <row r="329" spans="3:19">
      <c r="C329" s="159"/>
      <c r="D329" s="165" t="s">
        <v>283</v>
      </c>
      <c r="E329" s="161">
        <v>39826</v>
      </c>
      <c r="F329" s="172" t="str">
        <f t="shared" si="20"/>
        <v>2008-09</v>
      </c>
      <c r="G329" s="68"/>
      <c r="H329" s="167" t="s">
        <v>280</v>
      </c>
      <c r="I329" s="173">
        <v>21853.086195380012</v>
      </c>
      <c r="J329" s="168">
        <f>IFERROR(MIN('MP Calculations'!$E$30/I329,1),"-")</f>
        <v>0.32927792945511891</v>
      </c>
      <c r="K329" s="12"/>
      <c r="L329" s="159">
        <v>49.863466000000003</v>
      </c>
      <c r="M329" s="159" t="s">
        <v>293</v>
      </c>
      <c r="N329" s="159">
        <v>350</v>
      </c>
      <c r="O329" s="185">
        <f t="shared" si="23"/>
        <v>17452.213100000001</v>
      </c>
      <c r="P329" s="215">
        <f t="shared" si="21"/>
        <v>5746.6285939775025</v>
      </c>
      <c r="Q329" s="215" cm="1">
        <f t="array" ref="Q329">IF(P329="-",0,P329/(1+'General inputs'!$H$32)^IFERROR(INDEX('MP Calculations'!$C$40:$C$130,MATCH(F329,'MP Calculations'!$D$40:$D$130,0),0),-1))</f>
        <v>10222.595936030006</v>
      </c>
      <c r="R329" s="207">
        <f t="shared" si="22"/>
        <v>2009</v>
      </c>
      <c r="S329" s="215">
        <f>IF(P329="-",0,P329/(1+'General inputs'!$H$32)^(R329-2023))</f>
        <v>10222.595936030006</v>
      </c>
    </row>
    <row r="330" spans="3:19">
      <c r="C330" s="159"/>
      <c r="D330" s="165" t="s">
        <v>283</v>
      </c>
      <c r="E330" s="161">
        <v>39826</v>
      </c>
      <c r="F330" s="172" t="str">
        <f t="shared" si="20"/>
        <v>2008-09</v>
      </c>
      <c r="G330" s="68"/>
      <c r="H330" s="167" t="s">
        <v>280</v>
      </c>
      <c r="I330" s="173">
        <v>21853.086195380012</v>
      </c>
      <c r="J330" s="168">
        <f>IFERROR(MIN('MP Calculations'!$E$30/I330,1),"-")</f>
        <v>0.32927792945511891</v>
      </c>
      <c r="K330" s="12"/>
      <c r="L330" s="159">
        <v>20.862483000000001</v>
      </c>
      <c r="M330" s="159" t="s">
        <v>293</v>
      </c>
      <c r="N330" s="159">
        <v>350</v>
      </c>
      <c r="O330" s="185">
        <f t="shared" si="23"/>
        <v>7301.8690500000002</v>
      </c>
      <c r="P330" s="215">
        <f t="shared" si="21"/>
        <v>2404.3443219364162</v>
      </c>
      <c r="Q330" s="215" cm="1">
        <f t="array" ref="Q330">IF(P330="-",0,P330/(1+'General inputs'!$H$32)^IFERROR(INDEX('MP Calculations'!$C$40:$C$130,MATCH(F330,'MP Calculations'!$D$40:$D$130,0),0),-1))</f>
        <v>4277.0539442904965</v>
      </c>
      <c r="R330" s="207">
        <f t="shared" si="22"/>
        <v>2009</v>
      </c>
      <c r="S330" s="215">
        <f>IF(P330="-",0,P330/(1+'General inputs'!$H$32)^(R330-2023))</f>
        <v>4277.0539442904965</v>
      </c>
    </row>
    <row r="331" spans="3:19">
      <c r="C331" s="159"/>
      <c r="D331" s="165" t="s">
        <v>283</v>
      </c>
      <c r="E331" s="161">
        <v>39826</v>
      </c>
      <c r="F331" s="172" t="str">
        <f t="shared" si="20"/>
        <v>2008-09</v>
      </c>
      <c r="G331" s="68"/>
      <c r="H331" s="167" t="s">
        <v>280</v>
      </c>
      <c r="I331" s="173">
        <v>21853.086195380012</v>
      </c>
      <c r="J331" s="168">
        <f>IFERROR(MIN('MP Calculations'!$E$30/I331,1),"-")</f>
        <v>0.32927792945511891</v>
      </c>
      <c r="K331" s="12"/>
      <c r="L331" s="159">
        <v>0.52938499999999999</v>
      </c>
      <c r="M331" s="159" t="s">
        <v>293</v>
      </c>
      <c r="N331" s="159">
        <v>350</v>
      </c>
      <c r="O331" s="185">
        <f t="shared" si="23"/>
        <v>185.28475</v>
      </c>
      <c r="P331" s="215">
        <f t="shared" si="21"/>
        <v>61.010178839609345</v>
      </c>
      <c r="Q331" s="215" cm="1">
        <f t="array" ref="Q331">IF(P331="-",0,P331/(1+'General inputs'!$H$32)^IFERROR(INDEX('MP Calculations'!$C$40:$C$130,MATCH(F331,'MP Calculations'!$D$40:$D$130,0),0),-1))</f>
        <v>108.53014007480435</v>
      </c>
      <c r="R331" s="207">
        <f t="shared" si="22"/>
        <v>2009</v>
      </c>
      <c r="S331" s="215">
        <f>IF(P331="-",0,P331/(1+'General inputs'!$H$32)^(R331-2023))</f>
        <v>108.53014007480435</v>
      </c>
    </row>
    <row r="332" spans="3:19">
      <c r="C332" s="159"/>
      <c r="D332" s="165" t="s">
        <v>283</v>
      </c>
      <c r="E332" s="161">
        <v>39826</v>
      </c>
      <c r="F332" s="172" t="str">
        <f t="shared" si="20"/>
        <v>2008-09</v>
      </c>
      <c r="G332" s="68"/>
      <c r="H332" s="167" t="s">
        <v>280</v>
      </c>
      <c r="I332" s="173">
        <v>21853.086195380012</v>
      </c>
      <c r="J332" s="168">
        <f>IFERROR(MIN('MP Calculations'!$E$30/I332,1),"-")</f>
        <v>0.32927792945511891</v>
      </c>
      <c r="K332" s="12"/>
      <c r="L332" s="159">
        <v>1.573888</v>
      </c>
      <c r="M332" s="159" t="s">
        <v>293</v>
      </c>
      <c r="N332" s="159">
        <v>350</v>
      </c>
      <c r="O332" s="185">
        <f t="shared" si="23"/>
        <v>550.86080000000004</v>
      </c>
      <c r="P332" s="215">
        <f t="shared" si="21"/>
        <v>181.38630364199039</v>
      </c>
      <c r="Q332" s="215" cm="1">
        <f t="array" ref="Q332">IF(P332="-",0,P332/(1+'General inputs'!$H$32)^IFERROR(INDEX('MP Calculations'!$C$40:$C$130,MATCH(F332,'MP Calculations'!$D$40:$D$130,0),0),-1))</f>
        <v>322.66551772727541</v>
      </c>
      <c r="R332" s="207">
        <f t="shared" si="22"/>
        <v>2009</v>
      </c>
      <c r="S332" s="215">
        <f>IF(P332="-",0,P332/(1+'General inputs'!$H$32)^(R332-2023))</f>
        <v>322.66551772727541</v>
      </c>
    </row>
    <row r="333" spans="3:19">
      <c r="C333" s="159"/>
      <c r="D333" s="165" t="s">
        <v>282</v>
      </c>
      <c r="E333" s="161">
        <v>39826</v>
      </c>
      <c r="F333" s="172" t="str">
        <f t="shared" si="20"/>
        <v>2008-09</v>
      </c>
      <c r="G333" s="68"/>
      <c r="H333" s="167" t="s">
        <v>280</v>
      </c>
      <c r="I333" s="173">
        <v>21853.086195380012</v>
      </c>
      <c r="J333" s="168">
        <f>IFERROR(MIN('MP Calculations'!$E$30/I333,1),"-")</f>
        <v>0.32927792945511891</v>
      </c>
      <c r="K333" s="12"/>
      <c r="L333" s="159">
        <v>0.40026200000000001</v>
      </c>
      <c r="M333" s="159" t="s">
        <v>293</v>
      </c>
      <c r="N333" s="159">
        <v>511</v>
      </c>
      <c r="O333" s="185">
        <f t="shared" si="23"/>
        <v>204.53388200000001</v>
      </c>
      <c r="P333" s="215">
        <f t="shared" si="21"/>
        <v>67.348493168377615</v>
      </c>
      <c r="Q333" s="215" cm="1">
        <f t="array" ref="Q333">IF(P333="-",0,P333/(1+'General inputs'!$H$32)^IFERROR(INDEX('MP Calculations'!$C$40:$C$130,MATCH(F333,'MP Calculations'!$D$40:$D$130,0),0),-1))</f>
        <v>119.80527735554871</v>
      </c>
      <c r="R333" s="207">
        <f t="shared" si="22"/>
        <v>2009</v>
      </c>
      <c r="S333" s="215">
        <f>IF(P333="-",0,P333/(1+'General inputs'!$H$32)^(R333-2023))</f>
        <v>119.80527735554871</v>
      </c>
    </row>
    <row r="334" spans="3:19">
      <c r="C334" s="159"/>
      <c r="D334" s="165" t="s">
        <v>282</v>
      </c>
      <c r="E334" s="161">
        <v>39826</v>
      </c>
      <c r="F334" s="172" t="str">
        <f t="shared" si="20"/>
        <v>2008-09</v>
      </c>
      <c r="G334" s="68"/>
      <c r="H334" s="167" t="s">
        <v>280</v>
      </c>
      <c r="I334" s="173">
        <v>21853.086195380012</v>
      </c>
      <c r="J334" s="168">
        <f>IFERROR(MIN('MP Calculations'!$E$30/I334,1),"-")</f>
        <v>0.32927792945511891</v>
      </c>
      <c r="K334" s="12"/>
      <c r="L334" s="159">
        <v>0.79962800000000001</v>
      </c>
      <c r="M334" s="159" t="s">
        <v>293</v>
      </c>
      <c r="N334" s="159">
        <v>511</v>
      </c>
      <c r="O334" s="185">
        <f t="shared" si="23"/>
        <v>408.60990800000002</v>
      </c>
      <c r="P334" s="215">
        <f t="shared" si="21"/>
        <v>134.54622446108664</v>
      </c>
      <c r="Q334" s="215" cm="1">
        <f t="array" ref="Q334">IF(P334="-",0,P334/(1+'General inputs'!$H$32)^IFERROR(INDEX('MP Calculations'!$C$40:$C$130,MATCH(F334,'MP Calculations'!$D$40:$D$130,0),0),-1))</f>
        <v>239.34236655306452</v>
      </c>
      <c r="R334" s="207">
        <f t="shared" si="22"/>
        <v>2009</v>
      </c>
      <c r="S334" s="215">
        <f>IF(P334="-",0,P334/(1+'General inputs'!$H$32)^(R334-2023))</f>
        <v>239.34236655306452</v>
      </c>
    </row>
    <row r="335" spans="3:19">
      <c r="C335" s="159"/>
      <c r="D335" s="165" t="s">
        <v>282</v>
      </c>
      <c r="E335" s="161">
        <v>39870</v>
      </c>
      <c r="F335" s="172" t="str">
        <f t="shared" si="20"/>
        <v>2008-09</v>
      </c>
      <c r="G335" s="68"/>
      <c r="H335" s="167" t="s">
        <v>280</v>
      </c>
      <c r="I335" s="173">
        <v>21853.086195380012</v>
      </c>
      <c r="J335" s="168">
        <f>IFERROR(MIN('MP Calculations'!$E$30/I335,1),"-")</f>
        <v>0.32927792945511891</v>
      </c>
      <c r="K335" s="12"/>
      <c r="L335" s="159">
        <v>58.358243000000002</v>
      </c>
      <c r="M335" s="159" t="s">
        <v>293</v>
      </c>
      <c r="N335" s="159">
        <v>511</v>
      </c>
      <c r="O335" s="185">
        <f t="shared" si="23"/>
        <v>29821.062173000002</v>
      </c>
      <c r="P335" s="215">
        <f t="shared" si="21"/>
        <v>9819.4176064778094</v>
      </c>
      <c r="Q335" s="215" cm="1">
        <f t="array" ref="Q335">IF(P335="-",0,P335/(1+'General inputs'!$H$32)^IFERROR(INDEX('MP Calculations'!$C$40:$C$130,MATCH(F335,'MP Calculations'!$D$40:$D$130,0),0),-1))</f>
        <v>17467.622428802908</v>
      </c>
      <c r="R335" s="207">
        <f t="shared" si="22"/>
        <v>2009</v>
      </c>
      <c r="S335" s="215">
        <f>IF(P335="-",0,P335/(1+'General inputs'!$H$32)^(R335-2023))</f>
        <v>17467.622428802908</v>
      </c>
    </row>
    <row r="336" spans="3:19">
      <c r="C336" s="159"/>
      <c r="D336" s="165" t="s">
        <v>282</v>
      </c>
      <c r="E336" s="161">
        <v>39974</v>
      </c>
      <c r="F336" s="172" t="str">
        <f t="shared" si="20"/>
        <v>2008-09</v>
      </c>
      <c r="G336" s="68"/>
      <c r="H336" s="167" t="s">
        <v>280</v>
      </c>
      <c r="I336" s="173">
        <v>21853.086195380012</v>
      </c>
      <c r="J336" s="168">
        <f>IFERROR(MIN('MP Calculations'!$E$30/I336,1),"-")</f>
        <v>0.32927792945511891</v>
      </c>
      <c r="K336" s="12"/>
      <c r="L336" s="159">
        <v>3.6996120000000001</v>
      </c>
      <c r="M336" s="159" t="s">
        <v>293</v>
      </c>
      <c r="N336" s="159">
        <v>511</v>
      </c>
      <c r="O336" s="185">
        <f t="shared" si="23"/>
        <v>1890.5017320000002</v>
      </c>
      <c r="P336" s="215">
        <f t="shared" si="21"/>
        <v>622.50049594427617</v>
      </c>
      <c r="Q336" s="215" cm="1">
        <f t="array" ref="Q336">IF(P336="-",0,P336/(1+'General inputs'!$H$32)^IFERROR(INDEX('MP Calculations'!$C$40:$C$130,MATCH(F336,'MP Calculations'!$D$40:$D$130,0),0),-1))</f>
        <v>1107.3572853978551</v>
      </c>
      <c r="R336" s="207">
        <f t="shared" si="22"/>
        <v>2009</v>
      </c>
      <c r="S336" s="215">
        <f>IF(P336="-",0,P336/(1+'General inputs'!$H$32)^(R336-2023))</f>
        <v>1107.3572853978551</v>
      </c>
    </row>
    <row r="337" spans="3:19">
      <c r="C337" s="159"/>
      <c r="D337" s="165" t="s">
        <v>284</v>
      </c>
      <c r="E337" s="161">
        <v>39980</v>
      </c>
      <c r="F337" s="172" t="str">
        <f t="shared" si="20"/>
        <v>2008-09</v>
      </c>
      <c r="G337" s="68"/>
      <c r="H337" s="167" t="s">
        <v>280</v>
      </c>
      <c r="I337" s="173">
        <v>21853.086195380012</v>
      </c>
      <c r="J337" s="168">
        <f>IFERROR(MIN('MP Calculations'!$E$30/I337,1),"-")</f>
        <v>0.32927792945511891</v>
      </c>
      <c r="K337" s="12"/>
      <c r="L337" s="159">
        <v>211.26924700000001</v>
      </c>
      <c r="M337" s="159" t="s">
        <v>293</v>
      </c>
      <c r="N337" s="159">
        <v>726</v>
      </c>
      <c r="O337" s="185">
        <f t="shared" si="23"/>
        <v>153381.47332200001</v>
      </c>
      <c r="P337" s="215">
        <f t="shared" si="21"/>
        <v>50505.133952243719</v>
      </c>
      <c r="Q337" s="215" cm="1">
        <f t="array" ref="Q337">IF(P337="-",0,P337/(1+'General inputs'!$H$32)^IFERROR(INDEX('MP Calculations'!$C$40:$C$130,MATCH(F337,'MP Calculations'!$D$40:$D$130,0),0),-1))</f>
        <v>89842.865020011232</v>
      </c>
      <c r="R337" s="207">
        <f t="shared" si="22"/>
        <v>2009</v>
      </c>
      <c r="S337" s="215">
        <f>IF(P337="-",0,P337/(1+'General inputs'!$H$32)^(R337-2023))</f>
        <v>89842.865020011232</v>
      </c>
    </row>
    <row r="338" spans="3:19">
      <c r="C338" s="159"/>
      <c r="D338" s="165" t="s">
        <v>282</v>
      </c>
      <c r="E338" s="161">
        <v>39980</v>
      </c>
      <c r="F338" s="172" t="str">
        <f t="shared" si="20"/>
        <v>2008-09</v>
      </c>
      <c r="G338" s="68"/>
      <c r="H338" s="167" t="s">
        <v>280</v>
      </c>
      <c r="I338" s="173">
        <v>21853.086195380012</v>
      </c>
      <c r="J338" s="168">
        <f>IFERROR(MIN('MP Calculations'!$E$30/I338,1),"-")</f>
        <v>0.32927792945511891</v>
      </c>
      <c r="K338" s="12"/>
      <c r="L338" s="159">
        <v>8.0012179999999997</v>
      </c>
      <c r="M338" s="159" t="s">
        <v>293</v>
      </c>
      <c r="N338" s="159">
        <v>511</v>
      </c>
      <c r="O338" s="185">
        <f t="shared" si="23"/>
        <v>4088.622398</v>
      </c>
      <c r="P338" s="215">
        <f t="shared" si="21"/>
        <v>1346.293117537263</v>
      </c>
      <c r="Q338" s="215" cm="1">
        <f t="array" ref="Q338">IF(P338="-",0,P338/(1+'General inputs'!$H$32)^IFERROR(INDEX('MP Calculations'!$C$40:$C$130,MATCH(F338,'MP Calculations'!$D$40:$D$130,0),0),-1))</f>
        <v>2394.9016935712325</v>
      </c>
      <c r="R338" s="207">
        <f t="shared" si="22"/>
        <v>2009</v>
      </c>
      <c r="S338" s="215">
        <f>IF(P338="-",0,P338/(1+'General inputs'!$H$32)^(R338-2023))</f>
        <v>2394.9016935712325</v>
      </c>
    </row>
    <row r="339" spans="3:19">
      <c r="C339" s="159"/>
      <c r="D339" s="165" t="s">
        <v>284</v>
      </c>
      <c r="E339" s="161">
        <v>39980</v>
      </c>
      <c r="F339" s="172" t="str">
        <f t="shared" si="20"/>
        <v>2008-09</v>
      </c>
      <c r="G339" s="68"/>
      <c r="H339" s="167" t="s">
        <v>280</v>
      </c>
      <c r="I339" s="173">
        <v>21853.086195380012</v>
      </c>
      <c r="J339" s="168">
        <f>IFERROR(MIN('MP Calculations'!$E$30/I339,1),"-")</f>
        <v>0.32927792945511891</v>
      </c>
      <c r="K339" s="12"/>
      <c r="L339" s="159">
        <v>112.012775</v>
      </c>
      <c r="M339" s="159" t="s">
        <v>293</v>
      </c>
      <c r="N339" s="159">
        <v>726</v>
      </c>
      <c r="O339" s="185">
        <f t="shared" si="23"/>
        <v>81321.274650000007</v>
      </c>
      <c r="P339" s="215">
        <f t="shared" si="21"/>
        <v>26777.300937403052</v>
      </c>
      <c r="Q339" s="215" cm="1">
        <f t="array" ref="Q339">IF(P339="-",0,P339/(1+'General inputs'!$H$32)^IFERROR(INDEX('MP Calculations'!$C$40:$C$130,MATCH(F339,'MP Calculations'!$D$40:$D$130,0),0),-1))</f>
        <v>47633.760084551679</v>
      </c>
      <c r="R339" s="207">
        <f t="shared" si="22"/>
        <v>2009</v>
      </c>
      <c r="S339" s="215">
        <f>IF(P339="-",0,P339/(1+'General inputs'!$H$32)^(R339-2023))</f>
        <v>47633.760084551679</v>
      </c>
    </row>
    <row r="340" spans="3:19">
      <c r="C340" s="159"/>
      <c r="D340" s="165" t="s">
        <v>284</v>
      </c>
      <c r="E340" s="161">
        <v>39980</v>
      </c>
      <c r="F340" s="172" t="str">
        <f t="shared" si="20"/>
        <v>2008-09</v>
      </c>
      <c r="G340" s="68"/>
      <c r="H340" s="167" t="s">
        <v>280</v>
      </c>
      <c r="I340" s="173">
        <v>21853.086195380012</v>
      </c>
      <c r="J340" s="168">
        <f>IFERROR(MIN('MP Calculations'!$E$30/I340,1),"-")</f>
        <v>0.32927792945511891</v>
      </c>
      <c r="K340" s="12"/>
      <c r="L340" s="159">
        <v>0.38928299999999999</v>
      </c>
      <c r="M340" s="159" t="s">
        <v>293</v>
      </c>
      <c r="N340" s="159">
        <v>726</v>
      </c>
      <c r="O340" s="185">
        <f t="shared" si="23"/>
        <v>282.61945800000001</v>
      </c>
      <c r="P340" s="215">
        <f t="shared" si="21"/>
        <v>93.060349953967943</v>
      </c>
      <c r="Q340" s="215" cm="1">
        <f t="array" ref="Q340">IF(P340="-",0,P340/(1+'General inputs'!$H$32)^IFERROR(INDEX('MP Calculations'!$C$40:$C$130,MATCH(F340,'MP Calculations'!$D$40:$D$130,0),0),-1))</f>
        <v>165.54373398029404</v>
      </c>
      <c r="R340" s="207">
        <f t="shared" si="22"/>
        <v>2009</v>
      </c>
      <c r="S340" s="215">
        <f>IF(P340="-",0,P340/(1+'General inputs'!$H$32)^(R340-2023))</f>
        <v>165.54373398029404</v>
      </c>
    </row>
    <row r="341" spans="3:19">
      <c r="C341" s="159"/>
      <c r="D341" s="165" t="s">
        <v>282</v>
      </c>
      <c r="E341" s="161">
        <v>39980</v>
      </c>
      <c r="F341" s="172" t="str">
        <f t="shared" si="20"/>
        <v>2008-09</v>
      </c>
      <c r="G341" s="68"/>
      <c r="H341" s="167" t="s">
        <v>280</v>
      </c>
      <c r="I341" s="173">
        <v>21853.086195380012</v>
      </c>
      <c r="J341" s="168">
        <f>IFERROR(MIN('MP Calculations'!$E$30/I341,1),"-")</f>
        <v>0.32927792945511891</v>
      </c>
      <c r="K341" s="12"/>
      <c r="L341" s="159">
        <v>0.39816699999999999</v>
      </c>
      <c r="M341" s="159" t="s">
        <v>293</v>
      </c>
      <c r="N341" s="159">
        <v>511</v>
      </c>
      <c r="O341" s="185">
        <f t="shared" si="23"/>
        <v>203.463337</v>
      </c>
      <c r="P341" s="215">
        <f t="shared" si="21"/>
        <v>66.99598632738909</v>
      </c>
      <c r="Q341" s="215" cm="1">
        <f t="array" ref="Q341">IF(P341="-",0,P341/(1+'General inputs'!$H$32)^IFERROR(INDEX('MP Calculations'!$C$40:$C$130,MATCH(F341,'MP Calculations'!$D$40:$D$130,0),0),-1))</f>
        <v>119.17820794586237</v>
      </c>
      <c r="R341" s="207">
        <f t="shared" si="22"/>
        <v>2009</v>
      </c>
      <c r="S341" s="215">
        <f>IF(P341="-",0,P341/(1+'General inputs'!$H$32)^(R341-2023))</f>
        <v>119.17820794586237</v>
      </c>
    </row>
    <row r="342" spans="3:19">
      <c r="C342" s="159"/>
      <c r="D342" s="165" t="s">
        <v>284</v>
      </c>
      <c r="E342" s="161">
        <v>39980</v>
      </c>
      <c r="F342" s="172" t="str">
        <f t="shared" ref="F342:F405" si="24">IF(E342="","-",IF(OR(E342&lt;$E$15,E342&gt;$E$16),"ERROR - date outside of range",IF(MONTH(E342)&gt;=7,YEAR(E342)&amp;"-"&amp;IF(YEAR(E342)=1999,"00",IF(AND(YEAR(E342)&gt;=2000,YEAR(E342)&lt;2009),"0","")&amp;RIGHT(YEAR(E342),2)+1),RIGHT(YEAR(E342),4)-1&amp;"-"&amp;RIGHT(YEAR(E342),2))))</f>
        <v>2008-09</v>
      </c>
      <c r="G342" s="68"/>
      <c r="H342" s="167" t="s">
        <v>280</v>
      </c>
      <c r="I342" s="173">
        <v>21853.086195380012</v>
      </c>
      <c r="J342" s="168">
        <f>IFERROR(MIN('MP Calculations'!$E$30/I342,1),"-")</f>
        <v>0.32927792945511891</v>
      </c>
      <c r="K342" s="12"/>
      <c r="L342" s="159">
        <v>0.49064999999999998</v>
      </c>
      <c r="M342" s="159" t="s">
        <v>293</v>
      </c>
      <c r="N342" s="159">
        <v>726</v>
      </c>
      <c r="O342" s="185">
        <f t="shared" si="23"/>
        <v>356.21189999999996</v>
      </c>
      <c r="P342" s="215">
        <f t="shared" si="21"/>
        <v>117.29271687927385</v>
      </c>
      <c r="Q342" s="215" cm="1">
        <f t="array" ref="Q342">IF(P342="-",0,P342/(1+'General inputs'!$H$32)^IFERROR(INDEX('MP Calculations'!$C$40:$C$130,MATCH(F342,'MP Calculations'!$D$40:$D$130,0),0),-1))</f>
        <v>208.65034711875742</v>
      </c>
      <c r="R342" s="207">
        <f t="shared" si="22"/>
        <v>2009</v>
      </c>
      <c r="S342" s="215">
        <f>IF(P342="-",0,P342/(1+'General inputs'!$H$32)^(R342-2023))</f>
        <v>208.65034711875742</v>
      </c>
    </row>
    <row r="343" spans="3:19">
      <c r="C343" s="159"/>
      <c r="D343" s="165" t="s">
        <v>284</v>
      </c>
      <c r="E343" s="161">
        <v>39980</v>
      </c>
      <c r="F343" s="172" t="str">
        <f t="shared" si="24"/>
        <v>2008-09</v>
      </c>
      <c r="G343" s="68"/>
      <c r="H343" s="167" t="s">
        <v>280</v>
      </c>
      <c r="I343" s="173">
        <v>21853.086195380012</v>
      </c>
      <c r="J343" s="168">
        <f>IFERROR(MIN('MP Calculations'!$E$30/I343,1),"-")</f>
        <v>0.32927792945511891</v>
      </c>
      <c r="K343" s="12"/>
      <c r="L343" s="159">
        <v>1.1639900000000001</v>
      </c>
      <c r="M343" s="159" t="s">
        <v>293</v>
      </c>
      <c r="N343" s="159">
        <v>726</v>
      </c>
      <c r="O343" s="185">
        <f t="shared" si="23"/>
        <v>845.0567400000001</v>
      </c>
      <c r="P343" s="215">
        <f t="shared" ref="P343:P406" si="25">IF(O343="-","-",IF(OR(E343&lt;$E$15,E343&gt;$E$16),0,O343*J343))</f>
        <v>278.25853361929279</v>
      </c>
      <c r="Q343" s="215" cm="1">
        <f t="array" ref="Q343">IF(P343="-",0,P343/(1+'General inputs'!$H$32)^IFERROR(INDEX('MP Calculations'!$C$40:$C$130,MATCH(F343,'MP Calculations'!$D$40:$D$130,0),0),-1))</f>
        <v>494.99015090749521</v>
      </c>
      <c r="R343" s="207">
        <f t="shared" si="22"/>
        <v>2009</v>
      </c>
      <c r="S343" s="215">
        <f>IF(P343="-",0,P343/(1+'General inputs'!$H$32)^(R343-2023))</f>
        <v>494.99015090749521</v>
      </c>
    </row>
    <row r="344" spans="3:19">
      <c r="C344" s="159"/>
      <c r="D344" s="165" t="s">
        <v>283</v>
      </c>
      <c r="E344" s="161">
        <v>39980</v>
      </c>
      <c r="F344" s="172" t="str">
        <f t="shared" si="24"/>
        <v>2008-09</v>
      </c>
      <c r="G344" s="68"/>
      <c r="H344" s="167" t="s">
        <v>280</v>
      </c>
      <c r="I344" s="173">
        <v>21853.086195380012</v>
      </c>
      <c r="J344" s="168">
        <f>IFERROR(MIN('MP Calculations'!$E$30/I344,1),"-")</f>
        <v>0.32927792945511891</v>
      </c>
      <c r="K344" s="12"/>
      <c r="L344" s="159">
        <v>3.4466800000000002</v>
      </c>
      <c r="M344" s="159" t="s">
        <v>293</v>
      </c>
      <c r="N344" s="159">
        <v>350</v>
      </c>
      <c r="O344" s="185">
        <f t="shared" si="23"/>
        <v>1206.338</v>
      </c>
      <c r="P344" s="215">
        <f t="shared" si="25"/>
        <v>397.2204788630292</v>
      </c>
      <c r="Q344" s="215" cm="1">
        <f t="array" ref="Q344">IF(P344="-",0,P344/(1+'General inputs'!$H$32)^IFERROR(INDEX('MP Calculations'!$C$40:$C$130,MATCH(F344,'MP Calculations'!$D$40:$D$130,0),0),-1))</f>
        <v>706.60986464109601</v>
      </c>
      <c r="R344" s="207">
        <f t="shared" si="22"/>
        <v>2009</v>
      </c>
      <c r="S344" s="215">
        <f>IF(P344="-",0,P344/(1+'General inputs'!$H$32)^(R344-2023))</f>
        <v>706.60986464109601</v>
      </c>
    </row>
    <row r="345" spans="3:19">
      <c r="C345" s="159"/>
      <c r="D345" s="165" t="s">
        <v>284</v>
      </c>
      <c r="E345" s="161">
        <v>39980</v>
      </c>
      <c r="F345" s="172" t="str">
        <f t="shared" si="24"/>
        <v>2008-09</v>
      </c>
      <c r="G345" s="68"/>
      <c r="H345" s="167" t="s">
        <v>280</v>
      </c>
      <c r="I345" s="173">
        <v>21853.086195380012</v>
      </c>
      <c r="J345" s="168">
        <f>IFERROR(MIN('MP Calculations'!$E$30/I345,1),"-")</f>
        <v>0.32927792945511891</v>
      </c>
      <c r="K345" s="12"/>
      <c r="L345" s="159">
        <v>14.39639</v>
      </c>
      <c r="M345" s="159" t="s">
        <v>293</v>
      </c>
      <c r="N345" s="159">
        <v>726</v>
      </c>
      <c r="O345" s="185">
        <f t="shared" si="23"/>
        <v>10451.779140000001</v>
      </c>
      <c r="P345" s="215">
        <f t="shared" si="25"/>
        <v>3441.5401943414035</v>
      </c>
      <c r="Q345" s="215" cm="1">
        <f t="array" ref="Q345">IF(P345="-",0,P345/(1+'General inputs'!$H$32)^IFERROR(INDEX('MP Calculations'!$C$40:$C$130,MATCH(F345,'MP Calculations'!$D$40:$D$130,0),0),-1))</f>
        <v>6122.1069413166388</v>
      </c>
      <c r="R345" s="207">
        <f t="shared" si="22"/>
        <v>2009</v>
      </c>
      <c r="S345" s="215">
        <f>IF(P345="-",0,P345/(1+'General inputs'!$H$32)^(R345-2023))</f>
        <v>6122.1069413166388</v>
      </c>
    </row>
    <row r="346" spans="3:19">
      <c r="C346" s="159"/>
      <c r="D346" s="165" t="s">
        <v>284</v>
      </c>
      <c r="E346" s="161">
        <v>39980</v>
      </c>
      <c r="F346" s="172" t="str">
        <f t="shared" si="24"/>
        <v>2008-09</v>
      </c>
      <c r="G346" s="68"/>
      <c r="H346" s="167" t="s">
        <v>280</v>
      </c>
      <c r="I346" s="173">
        <v>21853.086195380012</v>
      </c>
      <c r="J346" s="168">
        <f>IFERROR(MIN('MP Calculations'!$E$30/I346,1),"-")</f>
        <v>0.32927792945511891</v>
      </c>
      <c r="K346" s="12"/>
      <c r="L346" s="159">
        <v>1.0842149999999999</v>
      </c>
      <c r="M346" s="159" t="s">
        <v>293</v>
      </c>
      <c r="N346" s="159">
        <v>726</v>
      </c>
      <c r="O346" s="185">
        <f t="shared" si="23"/>
        <v>787.14008999999999</v>
      </c>
      <c r="P346" s="215">
        <f t="shared" si="25"/>
        <v>259.18785902631595</v>
      </c>
      <c r="Q346" s="215" cm="1">
        <f t="array" ref="Q346">IF(P346="-",0,P346/(1+'General inputs'!$H$32)^IFERROR(INDEX('MP Calculations'!$C$40:$C$130,MATCH(F346,'MP Calculations'!$D$40:$D$130,0),0),-1))</f>
        <v>461.06559890219836</v>
      </c>
      <c r="R346" s="207">
        <f t="shared" si="22"/>
        <v>2009</v>
      </c>
      <c r="S346" s="215">
        <f>IF(P346="-",0,P346/(1+'General inputs'!$H$32)^(R346-2023))</f>
        <v>461.06559890219836</v>
      </c>
    </row>
    <row r="347" spans="3:19">
      <c r="C347" s="159"/>
      <c r="D347" s="165" t="s">
        <v>282</v>
      </c>
      <c r="E347" s="161">
        <v>39980</v>
      </c>
      <c r="F347" s="172" t="str">
        <f t="shared" si="24"/>
        <v>2008-09</v>
      </c>
      <c r="G347" s="68"/>
      <c r="H347" s="167" t="s">
        <v>280</v>
      </c>
      <c r="I347" s="173">
        <v>21853.086195380012</v>
      </c>
      <c r="J347" s="168">
        <f>IFERROR(MIN('MP Calculations'!$E$30/I347,1),"-")</f>
        <v>0.32927792945511891</v>
      </c>
      <c r="K347" s="12"/>
      <c r="L347" s="159">
        <v>1.0972390000000001</v>
      </c>
      <c r="M347" s="159" t="s">
        <v>293</v>
      </c>
      <c r="N347" s="159">
        <v>511</v>
      </c>
      <c r="O347" s="185">
        <f t="shared" si="23"/>
        <v>560.68912900000009</v>
      </c>
      <c r="P347" s="215">
        <f t="shared" si="25"/>
        <v>184.62255546511409</v>
      </c>
      <c r="Q347" s="215" cm="1">
        <f t="array" ref="Q347">IF(P347="-",0,P347/(1+'General inputs'!$H$32)^IFERROR(INDEX('MP Calculations'!$C$40:$C$130,MATCH(F347,'MP Calculations'!$D$40:$D$130,0),0),-1))</f>
        <v>328.42244010254512</v>
      </c>
      <c r="R347" s="207">
        <f t="shared" si="22"/>
        <v>2009</v>
      </c>
      <c r="S347" s="215">
        <f>IF(P347="-",0,P347/(1+'General inputs'!$H$32)^(R347-2023))</f>
        <v>328.42244010254512</v>
      </c>
    </row>
    <row r="348" spans="3:19">
      <c r="C348" s="159"/>
      <c r="D348" s="165" t="s">
        <v>284</v>
      </c>
      <c r="E348" s="161">
        <v>39980</v>
      </c>
      <c r="F348" s="172" t="str">
        <f t="shared" si="24"/>
        <v>2008-09</v>
      </c>
      <c r="G348" s="68"/>
      <c r="H348" s="167" t="s">
        <v>280</v>
      </c>
      <c r="I348" s="173">
        <v>21853.086195380012</v>
      </c>
      <c r="J348" s="168">
        <f>IFERROR(MIN('MP Calculations'!$E$30/I348,1),"-")</f>
        <v>0.32927792945511891</v>
      </c>
      <c r="K348" s="12"/>
      <c r="L348" s="159">
        <v>90.401777999999993</v>
      </c>
      <c r="M348" s="159" t="s">
        <v>293</v>
      </c>
      <c r="N348" s="159">
        <v>726</v>
      </c>
      <c r="O348" s="185">
        <f t="shared" si="23"/>
        <v>65631.690827999992</v>
      </c>
      <c r="P348" s="215">
        <f t="shared" si="25"/>
        <v>21611.067262482356</v>
      </c>
      <c r="Q348" s="215" cm="1">
        <f t="array" ref="Q348">IF(P348="-",0,P348/(1+'General inputs'!$H$32)^IFERROR(INDEX('MP Calculations'!$C$40:$C$130,MATCH(F348,'MP Calculations'!$D$40:$D$130,0),0),-1))</f>
        <v>38443.620421589425</v>
      </c>
      <c r="R348" s="207">
        <f t="shared" si="22"/>
        <v>2009</v>
      </c>
      <c r="S348" s="215">
        <f>IF(P348="-",0,P348/(1+'General inputs'!$H$32)^(R348-2023))</f>
        <v>38443.620421589425</v>
      </c>
    </row>
    <row r="349" spans="3:19">
      <c r="C349" s="159"/>
      <c r="D349" s="165" t="s">
        <v>284</v>
      </c>
      <c r="E349" s="161">
        <v>39980</v>
      </c>
      <c r="F349" s="172" t="str">
        <f t="shared" si="24"/>
        <v>2008-09</v>
      </c>
      <c r="G349" s="68"/>
      <c r="H349" s="167" t="s">
        <v>280</v>
      </c>
      <c r="I349" s="173">
        <v>21853.086195380012</v>
      </c>
      <c r="J349" s="168">
        <f>IFERROR(MIN('MP Calculations'!$E$30/I349,1),"-")</f>
        <v>0.32927792945511891</v>
      </c>
      <c r="K349" s="12"/>
      <c r="L349" s="159">
        <v>0.55165600000000004</v>
      </c>
      <c r="M349" s="159" t="s">
        <v>293</v>
      </c>
      <c r="N349" s="159">
        <v>726</v>
      </c>
      <c r="O349" s="185">
        <f t="shared" si="23"/>
        <v>400.50225600000005</v>
      </c>
      <c r="P349" s="215">
        <f t="shared" si="25"/>
        <v>131.87655359778398</v>
      </c>
      <c r="Q349" s="215" cm="1">
        <f t="array" ref="Q349">IF(P349="-",0,P349/(1+'General inputs'!$H$32)^IFERROR(INDEX('MP Calculations'!$C$40:$C$130,MATCH(F349,'MP Calculations'!$D$40:$D$130,0),0),-1))</f>
        <v>234.59332699509889</v>
      </c>
      <c r="R349" s="207">
        <f t="shared" si="22"/>
        <v>2009</v>
      </c>
      <c r="S349" s="215">
        <f>IF(P349="-",0,P349/(1+'General inputs'!$H$32)^(R349-2023))</f>
        <v>234.59332699509889</v>
      </c>
    </row>
    <row r="350" spans="3:19">
      <c r="C350" s="159"/>
      <c r="D350" s="165" t="s">
        <v>284</v>
      </c>
      <c r="E350" s="161">
        <v>39980</v>
      </c>
      <c r="F350" s="172" t="str">
        <f t="shared" si="24"/>
        <v>2008-09</v>
      </c>
      <c r="G350" s="68"/>
      <c r="H350" s="167" t="s">
        <v>280</v>
      </c>
      <c r="I350" s="173">
        <v>21853.086195380012</v>
      </c>
      <c r="J350" s="168">
        <f>IFERROR(MIN('MP Calculations'!$E$30/I350,1),"-")</f>
        <v>0.32927792945511891</v>
      </c>
      <c r="K350" s="12"/>
      <c r="L350" s="159">
        <v>72.809679000000003</v>
      </c>
      <c r="M350" s="159" t="s">
        <v>293</v>
      </c>
      <c r="N350" s="159">
        <v>726</v>
      </c>
      <c r="O350" s="185">
        <f t="shared" si="23"/>
        <v>52859.826954000004</v>
      </c>
      <c r="P350" s="215">
        <f t="shared" si="25"/>
        <v>17405.574370769005</v>
      </c>
      <c r="Q350" s="215" cm="1">
        <f t="array" ref="Q350">IF(P350="-",0,P350/(1+'General inputs'!$H$32)^IFERROR(INDEX('MP Calculations'!$C$40:$C$130,MATCH(F350,'MP Calculations'!$D$40:$D$130,0),0),-1))</f>
        <v>30962.5288840422</v>
      </c>
      <c r="R350" s="207">
        <f t="shared" si="22"/>
        <v>2009</v>
      </c>
      <c r="S350" s="215">
        <f>IF(P350="-",0,P350/(1+'General inputs'!$H$32)^(R350-2023))</f>
        <v>30962.5288840422</v>
      </c>
    </row>
    <row r="351" spans="3:19">
      <c r="C351" s="159"/>
      <c r="D351" s="165" t="s">
        <v>284</v>
      </c>
      <c r="E351" s="161">
        <v>39980</v>
      </c>
      <c r="F351" s="172" t="str">
        <f t="shared" si="24"/>
        <v>2008-09</v>
      </c>
      <c r="G351" s="68"/>
      <c r="H351" s="167" t="s">
        <v>280</v>
      </c>
      <c r="I351" s="173">
        <v>21853.086195380012</v>
      </c>
      <c r="J351" s="168">
        <f>IFERROR(MIN('MP Calculations'!$E$30/I351,1),"-")</f>
        <v>0.32927792945511891</v>
      </c>
      <c r="K351" s="12"/>
      <c r="L351" s="159">
        <v>137.18226999999999</v>
      </c>
      <c r="M351" s="159" t="s">
        <v>293</v>
      </c>
      <c r="N351" s="159">
        <v>726</v>
      </c>
      <c r="O351" s="185">
        <f t="shared" si="23"/>
        <v>99594.328019999986</v>
      </c>
      <c r="P351" s="215">
        <f t="shared" si="25"/>
        <v>32794.214115899529</v>
      </c>
      <c r="Q351" s="215" cm="1">
        <f t="array" ref="Q351">IF(P351="-",0,P351/(1+'General inputs'!$H$32)^IFERROR(INDEX('MP Calculations'!$C$40:$C$130,MATCH(F351,'MP Calculations'!$D$40:$D$130,0),0),-1))</f>
        <v>58337.161426758597</v>
      </c>
      <c r="R351" s="207">
        <f t="shared" si="22"/>
        <v>2009</v>
      </c>
      <c r="S351" s="215">
        <f>IF(P351="-",0,P351/(1+'General inputs'!$H$32)^(R351-2023))</f>
        <v>58337.161426758597</v>
      </c>
    </row>
    <row r="352" spans="3:19">
      <c r="C352" s="159"/>
      <c r="D352" s="165" t="s">
        <v>283</v>
      </c>
      <c r="E352" s="161">
        <v>39980</v>
      </c>
      <c r="F352" s="172" t="str">
        <f t="shared" si="24"/>
        <v>2008-09</v>
      </c>
      <c r="G352" s="68"/>
      <c r="H352" s="167" t="s">
        <v>280</v>
      </c>
      <c r="I352" s="173">
        <v>21853.086195380012</v>
      </c>
      <c r="J352" s="168">
        <f>IFERROR(MIN('MP Calculations'!$E$30/I352,1),"-")</f>
        <v>0.32927792945511891</v>
      </c>
      <c r="K352" s="12"/>
      <c r="L352" s="159">
        <v>3.1742119999999998</v>
      </c>
      <c r="M352" s="159" t="s">
        <v>293</v>
      </c>
      <c r="N352" s="159">
        <v>350</v>
      </c>
      <c r="O352" s="185">
        <f t="shared" si="23"/>
        <v>1110.9741999999999</v>
      </c>
      <c r="P352" s="215">
        <f t="shared" si="25"/>
        <v>365.81928425405715</v>
      </c>
      <c r="Q352" s="215" cm="1">
        <f t="array" ref="Q352">IF(P352="-",0,P352/(1+'General inputs'!$H$32)^IFERROR(INDEX('MP Calculations'!$C$40:$C$130,MATCH(F352,'MP Calculations'!$D$40:$D$130,0),0),-1))</f>
        <v>650.75072581792995</v>
      </c>
      <c r="R352" s="207">
        <f t="shared" si="22"/>
        <v>2009</v>
      </c>
      <c r="S352" s="215">
        <f>IF(P352="-",0,P352/(1+'General inputs'!$H$32)^(R352-2023))</f>
        <v>650.75072581792995</v>
      </c>
    </row>
    <row r="353" spans="3:19">
      <c r="C353" s="159"/>
      <c r="D353" s="165" t="s">
        <v>284</v>
      </c>
      <c r="E353" s="161">
        <v>39980</v>
      </c>
      <c r="F353" s="172" t="str">
        <f t="shared" si="24"/>
        <v>2008-09</v>
      </c>
      <c r="G353" s="68"/>
      <c r="H353" s="167" t="s">
        <v>280</v>
      </c>
      <c r="I353" s="173">
        <v>21853.086195380012</v>
      </c>
      <c r="J353" s="168">
        <f>IFERROR(MIN('MP Calculations'!$E$30/I353,1),"-")</f>
        <v>0.32927792945511891</v>
      </c>
      <c r="K353" s="12"/>
      <c r="L353" s="159">
        <v>95.636064000000005</v>
      </c>
      <c r="M353" s="159" t="s">
        <v>293</v>
      </c>
      <c r="N353" s="159">
        <v>726</v>
      </c>
      <c r="O353" s="185">
        <f t="shared" si="23"/>
        <v>69431.782464000004</v>
      </c>
      <c r="P353" s="215">
        <f t="shared" si="25"/>
        <v>22862.353568124156</v>
      </c>
      <c r="Q353" s="215" cm="1">
        <f t="array" ref="Q353">IF(P353="-",0,P353/(1+'General inputs'!$H$32)^IFERROR(INDEX('MP Calculations'!$C$40:$C$130,MATCH(F353,'MP Calculations'!$D$40:$D$130,0),0),-1))</f>
        <v>40669.515847695315</v>
      </c>
      <c r="R353" s="207">
        <f t="shared" si="22"/>
        <v>2009</v>
      </c>
      <c r="S353" s="215">
        <f>IF(P353="-",0,P353/(1+'General inputs'!$H$32)^(R353-2023))</f>
        <v>40669.515847695315</v>
      </c>
    </row>
    <row r="354" spans="3:19">
      <c r="C354" s="159"/>
      <c r="D354" s="165" t="s">
        <v>284</v>
      </c>
      <c r="E354" s="161">
        <v>39980</v>
      </c>
      <c r="F354" s="172" t="str">
        <f t="shared" si="24"/>
        <v>2008-09</v>
      </c>
      <c r="G354" s="68"/>
      <c r="H354" s="167" t="s">
        <v>280</v>
      </c>
      <c r="I354" s="173">
        <v>21853.086195380012</v>
      </c>
      <c r="J354" s="168">
        <f>IFERROR(MIN('MP Calculations'!$E$30/I354,1),"-")</f>
        <v>0.32927792945511891</v>
      </c>
      <c r="K354" s="12"/>
      <c r="L354" s="159">
        <v>10.730181</v>
      </c>
      <c r="M354" s="159" t="s">
        <v>293</v>
      </c>
      <c r="N354" s="159">
        <v>726</v>
      </c>
      <c r="O354" s="185">
        <f t="shared" si="23"/>
        <v>7790.111406</v>
      </c>
      <c r="P354" s="215">
        <f t="shared" si="25"/>
        <v>2565.1117539923853</v>
      </c>
      <c r="Q354" s="215" cm="1">
        <f t="array" ref="Q354">IF(P354="-",0,P354/(1+'General inputs'!$H$32)^IFERROR(INDEX('MP Calculations'!$C$40:$C$130,MATCH(F354,'MP Calculations'!$D$40:$D$130,0),0),-1))</f>
        <v>4563.0408443841761</v>
      </c>
      <c r="R354" s="207">
        <f t="shared" si="22"/>
        <v>2009</v>
      </c>
      <c r="S354" s="215">
        <f>IF(P354="-",0,P354/(1+'General inputs'!$H$32)^(R354-2023))</f>
        <v>4563.0408443841761</v>
      </c>
    </row>
    <row r="355" spans="3:19">
      <c r="C355" s="159"/>
      <c r="D355" s="165" t="s">
        <v>284</v>
      </c>
      <c r="E355" s="161">
        <v>39980</v>
      </c>
      <c r="F355" s="172" t="str">
        <f t="shared" si="24"/>
        <v>2008-09</v>
      </c>
      <c r="G355" s="68"/>
      <c r="H355" s="167" t="s">
        <v>280</v>
      </c>
      <c r="I355" s="173">
        <v>21853.086195380012</v>
      </c>
      <c r="J355" s="168">
        <f>IFERROR(MIN('MP Calculations'!$E$30/I355,1),"-")</f>
        <v>0.32927792945511891</v>
      </c>
      <c r="K355" s="12"/>
      <c r="L355" s="159">
        <v>424.31732399999999</v>
      </c>
      <c r="M355" s="159" t="s">
        <v>293</v>
      </c>
      <c r="N355" s="159">
        <v>726</v>
      </c>
      <c r="O355" s="185">
        <f t="shared" si="23"/>
        <v>308054.377224</v>
      </c>
      <c r="P355" s="215">
        <f t="shared" si="25"/>
        <v>101435.50749190486</v>
      </c>
      <c r="Q355" s="215" cm="1">
        <f t="array" ref="Q355">IF(P355="-",0,P355/(1+'General inputs'!$H$32)^IFERROR(INDEX('MP Calculations'!$C$40:$C$130,MATCH(F355,'MP Calculations'!$D$40:$D$130,0),0),-1))</f>
        <v>180442.1826986697</v>
      </c>
      <c r="R355" s="207">
        <f t="shared" si="22"/>
        <v>2009</v>
      </c>
      <c r="S355" s="215">
        <f>IF(P355="-",0,P355/(1+'General inputs'!$H$32)^(R355-2023))</f>
        <v>180442.1826986697</v>
      </c>
    </row>
    <row r="356" spans="3:19">
      <c r="C356" s="159"/>
      <c r="D356" s="165" t="s">
        <v>284</v>
      </c>
      <c r="E356" s="161">
        <v>39980</v>
      </c>
      <c r="F356" s="172" t="str">
        <f t="shared" si="24"/>
        <v>2008-09</v>
      </c>
      <c r="G356" s="68"/>
      <c r="H356" s="167" t="s">
        <v>280</v>
      </c>
      <c r="I356" s="173">
        <v>21853.086195380012</v>
      </c>
      <c r="J356" s="168">
        <f>IFERROR(MIN('MP Calculations'!$E$30/I356,1),"-")</f>
        <v>0.32927792945511891</v>
      </c>
      <c r="K356" s="12"/>
      <c r="L356" s="159">
        <v>121.91417199999999</v>
      </c>
      <c r="M356" s="159" t="s">
        <v>293</v>
      </c>
      <c r="N356" s="159">
        <v>726</v>
      </c>
      <c r="O356" s="185">
        <f t="shared" si="23"/>
        <v>88509.688871999999</v>
      </c>
      <c r="P356" s="215">
        <f t="shared" si="25"/>
        <v>29144.287088488938</v>
      </c>
      <c r="Q356" s="215" cm="1">
        <f t="array" ref="Q356">IF(P356="-",0,P356/(1+'General inputs'!$H$32)^IFERROR(INDEX('MP Calculations'!$C$40:$C$130,MATCH(F356,'MP Calculations'!$D$40:$D$130,0),0),-1))</f>
        <v>51844.358109642111</v>
      </c>
      <c r="R356" s="207">
        <f t="shared" si="22"/>
        <v>2009</v>
      </c>
      <c r="S356" s="215">
        <f>IF(P356="-",0,P356/(1+'General inputs'!$H$32)^(R356-2023))</f>
        <v>51844.358109642111</v>
      </c>
    </row>
    <row r="357" spans="3:19">
      <c r="C357" s="159"/>
      <c r="D357" s="165" t="s">
        <v>282</v>
      </c>
      <c r="E357" s="161">
        <v>39980</v>
      </c>
      <c r="F357" s="172" t="str">
        <f t="shared" si="24"/>
        <v>2008-09</v>
      </c>
      <c r="G357" s="68"/>
      <c r="H357" s="167" t="s">
        <v>280</v>
      </c>
      <c r="I357" s="173">
        <v>21853.086195380012</v>
      </c>
      <c r="J357" s="168">
        <f>IFERROR(MIN('MP Calculations'!$E$30/I357,1),"-")</f>
        <v>0.32927792945511891</v>
      </c>
      <c r="K357" s="12"/>
      <c r="L357" s="159">
        <v>1.992092</v>
      </c>
      <c r="M357" s="159" t="s">
        <v>293</v>
      </c>
      <c r="N357" s="159">
        <v>511</v>
      </c>
      <c r="O357" s="185">
        <f t="shared" si="23"/>
        <v>1017.959012</v>
      </c>
      <c r="P357" s="215">
        <f t="shared" si="25"/>
        <v>335.19143574153856</v>
      </c>
      <c r="Q357" s="215" cm="1">
        <f t="array" ref="Q357">IF(P357="-",0,P357/(1+'General inputs'!$H$32)^IFERROR(INDEX('MP Calculations'!$C$40:$C$130,MATCH(F357,'MP Calculations'!$D$40:$D$130,0),0),-1))</f>
        <v>596.26728137512362</v>
      </c>
      <c r="R357" s="207">
        <f t="shared" si="22"/>
        <v>2009</v>
      </c>
      <c r="S357" s="215">
        <f>IF(P357="-",0,P357/(1+'General inputs'!$H$32)^(R357-2023))</f>
        <v>596.26728137512362</v>
      </c>
    </row>
    <row r="358" spans="3:19">
      <c r="C358" s="159"/>
      <c r="D358" s="165" t="s">
        <v>284</v>
      </c>
      <c r="E358" s="161">
        <v>39980</v>
      </c>
      <c r="F358" s="172" t="str">
        <f t="shared" si="24"/>
        <v>2008-09</v>
      </c>
      <c r="G358" s="68"/>
      <c r="H358" s="167" t="s">
        <v>280</v>
      </c>
      <c r="I358" s="173">
        <v>21853.086195380012</v>
      </c>
      <c r="J358" s="168">
        <f>IFERROR(MIN('MP Calculations'!$E$30/I358,1),"-")</f>
        <v>0.32927792945511891</v>
      </c>
      <c r="K358" s="12"/>
      <c r="L358" s="159">
        <v>83.564559000000003</v>
      </c>
      <c r="M358" s="159" t="s">
        <v>293</v>
      </c>
      <c r="N358" s="159">
        <v>726</v>
      </c>
      <c r="O358" s="185">
        <f t="shared" si="23"/>
        <v>60667.869834000005</v>
      </c>
      <c r="P358" s="215">
        <f t="shared" si="25"/>
        <v>19976.59056339219</v>
      </c>
      <c r="Q358" s="215" cm="1">
        <f t="array" ref="Q358">IF(P358="-",0,P358/(1+'General inputs'!$H$32)^IFERROR(INDEX('MP Calculations'!$C$40:$C$130,MATCH(F358,'MP Calculations'!$D$40:$D$130,0),0),-1))</f>
        <v>35536.073050394152</v>
      </c>
      <c r="R358" s="207">
        <f t="shared" si="22"/>
        <v>2009</v>
      </c>
      <c r="S358" s="215">
        <f>IF(P358="-",0,P358/(1+'General inputs'!$H$32)^(R358-2023))</f>
        <v>35536.073050394152</v>
      </c>
    </row>
    <row r="359" spans="3:19">
      <c r="C359" s="159"/>
      <c r="D359" s="165" t="s">
        <v>282</v>
      </c>
      <c r="E359" s="161">
        <v>39980</v>
      </c>
      <c r="F359" s="172" t="str">
        <f t="shared" si="24"/>
        <v>2008-09</v>
      </c>
      <c r="G359" s="68"/>
      <c r="H359" s="167" t="s">
        <v>280</v>
      </c>
      <c r="I359" s="173">
        <v>21853.086195380012</v>
      </c>
      <c r="J359" s="168">
        <f>IFERROR(MIN('MP Calculations'!$E$30/I359,1),"-")</f>
        <v>0.32927792945511891</v>
      </c>
      <c r="K359" s="12"/>
      <c r="L359" s="159">
        <v>0.99808699999999995</v>
      </c>
      <c r="M359" s="159" t="s">
        <v>293</v>
      </c>
      <c r="N359" s="159">
        <v>511</v>
      </c>
      <c r="O359" s="185">
        <f t="shared" si="23"/>
        <v>510.02245699999997</v>
      </c>
      <c r="P359" s="215">
        <f t="shared" si="25"/>
        <v>167.93913861657242</v>
      </c>
      <c r="Q359" s="215" cm="1">
        <f t="array" ref="Q359">IF(P359="-",0,P359/(1+'General inputs'!$H$32)^IFERROR(INDEX('MP Calculations'!$C$40:$C$130,MATCH(F359,'MP Calculations'!$D$40:$D$130,0),0),-1))</f>
        <v>298.74454697165243</v>
      </c>
      <c r="R359" s="207">
        <f t="shared" si="22"/>
        <v>2009</v>
      </c>
      <c r="S359" s="215">
        <f>IF(P359="-",0,P359/(1+'General inputs'!$H$32)^(R359-2023))</f>
        <v>298.74454697165243</v>
      </c>
    </row>
    <row r="360" spans="3:19">
      <c r="C360" s="159"/>
      <c r="D360" s="165" t="s">
        <v>284</v>
      </c>
      <c r="E360" s="161">
        <v>39980</v>
      </c>
      <c r="F360" s="172" t="str">
        <f t="shared" si="24"/>
        <v>2008-09</v>
      </c>
      <c r="G360" s="68"/>
      <c r="H360" s="167" t="s">
        <v>280</v>
      </c>
      <c r="I360" s="173">
        <v>21853.086195380012</v>
      </c>
      <c r="J360" s="168">
        <f>IFERROR(MIN('MP Calculations'!$E$30/I360,1),"-")</f>
        <v>0.32927792945511891</v>
      </c>
      <c r="K360" s="12"/>
      <c r="L360" s="159">
        <v>2.3161040000000002</v>
      </c>
      <c r="M360" s="159" t="s">
        <v>293</v>
      </c>
      <c r="N360" s="159">
        <v>726</v>
      </c>
      <c r="O360" s="185">
        <f t="shared" si="23"/>
        <v>1681.4915040000001</v>
      </c>
      <c r="P360" s="215">
        <f t="shared" si="25"/>
        <v>553.67804083349381</v>
      </c>
      <c r="Q360" s="215" cm="1">
        <f t="array" ref="Q360">IF(P360="-",0,P360/(1+'General inputs'!$H$32)^IFERROR(INDEX('MP Calculations'!$C$40:$C$130,MATCH(F360,'MP Calculations'!$D$40:$D$130,0),0),-1))</f>
        <v>984.92999809057915</v>
      </c>
      <c r="R360" s="207">
        <f t="shared" si="22"/>
        <v>2009</v>
      </c>
      <c r="S360" s="215">
        <f>IF(P360="-",0,P360/(1+'General inputs'!$H$32)^(R360-2023))</f>
        <v>984.92999809057915</v>
      </c>
    </row>
    <row r="361" spans="3:19">
      <c r="C361" s="159"/>
      <c r="D361" s="165" t="s">
        <v>284</v>
      </c>
      <c r="E361" s="161">
        <v>39980</v>
      </c>
      <c r="F361" s="172" t="str">
        <f t="shared" si="24"/>
        <v>2008-09</v>
      </c>
      <c r="G361" s="68"/>
      <c r="H361" s="167" t="s">
        <v>280</v>
      </c>
      <c r="I361" s="173">
        <v>21853.086195380012</v>
      </c>
      <c r="J361" s="168">
        <f>IFERROR(MIN('MP Calculations'!$E$30/I361,1),"-")</f>
        <v>0.32927792945511891</v>
      </c>
      <c r="K361" s="12"/>
      <c r="L361" s="159">
        <v>69.225346999999999</v>
      </c>
      <c r="M361" s="159" t="s">
        <v>293</v>
      </c>
      <c r="N361" s="159">
        <v>726</v>
      </c>
      <c r="O361" s="185">
        <f t="shared" si="23"/>
        <v>50257.601922000002</v>
      </c>
      <c r="P361" s="215">
        <f t="shared" si="25"/>
        <v>16548.719100255767</v>
      </c>
      <c r="Q361" s="215" cm="1">
        <f t="array" ref="Q361">IF(P361="-",0,P361/(1+'General inputs'!$H$32)^IFERROR(INDEX('MP Calculations'!$C$40:$C$130,MATCH(F361,'MP Calculations'!$D$40:$D$130,0),0),-1))</f>
        <v>29438.28122076111</v>
      </c>
      <c r="R361" s="207">
        <f t="shared" si="22"/>
        <v>2009</v>
      </c>
      <c r="S361" s="215">
        <f>IF(P361="-",0,P361/(1+'General inputs'!$H$32)^(R361-2023))</f>
        <v>29438.28122076111</v>
      </c>
    </row>
    <row r="362" spans="3:19">
      <c r="C362" s="159"/>
      <c r="D362" s="165" t="s">
        <v>284</v>
      </c>
      <c r="E362" s="161">
        <v>39980</v>
      </c>
      <c r="F362" s="172" t="str">
        <f t="shared" si="24"/>
        <v>2008-09</v>
      </c>
      <c r="G362" s="68"/>
      <c r="H362" s="167" t="s">
        <v>280</v>
      </c>
      <c r="I362" s="173">
        <v>21853.086195380012</v>
      </c>
      <c r="J362" s="168">
        <f>IFERROR(MIN('MP Calculations'!$E$30/I362,1),"-")</f>
        <v>0.32927792945511891</v>
      </c>
      <c r="K362" s="12"/>
      <c r="L362" s="159">
        <v>1.1913419999999999</v>
      </c>
      <c r="M362" s="159" t="s">
        <v>293</v>
      </c>
      <c r="N362" s="159">
        <v>726</v>
      </c>
      <c r="O362" s="185">
        <f t="shared" si="23"/>
        <v>864.91429199999993</v>
      </c>
      <c r="P362" s="215">
        <f t="shared" si="25"/>
        <v>284.79718722590007</v>
      </c>
      <c r="Q362" s="215" cm="1">
        <f t="array" ref="Q362">IF(P362="-",0,P362/(1+'General inputs'!$H$32)^IFERROR(INDEX('MP Calculations'!$C$40:$C$130,MATCH(F362,'MP Calculations'!$D$40:$D$130,0),0),-1))</f>
        <v>506.62166888241052</v>
      </c>
      <c r="R362" s="207">
        <f t="shared" ref="R362:R407" si="26">YEAR(E362)</f>
        <v>2009</v>
      </c>
      <c r="S362" s="215">
        <f>IF(P362="-",0,P362/(1+'General inputs'!$H$32)^(R362-2023))</f>
        <v>506.62166888241052</v>
      </c>
    </row>
    <row r="363" spans="3:19">
      <c r="C363" s="159"/>
      <c r="D363" s="165" t="s">
        <v>284</v>
      </c>
      <c r="E363" s="161">
        <v>39980</v>
      </c>
      <c r="F363" s="172" t="str">
        <f t="shared" si="24"/>
        <v>2008-09</v>
      </c>
      <c r="G363" s="68"/>
      <c r="H363" s="167" t="s">
        <v>280</v>
      </c>
      <c r="I363" s="173">
        <v>21853.086195380012</v>
      </c>
      <c r="J363" s="168">
        <f>IFERROR(MIN('MP Calculations'!$E$30/I363,1),"-")</f>
        <v>0.32927792945511891</v>
      </c>
      <c r="K363" s="12"/>
      <c r="L363" s="159">
        <v>3.9639989999999998</v>
      </c>
      <c r="M363" s="159" t="s">
        <v>293</v>
      </c>
      <c r="N363" s="159">
        <v>726</v>
      </c>
      <c r="O363" s="185">
        <f t="shared" si="23"/>
        <v>2877.8632739999998</v>
      </c>
      <c r="P363" s="215">
        <f t="shared" si="25"/>
        <v>947.61686011764948</v>
      </c>
      <c r="Q363" s="215" cm="1">
        <f t="array" ref="Q363">IF(P363="-",0,P363/(1+'General inputs'!$H$32)^IFERROR(INDEX('MP Calculations'!$C$40:$C$130,MATCH(F363,'MP Calculations'!$D$40:$D$130,0),0),-1))</f>
        <v>1685.7021651450268</v>
      </c>
      <c r="R363" s="207">
        <f t="shared" si="26"/>
        <v>2009</v>
      </c>
      <c r="S363" s="215">
        <f>IF(P363="-",0,P363/(1+'General inputs'!$H$32)^(R363-2023))</f>
        <v>1685.7021651450268</v>
      </c>
    </row>
    <row r="364" spans="3:19">
      <c r="C364" s="159"/>
      <c r="D364" s="165" t="s">
        <v>284</v>
      </c>
      <c r="E364" s="161">
        <v>39980</v>
      </c>
      <c r="F364" s="172" t="str">
        <f t="shared" si="24"/>
        <v>2008-09</v>
      </c>
      <c r="G364" s="68"/>
      <c r="H364" s="167" t="s">
        <v>280</v>
      </c>
      <c r="I364" s="173">
        <v>21853.086195380012</v>
      </c>
      <c r="J364" s="168">
        <f>IFERROR(MIN('MP Calculations'!$E$30/I364,1),"-")</f>
        <v>0.32927792945511891</v>
      </c>
      <c r="K364" s="12"/>
      <c r="L364" s="159">
        <v>3.9054730000000002</v>
      </c>
      <c r="M364" s="159" t="s">
        <v>293</v>
      </c>
      <c r="N364" s="159">
        <v>726</v>
      </c>
      <c r="O364" s="185">
        <f t="shared" si="23"/>
        <v>2835.3733980000002</v>
      </c>
      <c r="P364" s="215">
        <f t="shared" si="25"/>
        <v>933.62588172556491</v>
      </c>
      <c r="Q364" s="215" cm="1">
        <f t="array" ref="Q364">IF(P364="-",0,P364/(1+'General inputs'!$H$32)^IFERROR(INDEX('MP Calculations'!$C$40:$C$130,MATCH(F364,'MP Calculations'!$D$40:$D$130,0),0),-1))</f>
        <v>1660.8138125199944</v>
      </c>
      <c r="R364" s="207">
        <f t="shared" si="26"/>
        <v>2009</v>
      </c>
      <c r="S364" s="215">
        <f>IF(P364="-",0,P364/(1+'General inputs'!$H$32)^(R364-2023))</f>
        <v>1660.8138125199944</v>
      </c>
    </row>
    <row r="365" spans="3:19">
      <c r="C365" s="159"/>
      <c r="D365" s="165" t="s">
        <v>284</v>
      </c>
      <c r="E365" s="161">
        <v>39980</v>
      </c>
      <c r="F365" s="172" t="str">
        <f t="shared" si="24"/>
        <v>2008-09</v>
      </c>
      <c r="G365" s="68"/>
      <c r="H365" s="167" t="s">
        <v>280</v>
      </c>
      <c r="I365" s="173">
        <v>21853.086195380012</v>
      </c>
      <c r="J365" s="168">
        <f>IFERROR(MIN('MP Calculations'!$E$30/I365,1),"-")</f>
        <v>0.32927792945511891</v>
      </c>
      <c r="K365" s="12"/>
      <c r="L365" s="159">
        <v>17.585564999999999</v>
      </c>
      <c r="M365" s="159" t="s">
        <v>293</v>
      </c>
      <c r="N365" s="159">
        <v>726</v>
      </c>
      <c r="O365" s="185">
        <f t="shared" si="23"/>
        <v>12767.12019</v>
      </c>
      <c r="P365" s="215">
        <f t="shared" si="25"/>
        <v>4203.9309012678441</v>
      </c>
      <c r="Q365" s="215" cm="1">
        <f t="array" ref="Q365">IF(P365="-",0,P365/(1+'General inputs'!$H$32)^IFERROR(INDEX('MP Calculations'!$C$40:$C$130,MATCH(F365,'MP Calculations'!$D$40:$D$130,0),0),-1))</f>
        <v>7478.3129349423662</v>
      </c>
      <c r="R365" s="207">
        <f t="shared" si="26"/>
        <v>2009</v>
      </c>
      <c r="S365" s="215">
        <f>IF(P365="-",0,P365/(1+'General inputs'!$H$32)^(R365-2023))</f>
        <v>7478.3129349423662</v>
      </c>
    </row>
    <row r="366" spans="3:19">
      <c r="C366" s="159"/>
      <c r="D366" s="165" t="s">
        <v>282</v>
      </c>
      <c r="E366" s="161">
        <v>39980</v>
      </c>
      <c r="F366" s="172" t="str">
        <f t="shared" si="24"/>
        <v>2008-09</v>
      </c>
      <c r="G366" s="68"/>
      <c r="H366" s="167" t="s">
        <v>280</v>
      </c>
      <c r="I366" s="173">
        <v>21853.086195380012</v>
      </c>
      <c r="J366" s="168">
        <f>IFERROR(MIN('MP Calculations'!$E$30/I366,1),"-")</f>
        <v>0.32927792945511891</v>
      </c>
      <c r="K366" s="12"/>
      <c r="L366" s="159">
        <v>2.480947</v>
      </c>
      <c r="M366" s="159" t="s">
        <v>293</v>
      </c>
      <c r="N366" s="159">
        <v>511</v>
      </c>
      <c r="O366" s="185">
        <f t="shared" si="23"/>
        <v>1267.763917</v>
      </c>
      <c r="P366" s="215">
        <f t="shared" si="25"/>
        <v>417.44667762767125</v>
      </c>
      <c r="Q366" s="215" cm="1">
        <f t="array" ref="Q366">IF(P366="-",0,P366/(1+'General inputs'!$H$32)^IFERROR(INDEX('MP Calculations'!$C$40:$C$130,MATCH(F366,'MP Calculations'!$D$40:$D$130,0),0),-1))</f>
        <v>742.58996217331776</v>
      </c>
      <c r="R366" s="207">
        <f t="shared" si="26"/>
        <v>2009</v>
      </c>
      <c r="S366" s="215">
        <f>IF(P366="-",0,P366/(1+'General inputs'!$H$32)^(R366-2023))</f>
        <v>742.58996217331776</v>
      </c>
    </row>
    <row r="367" spans="3:19">
      <c r="C367" s="159"/>
      <c r="D367" s="165" t="s">
        <v>284</v>
      </c>
      <c r="E367" s="161">
        <v>39980</v>
      </c>
      <c r="F367" s="172" t="str">
        <f t="shared" si="24"/>
        <v>2008-09</v>
      </c>
      <c r="G367" s="68"/>
      <c r="H367" s="167" t="s">
        <v>280</v>
      </c>
      <c r="I367" s="173">
        <v>21853.086195380012</v>
      </c>
      <c r="J367" s="168">
        <f>IFERROR(MIN('MP Calculations'!$E$30/I367,1),"-")</f>
        <v>0.32927792945511891</v>
      </c>
      <c r="K367" s="12"/>
      <c r="L367" s="159">
        <v>0.50183</v>
      </c>
      <c r="M367" s="159" t="s">
        <v>293</v>
      </c>
      <c r="N367" s="159">
        <v>726</v>
      </c>
      <c r="O367" s="185">
        <f t="shared" si="23"/>
        <v>364.32857999999999</v>
      </c>
      <c r="P367" s="215">
        <f t="shared" si="25"/>
        <v>119.96536046372364</v>
      </c>
      <c r="Q367" s="215" cm="1">
        <f t="array" ref="Q367">IF(P367="-",0,P367/(1+'General inputs'!$H$32)^IFERROR(INDEX('MP Calculations'!$C$40:$C$130,MATCH(F367,'MP Calculations'!$D$40:$D$130,0),0),-1))</f>
        <v>213.40467480812404</v>
      </c>
      <c r="R367" s="207">
        <f t="shared" si="26"/>
        <v>2009</v>
      </c>
      <c r="S367" s="215">
        <f>IF(P367="-",0,P367/(1+'General inputs'!$H$32)^(R367-2023))</f>
        <v>213.40467480812404</v>
      </c>
    </row>
    <row r="368" spans="3:19">
      <c r="C368" s="159"/>
      <c r="D368" s="165" t="s">
        <v>282</v>
      </c>
      <c r="E368" s="161">
        <v>39980</v>
      </c>
      <c r="F368" s="172" t="str">
        <f t="shared" si="24"/>
        <v>2008-09</v>
      </c>
      <c r="G368" s="68"/>
      <c r="H368" s="167" t="s">
        <v>280</v>
      </c>
      <c r="I368" s="173">
        <v>21853.086195380012</v>
      </c>
      <c r="J368" s="168">
        <f>IFERROR(MIN('MP Calculations'!$E$30/I368,1),"-")</f>
        <v>0.32927792945511891</v>
      </c>
      <c r="K368" s="12"/>
      <c r="L368" s="159">
        <v>0.40207100000000001</v>
      </c>
      <c r="M368" s="159" t="s">
        <v>293</v>
      </c>
      <c r="N368" s="159">
        <v>511</v>
      </c>
      <c r="O368" s="185">
        <f t="shared" si="23"/>
        <v>205.458281</v>
      </c>
      <c r="P368" s="215">
        <f t="shared" si="25"/>
        <v>67.652877357088002</v>
      </c>
      <c r="Q368" s="215" cm="1">
        <f t="array" ref="Q368">IF(P368="-",0,P368/(1+'General inputs'!$H$32)^IFERROR(INDEX('MP Calculations'!$C$40:$C$130,MATCH(F368,'MP Calculations'!$D$40:$D$130,0),0),-1))</f>
        <v>120.34674206300579</v>
      </c>
      <c r="R368" s="207">
        <f t="shared" si="26"/>
        <v>2009</v>
      </c>
      <c r="S368" s="215">
        <f>IF(P368="-",0,P368/(1+'General inputs'!$H$32)^(R368-2023))</f>
        <v>120.34674206300579</v>
      </c>
    </row>
    <row r="369" spans="3:19">
      <c r="C369" s="159"/>
      <c r="D369" s="165" t="s">
        <v>284</v>
      </c>
      <c r="E369" s="161">
        <v>39980</v>
      </c>
      <c r="F369" s="172" t="str">
        <f t="shared" si="24"/>
        <v>2008-09</v>
      </c>
      <c r="G369" s="68"/>
      <c r="H369" s="167" t="s">
        <v>280</v>
      </c>
      <c r="I369" s="173">
        <v>21853.086195380012</v>
      </c>
      <c r="J369" s="168">
        <f>IFERROR(MIN('MP Calculations'!$E$30/I369,1),"-")</f>
        <v>0.32927792945511891</v>
      </c>
      <c r="K369" s="12"/>
      <c r="L369" s="159">
        <v>94.889850999999993</v>
      </c>
      <c r="M369" s="159" t="s">
        <v>293</v>
      </c>
      <c r="N369" s="159">
        <v>726</v>
      </c>
      <c r="O369" s="185">
        <f t="shared" si="23"/>
        <v>68890.031825999991</v>
      </c>
      <c r="P369" s="215">
        <f t="shared" si="25"/>
        <v>22683.967039762523</v>
      </c>
      <c r="Q369" s="215" cm="1">
        <f t="array" ref="Q369">IF(P369="-",0,P369/(1+'General inputs'!$H$32)^IFERROR(INDEX('MP Calculations'!$C$40:$C$130,MATCH(F369,'MP Calculations'!$D$40:$D$130,0),0),-1))</f>
        <v>40352.186587582131</v>
      </c>
      <c r="R369" s="207">
        <f t="shared" si="26"/>
        <v>2009</v>
      </c>
      <c r="S369" s="215">
        <f>IF(P369="-",0,P369/(1+'General inputs'!$H$32)^(R369-2023))</f>
        <v>40352.186587582131</v>
      </c>
    </row>
    <row r="370" spans="3:19">
      <c r="C370" s="159"/>
      <c r="D370" s="165" t="s">
        <v>282</v>
      </c>
      <c r="E370" s="161">
        <v>39980</v>
      </c>
      <c r="F370" s="172" t="str">
        <f t="shared" si="24"/>
        <v>2008-09</v>
      </c>
      <c r="G370" s="68"/>
      <c r="H370" s="167" t="s">
        <v>280</v>
      </c>
      <c r="I370" s="173">
        <v>21853.086195380012</v>
      </c>
      <c r="J370" s="168">
        <f>IFERROR(MIN('MP Calculations'!$E$30/I370,1),"-")</f>
        <v>0.32927792945511891</v>
      </c>
      <c r="K370" s="12"/>
      <c r="L370" s="159">
        <v>0.303896</v>
      </c>
      <c r="M370" s="159" t="s">
        <v>293</v>
      </c>
      <c r="N370" s="159">
        <v>511</v>
      </c>
      <c r="O370" s="185">
        <f t="shared" si="23"/>
        <v>155.29085599999999</v>
      </c>
      <c r="P370" s="215">
        <f t="shared" si="25"/>
        <v>51.133851526993027</v>
      </c>
      <c r="Q370" s="215" cm="1">
        <f t="array" ref="Q370">IF(P370="-",0,P370/(1+'General inputs'!$H$32)^IFERROR(INDEX('MP Calculations'!$C$40:$C$130,MATCH(F370,'MP Calculations'!$D$40:$D$130,0),0),-1))</f>
        <v>90.961281778539629</v>
      </c>
      <c r="R370" s="207">
        <f t="shared" si="26"/>
        <v>2009</v>
      </c>
      <c r="S370" s="215">
        <f>IF(P370="-",0,P370/(1+'General inputs'!$H$32)^(R370-2023))</f>
        <v>90.961281778539629</v>
      </c>
    </row>
    <row r="371" spans="3:19">
      <c r="C371" s="159"/>
      <c r="D371" s="165" t="s">
        <v>284</v>
      </c>
      <c r="E371" s="161">
        <v>39980</v>
      </c>
      <c r="F371" s="172" t="str">
        <f t="shared" si="24"/>
        <v>2008-09</v>
      </c>
      <c r="G371" s="68"/>
      <c r="H371" s="167" t="s">
        <v>280</v>
      </c>
      <c r="I371" s="173">
        <v>21853.086195380012</v>
      </c>
      <c r="J371" s="168">
        <f>IFERROR(MIN('MP Calculations'!$E$30/I371,1),"-")</f>
        <v>0.32927792945511891</v>
      </c>
      <c r="K371" s="12"/>
      <c r="L371" s="159">
        <v>22.298584999999999</v>
      </c>
      <c r="M371" s="159" t="s">
        <v>293</v>
      </c>
      <c r="N371" s="159">
        <v>726</v>
      </c>
      <c r="O371" s="185">
        <f t="shared" si="23"/>
        <v>16188.772709999999</v>
      </c>
      <c r="P371" s="215">
        <f t="shared" si="25"/>
        <v>5330.6055583683337</v>
      </c>
      <c r="Q371" s="215" cm="1">
        <f t="array" ref="Q371">IF(P371="-",0,P371/(1+'General inputs'!$H$32)^IFERROR(INDEX('MP Calculations'!$C$40:$C$130,MATCH(F371,'MP Calculations'!$D$40:$D$130,0),0),-1))</f>
        <v>9482.5384704109201</v>
      </c>
      <c r="R371" s="207">
        <f t="shared" si="26"/>
        <v>2009</v>
      </c>
      <c r="S371" s="215">
        <f>IF(P371="-",0,P371/(1+'General inputs'!$H$32)^(R371-2023))</f>
        <v>9482.5384704109201</v>
      </c>
    </row>
    <row r="372" spans="3:19">
      <c r="C372" s="159"/>
      <c r="D372" s="165" t="s">
        <v>282</v>
      </c>
      <c r="E372" s="161">
        <v>39980</v>
      </c>
      <c r="F372" s="172" t="str">
        <f t="shared" si="24"/>
        <v>2008-09</v>
      </c>
      <c r="G372" s="68"/>
      <c r="H372" s="167" t="s">
        <v>280</v>
      </c>
      <c r="I372" s="173">
        <v>21853.086195380012</v>
      </c>
      <c r="J372" s="168">
        <f>IFERROR(MIN('MP Calculations'!$E$30/I372,1),"-")</f>
        <v>0.32927792945511891</v>
      </c>
      <c r="K372" s="12"/>
      <c r="L372" s="159">
        <v>0.90417099999999995</v>
      </c>
      <c r="M372" s="159" t="s">
        <v>293</v>
      </c>
      <c r="N372" s="159">
        <v>511</v>
      </c>
      <c r="O372" s="185">
        <f t="shared" si="23"/>
        <v>462.03138099999995</v>
      </c>
      <c r="P372" s="215">
        <f t="shared" si="25"/>
        <v>152.13673647896914</v>
      </c>
      <c r="Q372" s="215" cm="1">
        <f t="array" ref="Q372">IF(P372="-",0,P372/(1+'General inputs'!$H$32)^IFERROR(INDEX('MP Calculations'!$C$40:$C$130,MATCH(F372,'MP Calculations'!$D$40:$D$130,0),0),-1))</f>
        <v>270.63387838926457</v>
      </c>
      <c r="R372" s="207">
        <f t="shared" si="26"/>
        <v>2009</v>
      </c>
      <c r="S372" s="215">
        <f>IF(P372="-",0,P372/(1+'General inputs'!$H$32)^(R372-2023))</f>
        <v>270.63387838926457</v>
      </c>
    </row>
    <row r="373" spans="3:19">
      <c r="C373" s="159"/>
      <c r="D373" s="165" t="s">
        <v>284</v>
      </c>
      <c r="E373" s="161">
        <v>39980</v>
      </c>
      <c r="F373" s="172" t="str">
        <f t="shared" si="24"/>
        <v>2008-09</v>
      </c>
      <c r="G373" s="68"/>
      <c r="H373" s="167" t="s">
        <v>280</v>
      </c>
      <c r="I373" s="173">
        <v>21853.086195380012</v>
      </c>
      <c r="J373" s="168">
        <f>IFERROR(MIN('MP Calculations'!$E$30/I373,1),"-")</f>
        <v>0.32927792945511891</v>
      </c>
      <c r="K373" s="12"/>
      <c r="L373" s="159">
        <v>67.165040000000005</v>
      </c>
      <c r="M373" s="159" t="s">
        <v>293</v>
      </c>
      <c r="N373" s="159">
        <v>726</v>
      </c>
      <c r="O373" s="185">
        <f t="shared" si="23"/>
        <v>48761.819040000002</v>
      </c>
      <c r="P373" s="215">
        <f t="shared" si="25"/>
        <v>16056.190809956395</v>
      </c>
      <c r="Q373" s="215" cm="1">
        <f t="array" ref="Q373">IF(P373="-",0,P373/(1+'General inputs'!$H$32)^IFERROR(INDEX('MP Calculations'!$C$40:$C$130,MATCH(F373,'MP Calculations'!$D$40:$D$130,0),0),-1))</f>
        <v>28562.129644849141</v>
      </c>
      <c r="R373" s="207">
        <f t="shared" si="26"/>
        <v>2009</v>
      </c>
      <c r="S373" s="215">
        <f>IF(P373="-",0,P373/(1+'General inputs'!$H$32)^(R373-2023))</f>
        <v>28562.129644849141</v>
      </c>
    </row>
    <row r="374" spans="3:19">
      <c r="C374" s="159"/>
      <c r="D374" s="165" t="s">
        <v>284</v>
      </c>
      <c r="E374" s="161">
        <v>39980</v>
      </c>
      <c r="F374" s="172" t="str">
        <f t="shared" si="24"/>
        <v>2008-09</v>
      </c>
      <c r="G374" s="68"/>
      <c r="H374" s="167" t="s">
        <v>280</v>
      </c>
      <c r="I374" s="173">
        <v>21853.086195380012</v>
      </c>
      <c r="J374" s="168">
        <f>IFERROR(MIN('MP Calculations'!$E$30/I374,1),"-")</f>
        <v>0.32927792945511891</v>
      </c>
      <c r="K374" s="12"/>
      <c r="L374" s="159">
        <v>279.25252999999998</v>
      </c>
      <c r="M374" s="159" t="s">
        <v>293</v>
      </c>
      <c r="N374" s="159">
        <v>726</v>
      </c>
      <c r="O374" s="185">
        <f t="shared" si="23"/>
        <v>202737.33677999998</v>
      </c>
      <c r="P374" s="215">
        <f t="shared" si="25"/>
        <v>66756.930478163515</v>
      </c>
      <c r="Q374" s="215" cm="1">
        <f t="array" ref="Q374">IF(P374="-",0,P374/(1+'General inputs'!$H$32)^IFERROR(INDEX('MP Calculations'!$C$40:$C$130,MATCH(F374,'MP Calculations'!$D$40:$D$130,0),0),-1))</f>
        <v>118752.95489308311</v>
      </c>
      <c r="R374" s="207">
        <f t="shared" si="26"/>
        <v>2009</v>
      </c>
      <c r="S374" s="215">
        <f>IF(P374="-",0,P374/(1+'General inputs'!$H$32)^(R374-2023))</f>
        <v>118752.95489308311</v>
      </c>
    </row>
    <row r="375" spans="3:19">
      <c r="C375" s="159"/>
      <c r="D375" s="165" t="s">
        <v>282</v>
      </c>
      <c r="E375" s="161">
        <v>39980</v>
      </c>
      <c r="F375" s="172" t="str">
        <f t="shared" si="24"/>
        <v>2008-09</v>
      </c>
      <c r="G375" s="68"/>
      <c r="H375" s="167" t="s">
        <v>280</v>
      </c>
      <c r="I375" s="173">
        <v>21853.086195380012</v>
      </c>
      <c r="J375" s="168">
        <f>IFERROR(MIN('MP Calculations'!$E$30/I375,1),"-")</f>
        <v>0.32927792945511891</v>
      </c>
      <c r="K375" s="12"/>
      <c r="L375" s="159">
        <v>2.8617840000000001</v>
      </c>
      <c r="M375" s="159" t="s">
        <v>293</v>
      </c>
      <c r="N375" s="159">
        <v>511</v>
      </c>
      <c r="O375" s="185">
        <f t="shared" si="23"/>
        <v>1462.3716240000001</v>
      </c>
      <c r="P375" s="215">
        <f t="shared" si="25"/>
        <v>481.52670044463969</v>
      </c>
      <c r="Q375" s="215" cm="1">
        <f t="array" ref="Q375">IF(P375="-",0,P375/(1+'General inputs'!$H$32)^IFERROR(INDEX('MP Calculations'!$C$40:$C$130,MATCH(F375,'MP Calculations'!$D$40:$D$130,0),0),-1))</f>
        <v>856.58100407151221</v>
      </c>
      <c r="R375" s="207">
        <f t="shared" si="26"/>
        <v>2009</v>
      </c>
      <c r="S375" s="215">
        <f>IF(P375="-",0,P375/(1+'General inputs'!$H$32)^(R375-2023))</f>
        <v>856.58100407151221</v>
      </c>
    </row>
    <row r="376" spans="3:19">
      <c r="C376" s="159"/>
      <c r="D376" s="165" t="s">
        <v>284</v>
      </c>
      <c r="E376" s="161">
        <v>39980</v>
      </c>
      <c r="F376" s="172" t="str">
        <f t="shared" si="24"/>
        <v>2008-09</v>
      </c>
      <c r="G376" s="68"/>
      <c r="H376" s="167" t="s">
        <v>280</v>
      </c>
      <c r="I376" s="173">
        <v>21853.086195380012</v>
      </c>
      <c r="J376" s="168">
        <f>IFERROR(MIN('MP Calculations'!$E$30/I376,1),"-")</f>
        <v>0.32927792945511891</v>
      </c>
      <c r="K376" s="12"/>
      <c r="L376" s="159">
        <v>190.60609099999999</v>
      </c>
      <c r="M376" s="159" t="s">
        <v>293</v>
      </c>
      <c r="N376" s="159">
        <v>726</v>
      </c>
      <c r="O376" s="185">
        <f t="shared" si="23"/>
        <v>138380.022066</v>
      </c>
      <c r="P376" s="215">
        <f t="shared" si="25"/>
        <v>45565.487143846149</v>
      </c>
      <c r="Q376" s="215" cm="1">
        <f t="array" ref="Q376">IF(P376="-",0,P376/(1+'General inputs'!$H$32)^IFERROR(INDEX('MP Calculations'!$C$40:$C$130,MATCH(F376,'MP Calculations'!$D$40:$D$130,0),0),-1))</f>
        <v>81055.797513705242</v>
      </c>
      <c r="R376" s="207">
        <f t="shared" si="26"/>
        <v>2009</v>
      </c>
      <c r="S376" s="215">
        <f>IF(P376="-",0,P376/(1+'General inputs'!$H$32)^(R376-2023))</f>
        <v>81055.797513705242</v>
      </c>
    </row>
    <row r="377" spans="3:19">
      <c r="C377" s="159"/>
      <c r="D377" s="165" t="s">
        <v>284</v>
      </c>
      <c r="E377" s="161">
        <v>39980</v>
      </c>
      <c r="F377" s="172" t="str">
        <f t="shared" si="24"/>
        <v>2008-09</v>
      </c>
      <c r="G377" s="68"/>
      <c r="H377" s="167" t="s">
        <v>280</v>
      </c>
      <c r="I377" s="173">
        <v>21853.086195380012</v>
      </c>
      <c r="J377" s="168">
        <f>IFERROR(MIN('MP Calculations'!$E$30/I377,1),"-")</f>
        <v>0.32927792945511891</v>
      </c>
      <c r="K377" s="12"/>
      <c r="L377" s="159">
        <v>0.49477300000000002</v>
      </c>
      <c r="M377" s="159" t="s">
        <v>293</v>
      </c>
      <c r="N377" s="159">
        <v>726</v>
      </c>
      <c r="O377" s="185">
        <f t="shared" si="23"/>
        <v>359.205198</v>
      </c>
      <c r="P377" s="215">
        <f t="shared" si="25"/>
        <v>118.27834384695602</v>
      </c>
      <c r="Q377" s="215" cm="1">
        <f t="array" ref="Q377">IF(P377="-",0,P377/(1+'General inputs'!$H$32)^IFERROR(INDEX('MP Calculations'!$C$40:$C$130,MATCH(F377,'MP Calculations'!$D$40:$D$130,0),0),-1))</f>
        <v>210.40366492405786</v>
      </c>
      <c r="R377" s="207">
        <f t="shared" si="26"/>
        <v>2009</v>
      </c>
      <c r="S377" s="215">
        <f>IF(P377="-",0,P377/(1+'General inputs'!$H$32)^(R377-2023))</f>
        <v>210.40366492405786</v>
      </c>
    </row>
    <row r="378" spans="3:19">
      <c r="C378" s="159"/>
      <c r="D378" s="165" t="s">
        <v>284</v>
      </c>
      <c r="E378" s="161">
        <v>39980</v>
      </c>
      <c r="F378" s="172" t="str">
        <f t="shared" si="24"/>
        <v>2008-09</v>
      </c>
      <c r="G378" s="68"/>
      <c r="H378" s="167" t="s">
        <v>280</v>
      </c>
      <c r="I378" s="173">
        <v>21853.086195380012</v>
      </c>
      <c r="J378" s="168">
        <f>IFERROR(MIN('MP Calculations'!$E$30/I378,1),"-")</f>
        <v>0.32927792945511891</v>
      </c>
      <c r="K378" s="12"/>
      <c r="L378" s="159">
        <v>4.2844639999999998</v>
      </c>
      <c r="M378" s="159" t="s">
        <v>293</v>
      </c>
      <c r="N378" s="159">
        <v>726</v>
      </c>
      <c r="O378" s="185">
        <f t="shared" si="23"/>
        <v>3110.5208640000001</v>
      </c>
      <c r="P378" s="215">
        <f t="shared" si="25"/>
        <v>1024.2258696248675</v>
      </c>
      <c r="Q378" s="215" cm="1">
        <f t="array" ref="Q378">IF(P378="-",0,P378/(1+'General inputs'!$H$32)^IFERROR(INDEX('MP Calculations'!$C$40:$C$130,MATCH(F378,'MP Calculations'!$D$40:$D$130,0),0),-1))</f>
        <v>1821.9808434073577</v>
      </c>
      <c r="R378" s="207">
        <f t="shared" si="26"/>
        <v>2009</v>
      </c>
      <c r="S378" s="215">
        <f>IF(P378="-",0,P378/(1+'General inputs'!$H$32)^(R378-2023))</f>
        <v>1821.9808434073577</v>
      </c>
    </row>
    <row r="379" spans="3:19">
      <c r="C379" s="159"/>
      <c r="D379" s="165" t="s">
        <v>282</v>
      </c>
      <c r="E379" s="161">
        <v>39980</v>
      </c>
      <c r="F379" s="172" t="str">
        <f t="shared" si="24"/>
        <v>2008-09</v>
      </c>
      <c r="G379" s="68"/>
      <c r="H379" s="167" t="s">
        <v>280</v>
      </c>
      <c r="I379" s="173">
        <v>21853.086195380012</v>
      </c>
      <c r="J379" s="168">
        <f>IFERROR(MIN('MP Calculations'!$E$30/I379,1),"-")</f>
        <v>0.32927792945511891</v>
      </c>
      <c r="K379" s="12"/>
      <c r="L379" s="159">
        <v>0.46353499999999997</v>
      </c>
      <c r="M379" s="159" t="s">
        <v>293</v>
      </c>
      <c r="N379" s="159">
        <v>511</v>
      </c>
      <c r="O379" s="185">
        <f t="shared" si="23"/>
        <v>236.86638499999998</v>
      </c>
      <c r="P379" s="215">
        <f t="shared" si="25"/>
        <v>77.994872810319023</v>
      </c>
      <c r="Q379" s="215" cm="1">
        <f t="array" ref="Q379">IF(P379="-",0,P379/(1+'General inputs'!$H$32)^IFERROR(INDEX('MP Calculations'!$C$40:$C$130,MATCH(F379,'MP Calculations'!$D$40:$D$130,0),0),-1))</f>
        <v>138.74397079663885</v>
      </c>
      <c r="R379" s="207">
        <f t="shared" si="26"/>
        <v>2009</v>
      </c>
      <c r="S379" s="215">
        <f>IF(P379="-",0,P379/(1+'General inputs'!$H$32)^(R379-2023))</f>
        <v>138.74397079663885</v>
      </c>
    </row>
    <row r="380" spans="3:19">
      <c r="C380" s="159"/>
      <c r="D380" s="165" t="s">
        <v>284</v>
      </c>
      <c r="E380" s="161">
        <v>39980</v>
      </c>
      <c r="F380" s="172" t="str">
        <f t="shared" si="24"/>
        <v>2008-09</v>
      </c>
      <c r="G380" s="68"/>
      <c r="H380" s="167" t="s">
        <v>280</v>
      </c>
      <c r="I380" s="173">
        <v>21853.086195380012</v>
      </c>
      <c r="J380" s="168">
        <f>IFERROR(MIN('MP Calculations'!$E$30/I380,1),"-")</f>
        <v>0.32927792945511891</v>
      </c>
      <c r="K380" s="12"/>
      <c r="L380" s="159">
        <v>25.039652</v>
      </c>
      <c r="M380" s="159" t="s">
        <v>293</v>
      </c>
      <c r="N380" s="159">
        <v>726</v>
      </c>
      <c r="O380" s="185">
        <f t="shared" si="23"/>
        <v>18178.787351999999</v>
      </c>
      <c r="P380" s="215">
        <f t="shared" si="25"/>
        <v>5985.8734592714636</v>
      </c>
      <c r="Q380" s="215" cm="1">
        <f t="array" ref="Q380">IF(P380="-",0,P380/(1+'General inputs'!$H$32)^IFERROR(INDEX('MP Calculations'!$C$40:$C$130,MATCH(F380,'MP Calculations'!$D$40:$D$130,0),0),-1))</f>
        <v>10648.185226807071</v>
      </c>
      <c r="R380" s="207">
        <f t="shared" si="26"/>
        <v>2009</v>
      </c>
      <c r="S380" s="215">
        <f>IF(P380="-",0,P380/(1+'General inputs'!$H$32)^(R380-2023))</f>
        <v>10648.185226807071</v>
      </c>
    </row>
    <row r="381" spans="3:19">
      <c r="C381" s="159"/>
      <c r="D381" s="165" t="s">
        <v>284</v>
      </c>
      <c r="E381" s="161">
        <v>39980</v>
      </c>
      <c r="F381" s="172" t="str">
        <f t="shared" si="24"/>
        <v>2008-09</v>
      </c>
      <c r="G381" s="68"/>
      <c r="H381" s="167" t="s">
        <v>280</v>
      </c>
      <c r="I381" s="173">
        <v>21853.086195380012</v>
      </c>
      <c r="J381" s="168">
        <f>IFERROR(MIN('MP Calculations'!$E$30/I381,1),"-")</f>
        <v>0.32927792945511891</v>
      </c>
      <c r="K381" s="12"/>
      <c r="L381" s="159">
        <v>1.0382119999999999</v>
      </c>
      <c r="M381" s="159" t="s">
        <v>293</v>
      </c>
      <c r="N381" s="159">
        <v>726</v>
      </c>
      <c r="O381" s="185">
        <f t="shared" si="23"/>
        <v>753.74191199999996</v>
      </c>
      <c r="P381" s="215">
        <f t="shared" si="25"/>
        <v>248.19057612690244</v>
      </c>
      <c r="Q381" s="215" cm="1">
        <f t="array" ref="Q381">IF(P381="-",0,P381/(1+'General inputs'!$H$32)^IFERROR(INDEX('MP Calculations'!$C$40:$C$130,MATCH(F381,'MP Calculations'!$D$40:$D$130,0),0),-1))</f>
        <v>441.50268864334947</v>
      </c>
      <c r="R381" s="207">
        <f t="shared" si="26"/>
        <v>2009</v>
      </c>
      <c r="S381" s="215">
        <f>IF(P381="-",0,P381/(1+'General inputs'!$H$32)^(R381-2023))</f>
        <v>441.50268864334947</v>
      </c>
    </row>
    <row r="382" spans="3:19">
      <c r="C382" s="159"/>
      <c r="D382" s="165" t="s">
        <v>284</v>
      </c>
      <c r="E382" s="161">
        <v>39980</v>
      </c>
      <c r="F382" s="172" t="str">
        <f t="shared" si="24"/>
        <v>2008-09</v>
      </c>
      <c r="G382" s="68"/>
      <c r="H382" s="167" t="s">
        <v>280</v>
      </c>
      <c r="I382" s="173">
        <v>21853.086195380012</v>
      </c>
      <c r="J382" s="168">
        <f>IFERROR(MIN('MP Calculations'!$E$30/I382,1),"-")</f>
        <v>0.32927792945511891</v>
      </c>
      <c r="K382" s="12"/>
      <c r="L382" s="159">
        <v>78.693712000000005</v>
      </c>
      <c r="M382" s="159" t="s">
        <v>293</v>
      </c>
      <c r="N382" s="159">
        <v>726</v>
      </c>
      <c r="O382" s="185">
        <f t="shared" si="23"/>
        <v>57131.634912000001</v>
      </c>
      <c r="P382" s="215">
        <f t="shared" si="25"/>
        <v>18812.186450209145</v>
      </c>
      <c r="Q382" s="215" cm="1">
        <f t="array" ref="Q382">IF(P382="-",0,P382/(1+'General inputs'!$H$32)^IFERROR(INDEX('MP Calculations'!$C$40:$C$130,MATCH(F382,'MP Calculations'!$D$40:$D$130,0),0),-1))</f>
        <v>33464.731121702906</v>
      </c>
      <c r="R382" s="207">
        <f t="shared" si="26"/>
        <v>2009</v>
      </c>
      <c r="S382" s="215">
        <f>IF(P382="-",0,P382/(1+'General inputs'!$H$32)^(R382-2023))</f>
        <v>33464.731121702906</v>
      </c>
    </row>
    <row r="383" spans="3:19">
      <c r="C383" s="159"/>
      <c r="D383" s="165" t="s">
        <v>282</v>
      </c>
      <c r="E383" s="161">
        <v>39980</v>
      </c>
      <c r="F383" s="172" t="str">
        <f t="shared" si="24"/>
        <v>2008-09</v>
      </c>
      <c r="G383" s="68"/>
      <c r="H383" s="167" t="s">
        <v>280</v>
      </c>
      <c r="I383" s="173">
        <v>21853.086195380012</v>
      </c>
      <c r="J383" s="168">
        <f>IFERROR(MIN('MP Calculations'!$E$30/I383,1),"-")</f>
        <v>0.32927792945511891</v>
      </c>
      <c r="K383" s="12"/>
      <c r="L383" s="159">
        <v>0.40035199999999999</v>
      </c>
      <c r="M383" s="159" t="s">
        <v>293</v>
      </c>
      <c r="N383" s="159">
        <v>511</v>
      </c>
      <c r="O383" s="185">
        <f t="shared" si="23"/>
        <v>204.57987199999999</v>
      </c>
      <c r="P383" s="215">
        <f t="shared" si="25"/>
        <v>67.363636660353251</v>
      </c>
      <c r="Q383" s="215" cm="1">
        <f t="array" ref="Q383">IF(P383="-",0,P383/(1+'General inputs'!$H$32)^IFERROR(INDEX('MP Calculations'!$C$40:$C$130,MATCH(F383,'MP Calculations'!$D$40:$D$130,0),0),-1))</f>
        <v>119.83221589820825</v>
      </c>
      <c r="R383" s="207">
        <f t="shared" si="26"/>
        <v>2009</v>
      </c>
      <c r="S383" s="215">
        <f>IF(P383="-",0,P383/(1+'General inputs'!$H$32)^(R383-2023))</f>
        <v>119.83221589820825</v>
      </c>
    </row>
    <row r="384" spans="3:19">
      <c r="C384" s="159"/>
      <c r="D384" s="165" t="s">
        <v>284</v>
      </c>
      <c r="E384" s="161">
        <v>39980</v>
      </c>
      <c r="F384" s="172" t="str">
        <f t="shared" si="24"/>
        <v>2008-09</v>
      </c>
      <c r="G384" s="68"/>
      <c r="H384" s="167" t="s">
        <v>280</v>
      </c>
      <c r="I384" s="173">
        <v>21853.086195380012</v>
      </c>
      <c r="J384" s="168">
        <f>IFERROR(MIN('MP Calculations'!$E$30/I384,1),"-")</f>
        <v>0.32927792945511891</v>
      </c>
      <c r="K384" s="12"/>
      <c r="L384" s="159">
        <v>20.729704000000002</v>
      </c>
      <c r="M384" s="159" t="s">
        <v>293</v>
      </c>
      <c r="N384" s="159">
        <v>726</v>
      </c>
      <c r="O384" s="185">
        <f t="shared" si="23"/>
        <v>15049.765104000002</v>
      </c>
      <c r="P384" s="215">
        <f t="shared" si="25"/>
        <v>4955.555492231023</v>
      </c>
      <c r="Q384" s="215" cm="1">
        <f t="array" ref="Q384">IF(P384="-",0,P384/(1+'General inputs'!$H$32)^IFERROR(INDEX('MP Calculations'!$C$40:$C$130,MATCH(F384,'MP Calculations'!$D$40:$D$130,0),0),-1))</f>
        <v>8815.3672378866722</v>
      </c>
      <c r="R384" s="207">
        <f t="shared" si="26"/>
        <v>2009</v>
      </c>
      <c r="S384" s="215">
        <f>IF(P384="-",0,P384/(1+'General inputs'!$H$32)^(R384-2023))</f>
        <v>8815.3672378866722</v>
      </c>
    </row>
    <row r="385" spans="3:19">
      <c r="C385" s="159"/>
      <c r="D385" s="165" t="s">
        <v>282</v>
      </c>
      <c r="E385" s="161">
        <v>39980</v>
      </c>
      <c r="F385" s="172" t="str">
        <f t="shared" si="24"/>
        <v>2008-09</v>
      </c>
      <c r="G385" s="68"/>
      <c r="H385" s="167" t="s">
        <v>280</v>
      </c>
      <c r="I385" s="173">
        <v>21853.086195380012</v>
      </c>
      <c r="J385" s="168">
        <f>IFERROR(MIN('MP Calculations'!$E$30/I385,1),"-")</f>
        <v>0.32927792945511891</v>
      </c>
      <c r="K385" s="12"/>
      <c r="L385" s="159">
        <v>0.30137799999999998</v>
      </c>
      <c r="M385" s="159" t="s">
        <v>293</v>
      </c>
      <c r="N385" s="159">
        <v>511</v>
      </c>
      <c r="O385" s="185">
        <f t="shared" ref="O385:O541" si="27">IF(N385="","-",L385*N385)</f>
        <v>154.00415799999999</v>
      </c>
      <c r="P385" s="215">
        <f t="shared" si="25"/>
        <v>50.710170273718987</v>
      </c>
      <c r="Q385" s="215" cm="1">
        <f t="array" ref="Q385">IF(P385="-",0,P385/(1+'General inputs'!$H$32)^IFERROR(INDEX('MP Calculations'!$C$40:$C$130,MATCH(F385,'MP Calculations'!$D$40:$D$130,0),0),-1))</f>
        <v>90.207601218353375</v>
      </c>
      <c r="R385" s="207">
        <f t="shared" si="26"/>
        <v>2009</v>
      </c>
      <c r="S385" s="215">
        <f>IF(P385="-",0,P385/(1+'General inputs'!$H$32)^(R385-2023))</f>
        <v>90.207601218353375</v>
      </c>
    </row>
    <row r="386" spans="3:19">
      <c r="C386" s="159"/>
      <c r="D386" s="165" t="s">
        <v>282</v>
      </c>
      <c r="E386" s="161">
        <v>39980</v>
      </c>
      <c r="F386" s="172" t="str">
        <f t="shared" si="24"/>
        <v>2008-09</v>
      </c>
      <c r="G386" s="68"/>
      <c r="H386" s="167" t="s">
        <v>280</v>
      </c>
      <c r="I386" s="173">
        <v>21853.086195380012</v>
      </c>
      <c r="J386" s="168">
        <f>IFERROR(MIN('MP Calculations'!$E$30/I386,1),"-")</f>
        <v>0.32927792945511891</v>
      </c>
      <c r="K386" s="12"/>
      <c r="L386" s="159">
        <v>1.102474</v>
      </c>
      <c r="M386" s="159" t="s">
        <v>293</v>
      </c>
      <c r="N386" s="159">
        <v>511</v>
      </c>
      <c r="O386" s="185">
        <f t="shared" si="27"/>
        <v>563.36421399999995</v>
      </c>
      <c r="P386" s="215">
        <f t="shared" si="25"/>
        <v>185.50340191503051</v>
      </c>
      <c r="Q386" s="215" cm="1">
        <f t="array" ref="Q386">IF(P386="-",0,P386/(1+'General inputs'!$H$32)^IFERROR(INDEX('MP Calculations'!$C$40:$C$130,MATCH(F386,'MP Calculations'!$D$40:$D$130,0),0),-1))</f>
        <v>329.98936533390929</v>
      </c>
      <c r="R386" s="207">
        <f t="shared" si="26"/>
        <v>2009</v>
      </c>
      <c r="S386" s="215">
        <f>IF(P386="-",0,P386/(1+'General inputs'!$H$32)^(R386-2023))</f>
        <v>329.98936533390929</v>
      </c>
    </row>
    <row r="387" spans="3:19">
      <c r="C387" s="159"/>
      <c r="D387" s="165" t="s">
        <v>284</v>
      </c>
      <c r="E387" s="161">
        <v>39980</v>
      </c>
      <c r="F387" s="172" t="str">
        <f t="shared" si="24"/>
        <v>2008-09</v>
      </c>
      <c r="G387" s="68"/>
      <c r="H387" s="167" t="s">
        <v>280</v>
      </c>
      <c r="I387" s="173">
        <v>21853.086195380012</v>
      </c>
      <c r="J387" s="168">
        <f>IFERROR(MIN('MP Calculations'!$E$30/I387,1),"-")</f>
        <v>0.32927792945511891</v>
      </c>
      <c r="K387" s="12"/>
      <c r="L387" s="159">
        <v>1.2073940000000001</v>
      </c>
      <c r="M387" s="159" t="s">
        <v>293</v>
      </c>
      <c r="N387" s="159">
        <v>726</v>
      </c>
      <c r="O387" s="185">
        <f t="shared" si="27"/>
        <v>876.5680440000001</v>
      </c>
      <c r="P387" s="215">
        <f t="shared" si="25"/>
        <v>288.63451055484359</v>
      </c>
      <c r="Q387" s="215" cm="1">
        <f t="array" ref="Q387">IF(P387="-",0,P387/(1+'General inputs'!$H$32)^IFERROR(INDEX('MP Calculations'!$C$40:$C$130,MATCH(F387,'MP Calculations'!$D$40:$D$130,0),0),-1))</f>
        <v>513.44782881708977</v>
      </c>
      <c r="R387" s="207">
        <f t="shared" si="26"/>
        <v>2009</v>
      </c>
      <c r="S387" s="215">
        <f>IF(P387="-",0,P387/(1+'General inputs'!$H$32)^(R387-2023))</f>
        <v>513.44782881708977</v>
      </c>
    </row>
    <row r="388" spans="3:19">
      <c r="C388" s="159"/>
      <c r="D388" s="165" t="s">
        <v>289</v>
      </c>
      <c r="E388" s="161">
        <v>39980</v>
      </c>
      <c r="F388" s="172" t="str">
        <f t="shared" si="24"/>
        <v>2008-09</v>
      </c>
      <c r="G388" s="68"/>
      <c r="H388" s="167" t="s">
        <v>280</v>
      </c>
      <c r="I388" s="173">
        <v>21853.086195380012</v>
      </c>
      <c r="J388" s="168">
        <f>IFERROR(MIN('MP Calculations'!$E$30/I388,1),"-")</f>
        <v>0.32927792945511891</v>
      </c>
      <c r="K388" s="12"/>
      <c r="L388" s="159">
        <v>5.2629149999999996</v>
      </c>
      <c r="M388" s="159" t="s">
        <v>293</v>
      </c>
      <c r="N388" s="159">
        <v>940</v>
      </c>
      <c r="O388" s="185">
        <f t="shared" si="27"/>
        <v>4947.1400999999996</v>
      </c>
      <c r="P388" s="215">
        <f t="shared" si="25"/>
        <v>1628.9840488523898</v>
      </c>
      <c r="Q388" s="215" cm="1">
        <f t="array" ref="Q388">IF(P388="-",0,P388/(1+'General inputs'!$H$32)^IFERROR(INDEX('MP Calculations'!$C$40:$C$130,MATCH(F388,'MP Calculations'!$D$40:$D$130,0),0),-1))</f>
        <v>2897.7765737476047</v>
      </c>
      <c r="R388" s="207">
        <f t="shared" si="26"/>
        <v>2009</v>
      </c>
      <c r="S388" s="215">
        <f>IF(P388="-",0,P388/(1+'General inputs'!$H$32)^(R388-2023))</f>
        <v>2897.7765737476047</v>
      </c>
    </row>
    <row r="389" spans="3:19">
      <c r="C389" s="159"/>
      <c r="D389" s="165" t="s">
        <v>284</v>
      </c>
      <c r="E389" s="161">
        <v>39980</v>
      </c>
      <c r="F389" s="172" t="str">
        <f t="shared" si="24"/>
        <v>2008-09</v>
      </c>
      <c r="G389" s="68"/>
      <c r="H389" s="167" t="s">
        <v>280</v>
      </c>
      <c r="I389" s="173">
        <v>21853.086195380012</v>
      </c>
      <c r="J389" s="168">
        <f>IFERROR(MIN('MP Calculations'!$E$30/I389,1),"-")</f>
        <v>0.32927792945511891</v>
      </c>
      <c r="K389" s="12"/>
      <c r="L389" s="159">
        <v>25.612359000000001</v>
      </c>
      <c r="M389" s="159" t="s">
        <v>293</v>
      </c>
      <c r="N389" s="159">
        <v>726</v>
      </c>
      <c r="O389" s="185">
        <f t="shared" si="27"/>
        <v>18594.572634</v>
      </c>
      <c r="P389" s="215">
        <f t="shared" si="25"/>
        <v>6122.7823760263364</v>
      </c>
      <c r="Q389" s="215" cm="1">
        <f t="array" ref="Q389">IF(P389="-",0,P389/(1+'General inputs'!$H$32)^IFERROR(INDEX('MP Calculations'!$C$40:$C$130,MATCH(F389,'MP Calculations'!$D$40:$D$130,0),0),-1))</f>
        <v>10891.730553103498</v>
      </c>
      <c r="R389" s="207">
        <f t="shared" si="26"/>
        <v>2009</v>
      </c>
      <c r="S389" s="215">
        <f>IF(P389="-",0,P389/(1+'General inputs'!$H$32)^(R389-2023))</f>
        <v>10891.730553103498</v>
      </c>
    </row>
    <row r="390" spans="3:19">
      <c r="C390" s="159"/>
      <c r="D390" s="165" t="s">
        <v>284</v>
      </c>
      <c r="E390" s="161">
        <v>39980</v>
      </c>
      <c r="F390" s="172" t="str">
        <f t="shared" si="24"/>
        <v>2008-09</v>
      </c>
      <c r="G390" s="68"/>
      <c r="H390" s="167" t="s">
        <v>280</v>
      </c>
      <c r="I390" s="173">
        <v>21853.086195380012</v>
      </c>
      <c r="J390" s="168">
        <f>IFERROR(MIN('MP Calculations'!$E$30/I390,1),"-")</f>
        <v>0.32927792945511891</v>
      </c>
      <c r="K390" s="12"/>
      <c r="L390" s="159">
        <v>6.7366229999999998</v>
      </c>
      <c r="M390" s="159" t="s">
        <v>293</v>
      </c>
      <c r="N390" s="159">
        <v>726</v>
      </c>
      <c r="O390" s="185">
        <f t="shared" si="27"/>
        <v>4890.7882979999995</v>
      </c>
      <c r="P390" s="215">
        <f t="shared" si="25"/>
        <v>1610.428644168765</v>
      </c>
      <c r="Q390" s="215" cm="1">
        <f t="array" ref="Q390">IF(P390="-",0,P390/(1+'General inputs'!$H$32)^IFERROR(INDEX('MP Calculations'!$C$40:$C$130,MATCH(F390,'MP Calculations'!$D$40:$D$130,0),0),-1))</f>
        <v>2864.7686280611542</v>
      </c>
      <c r="R390" s="207">
        <f t="shared" si="26"/>
        <v>2009</v>
      </c>
      <c r="S390" s="215">
        <f>IF(P390="-",0,P390/(1+'General inputs'!$H$32)^(R390-2023))</f>
        <v>2864.7686280611542</v>
      </c>
    </row>
    <row r="391" spans="3:19">
      <c r="C391" s="159"/>
      <c r="D391" s="165" t="s">
        <v>284</v>
      </c>
      <c r="E391" s="161">
        <v>39980</v>
      </c>
      <c r="F391" s="172" t="str">
        <f t="shared" si="24"/>
        <v>2008-09</v>
      </c>
      <c r="G391" s="68"/>
      <c r="H391" s="167" t="s">
        <v>280</v>
      </c>
      <c r="I391" s="173">
        <v>21853.086195380012</v>
      </c>
      <c r="J391" s="168">
        <f>IFERROR(MIN('MP Calculations'!$E$30/I391,1),"-")</f>
        <v>0.32927792945511891</v>
      </c>
      <c r="K391" s="12"/>
      <c r="L391" s="159">
        <v>13.194611</v>
      </c>
      <c r="M391" s="159" t="s">
        <v>293</v>
      </c>
      <c r="N391" s="159">
        <v>726</v>
      </c>
      <c r="O391" s="185">
        <f t="shared" si="27"/>
        <v>9579.2875860000004</v>
      </c>
      <c r="P391" s="215">
        <f t="shared" si="25"/>
        <v>3154.2479819732043</v>
      </c>
      <c r="Q391" s="215" cm="1">
        <f t="array" ref="Q391">IF(P391="-",0,P391/(1+'General inputs'!$H$32)^IFERROR(INDEX('MP Calculations'!$C$40:$C$130,MATCH(F391,'MP Calculations'!$D$40:$D$130,0),0),-1))</f>
        <v>5611.0469076673298</v>
      </c>
      <c r="R391" s="207">
        <f t="shared" si="26"/>
        <v>2009</v>
      </c>
      <c r="S391" s="215">
        <f>IF(P391="-",0,P391/(1+'General inputs'!$H$32)^(R391-2023))</f>
        <v>5611.0469076673298</v>
      </c>
    </row>
    <row r="392" spans="3:19">
      <c r="C392" s="159"/>
      <c r="D392" s="165" t="s">
        <v>284</v>
      </c>
      <c r="E392" s="161">
        <v>39980</v>
      </c>
      <c r="F392" s="172" t="str">
        <f t="shared" si="24"/>
        <v>2008-09</v>
      </c>
      <c r="G392" s="68"/>
      <c r="H392" s="167" t="s">
        <v>280</v>
      </c>
      <c r="I392" s="173">
        <v>21853.086195380012</v>
      </c>
      <c r="J392" s="168">
        <f>IFERROR(MIN('MP Calculations'!$E$30/I392,1),"-")</f>
        <v>0.32927792945511891</v>
      </c>
      <c r="K392" s="12"/>
      <c r="L392" s="159">
        <v>0.95335700000000001</v>
      </c>
      <c r="M392" s="159" t="s">
        <v>293</v>
      </c>
      <c r="N392" s="159">
        <v>726</v>
      </c>
      <c r="O392" s="185">
        <f t="shared" si="27"/>
        <v>692.13718200000005</v>
      </c>
      <c r="P392" s="215">
        <f t="shared" si="25"/>
        <v>227.90549818786081</v>
      </c>
      <c r="Q392" s="215" cm="1">
        <f t="array" ref="Q392">IF(P392="-",0,P392/(1+'General inputs'!$H$32)^IFERROR(INDEX('MP Calculations'!$C$40:$C$130,MATCH(F392,'MP Calculations'!$D$40:$D$130,0),0),-1))</f>
        <v>405.41785178456593</v>
      </c>
      <c r="R392" s="207">
        <f t="shared" si="26"/>
        <v>2009</v>
      </c>
      <c r="S392" s="215">
        <f>IF(P392="-",0,P392/(1+'General inputs'!$H$32)^(R392-2023))</f>
        <v>405.41785178456593</v>
      </c>
    </row>
    <row r="393" spans="3:19">
      <c r="C393" s="159"/>
      <c r="D393" s="165" t="s">
        <v>284</v>
      </c>
      <c r="E393" s="161">
        <v>39980</v>
      </c>
      <c r="F393" s="172" t="str">
        <f t="shared" si="24"/>
        <v>2008-09</v>
      </c>
      <c r="G393" s="68"/>
      <c r="H393" s="167" t="s">
        <v>280</v>
      </c>
      <c r="I393" s="173">
        <v>21853.086195380012</v>
      </c>
      <c r="J393" s="168">
        <f>IFERROR(MIN('MP Calculations'!$E$30/I393,1),"-")</f>
        <v>0.32927792945511891</v>
      </c>
      <c r="K393" s="12"/>
      <c r="L393" s="159">
        <v>0.473223</v>
      </c>
      <c r="M393" s="159" t="s">
        <v>293</v>
      </c>
      <c r="N393" s="159">
        <v>726</v>
      </c>
      <c r="O393" s="185">
        <f t="shared" si="27"/>
        <v>343.55989799999998</v>
      </c>
      <c r="P393" s="215">
        <f t="shared" si="25"/>
        <v>113.12669185725184</v>
      </c>
      <c r="Q393" s="215" cm="1">
        <f t="array" ref="Q393">IF(P393="-",0,P393/(1+'General inputs'!$H$32)^IFERROR(INDEX('MP Calculations'!$C$40:$C$130,MATCH(F393,'MP Calculations'!$D$40:$D$130,0),0),-1))</f>
        <v>201.23946441369563</v>
      </c>
      <c r="R393" s="207">
        <f t="shared" si="26"/>
        <v>2009</v>
      </c>
      <c r="S393" s="215">
        <f>IF(P393="-",0,P393/(1+'General inputs'!$H$32)^(R393-2023))</f>
        <v>201.23946441369563</v>
      </c>
    </row>
    <row r="394" spans="3:19">
      <c r="C394" s="159"/>
      <c r="D394" s="165" t="s">
        <v>284</v>
      </c>
      <c r="E394" s="161">
        <v>39980</v>
      </c>
      <c r="F394" s="172" t="str">
        <f t="shared" si="24"/>
        <v>2008-09</v>
      </c>
      <c r="G394" s="68"/>
      <c r="H394" s="167" t="s">
        <v>280</v>
      </c>
      <c r="I394" s="173">
        <v>21853.086195380012</v>
      </c>
      <c r="J394" s="168">
        <f>IFERROR(MIN('MP Calculations'!$E$30/I394,1),"-")</f>
        <v>0.32927792945511891</v>
      </c>
      <c r="K394" s="12"/>
      <c r="L394" s="159">
        <v>27.397895999999999</v>
      </c>
      <c r="M394" s="159" t="s">
        <v>293</v>
      </c>
      <c r="N394" s="159">
        <v>726</v>
      </c>
      <c r="O394" s="185">
        <f t="shared" si="27"/>
        <v>19890.872496</v>
      </c>
      <c r="P394" s="215">
        <f t="shared" si="25"/>
        <v>6549.6253105386531</v>
      </c>
      <c r="Q394" s="215" cm="1">
        <f t="array" ref="Q394">IF(P394="-",0,P394/(1+'General inputs'!$H$32)^IFERROR(INDEX('MP Calculations'!$C$40:$C$130,MATCH(F394,'MP Calculations'!$D$40:$D$130,0),0),-1))</f>
        <v>11651.035383111417</v>
      </c>
      <c r="R394" s="207">
        <f t="shared" si="26"/>
        <v>2009</v>
      </c>
      <c r="S394" s="215">
        <f>IF(P394="-",0,P394/(1+'General inputs'!$H$32)^(R394-2023))</f>
        <v>11651.035383111417</v>
      </c>
    </row>
    <row r="395" spans="3:19">
      <c r="C395" s="159"/>
      <c r="D395" s="165" t="s">
        <v>284</v>
      </c>
      <c r="E395" s="161">
        <v>39980</v>
      </c>
      <c r="F395" s="172" t="str">
        <f t="shared" si="24"/>
        <v>2008-09</v>
      </c>
      <c r="G395" s="68"/>
      <c r="H395" s="167" t="s">
        <v>280</v>
      </c>
      <c r="I395" s="173">
        <v>21853.086195380012</v>
      </c>
      <c r="J395" s="168">
        <f>IFERROR(MIN('MP Calculations'!$E$30/I395,1),"-")</f>
        <v>0.32927792945511891</v>
      </c>
      <c r="K395" s="12"/>
      <c r="L395" s="159">
        <v>78.109280999999996</v>
      </c>
      <c r="M395" s="159" t="s">
        <v>293</v>
      </c>
      <c r="N395" s="159">
        <v>726</v>
      </c>
      <c r="O395" s="185">
        <f t="shared" si="27"/>
        <v>56707.338005999998</v>
      </c>
      <c r="P395" s="215">
        <f t="shared" si="25"/>
        <v>18672.474843527252</v>
      </c>
      <c r="Q395" s="215" cm="1">
        <f t="array" ref="Q395">IF(P395="-",0,P395/(1+'General inputs'!$H$32)^IFERROR(INDEX('MP Calculations'!$C$40:$C$130,MATCH(F395,'MP Calculations'!$D$40:$D$130,0),0),-1))</f>
        <v>33216.200130126505</v>
      </c>
      <c r="R395" s="207">
        <f t="shared" si="26"/>
        <v>2009</v>
      </c>
      <c r="S395" s="215">
        <f>IF(P395="-",0,P395/(1+'General inputs'!$H$32)^(R395-2023))</f>
        <v>33216.200130126505</v>
      </c>
    </row>
    <row r="396" spans="3:19">
      <c r="C396" s="159"/>
      <c r="D396" s="165" t="s">
        <v>284</v>
      </c>
      <c r="E396" s="161">
        <v>39980</v>
      </c>
      <c r="F396" s="172" t="str">
        <f t="shared" si="24"/>
        <v>2008-09</v>
      </c>
      <c r="G396" s="68"/>
      <c r="H396" s="167" t="s">
        <v>280</v>
      </c>
      <c r="I396" s="173">
        <v>21853.086195380012</v>
      </c>
      <c r="J396" s="168">
        <f>IFERROR(MIN('MP Calculations'!$E$30/I396,1),"-")</f>
        <v>0.32927792945511891</v>
      </c>
      <c r="K396" s="12"/>
      <c r="L396" s="159">
        <v>289.17287499999998</v>
      </c>
      <c r="M396" s="159" t="s">
        <v>293</v>
      </c>
      <c r="N396" s="159">
        <v>726</v>
      </c>
      <c r="O396" s="185">
        <f t="shared" si="27"/>
        <v>209939.50725</v>
      </c>
      <c r="P396" s="215">
        <f t="shared" si="25"/>
        <v>69128.446258107928</v>
      </c>
      <c r="Q396" s="215" cm="1">
        <f t="array" ref="Q396">IF(P396="-",0,P396/(1+'General inputs'!$H$32)^IFERROR(INDEX('MP Calculations'!$C$40:$C$130,MATCH(F396,'MP Calculations'!$D$40:$D$130,0),0),-1))</f>
        <v>122971.6106105759</v>
      </c>
      <c r="R396" s="207">
        <f t="shared" si="26"/>
        <v>2009</v>
      </c>
      <c r="S396" s="215">
        <f>IF(P396="-",0,P396/(1+'General inputs'!$H$32)^(R396-2023))</f>
        <v>122971.6106105759</v>
      </c>
    </row>
    <row r="397" spans="3:19">
      <c r="C397" s="159"/>
      <c r="D397" s="165" t="s">
        <v>284</v>
      </c>
      <c r="E397" s="161">
        <v>39980</v>
      </c>
      <c r="F397" s="172" t="str">
        <f t="shared" si="24"/>
        <v>2008-09</v>
      </c>
      <c r="G397" s="68"/>
      <c r="H397" s="167" t="s">
        <v>280</v>
      </c>
      <c r="I397" s="173">
        <v>21853.086195380012</v>
      </c>
      <c r="J397" s="168">
        <f>IFERROR(MIN('MP Calculations'!$E$30/I397,1),"-")</f>
        <v>0.32927792945511891</v>
      </c>
      <c r="K397" s="12"/>
      <c r="L397" s="159">
        <v>306.401231</v>
      </c>
      <c r="M397" s="159" t="s">
        <v>293</v>
      </c>
      <c r="N397" s="159">
        <v>726</v>
      </c>
      <c r="O397" s="185">
        <f t="shared" si="27"/>
        <v>222447.293706</v>
      </c>
      <c r="P397" s="215">
        <f t="shared" si="25"/>
        <v>73246.984284406382</v>
      </c>
      <c r="Q397" s="215" cm="1">
        <f t="array" ref="Q397">IF(P397="-",0,P397/(1+'General inputs'!$H$32)^IFERROR(INDEX('MP Calculations'!$C$40:$C$130,MATCH(F397,'MP Calculations'!$D$40:$D$130,0),0),-1))</f>
        <v>130298.01937381961</v>
      </c>
      <c r="R397" s="207">
        <f t="shared" si="26"/>
        <v>2009</v>
      </c>
      <c r="S397" s="215">
        <f>IF(P397="-",0,P397/(1+'General inputs'!$H$32)^(R397-2023))</f>
        <v>130298.01937381961</v>
      </c>
    </row>
    <row r="398" spans="3:19">
      <c r="C398" s="159"/>
      <c r="D398" s="165" t="s">
        <v>284</v>
      </c>
      <c r="E398" s="161">
        <v>39980</v>
      </c>
      <c r="F398" s="172" t="str">
        <f t="shared" si="24"/>
        <v>2008-09</v>
      </c>
      <c r="G398" s="68"/>
      <c r="H398" s="167" t="s">
        <v>280</v>
      </c>
      <c r="I398" s="173">
        <v>21853.086195380012</v>
      </c>
      <c r="J398" s="168">
        <f>IFERROR(MIN('MP Calculations'!$E$30/I398,1),"-")</f>
        <v>0.32927792945511891</v>
      </c>
      <c r="K398" s="12"/>
      <c r="L398" s="159">
        <v>396.649382</v>
      </c>
      <c r="M398" s="159" t="s">
        <v>293</v>
      </c>
      <c r="N398" s="159">
        <v>726</v>
      </c>
      <c r="O398" s="185">
        <f t="shared" si="27"/>
        <v>287967.45133200003</v>
      </c>
      <c r="P398" s="215">
        <f t="shared" si="25"/>
        <v>94821.326125068692</v>
      </c>
      <c r="Q398" s="215" cm="1">
        <f t="array" ref="Q398">IF(P398="-",0,P398/(1+'General inputs'!$H$32)^IFERROR(INDEX('MP Calculations'!$C$40:$C$130,MATCH(F398,'MP Calculations'!$D$40:$D$130,0),0),-1))</f>
        <v>168676.30946446682</v>
      </c>
      <c r="R398" s="207">
        <f t="shared" si="26"/>
        <v>2009</v>
      </c>
      <c r="S398" s="215">
        <f>IF(P398="-",0,P398/(1+'General inputs'!$H$32)^(R398-2023))</f>
        <v>168676.30946446682</v>
      </c>
    </row>
    <row r="399" spans="3:19">
      <c r="C399" s="159"/>
      <c r="D399" s="165" t="s">
        <v>289</v>
      </c>
      <c r="E399" s="161">
        <v>39980</v>
      </c>
      <c r="F399" s="172" t="str">
        <f t="shared" si="24"/>
        <v>2008-09</v>
      </c>
      <c r="G399" s="68"/>
      <c r="H399" s="167" t="s">
        <v>280</v>
      </c>
      <c r="I399" s="173">
        <v>21853.086195380012</v>
      </c>
      <c r="J399" s="168">
        <f>IFERROR(MIN('MP Calculations'!$E$30/I399,1),"-")</f>
        <v>0.32927792945511891</v>
      </c>
      <c r="K399" s="12"/>
      <c r="L399" s="159">
        <v>94.013998999999998</v>
      </c>
      <c r="M399" s="159" t="s">
        <v>293</v>
      </c>
      <c r="N399" s="159">
        <v>940</v>
      </c>
      <c r="O399" s="185">
        <f t="shared" si="27"/>
        <v>88373.159060000005</v>
      </c>
      <c r="P399" s="215">
        <f t="shared" si="25"/>
        <v>29099.330834684686</v>
      </c>
      <c r="Q399" s="215" cm="1">
        <f t="array" ref="Q399">IF(P399="-",0,P399/(1+'General inputs'!$H$32)^IFERROR(INDEX('MP Calculations'!$C$40:$C$130,MATCH(F399,'MP Calculations'!$D$40:$D$130,0),0),-1))</f>
        <v>51764.386068657921</v>
      </c>
      <c r="R399" s="207">
        <f t="shared" si="26"/>
        <v>2009</v>
      </c>
      <c r="S399" s="215">
        <f>IF(P399="-",0,P399/(1+'General inputs'!$H$32)^(R399-2023))</f>
        <v>51764.386068657921</v>
      </c>
    </row>
    <row r="400" spans="3:19">
      <c r="C400" s="159"/>
      <c r="D400" s="165" t="s">
        <v>284</v>
      </c>
      <c r="E400" s="161">
        <v>39980</v>
      </c>
      <c r="F400" s="172" t="str">
        <f t="shared" si="24"/>
        <v>2008-09</v>
      </c>
      <c r="G400" s="68"/>
      <c r="H400" s="167" t="s">
        <v>280</v>
      </c>
      <c r="I400" s="173">
        <v>21853.086195380012</v>
      </c>
      <c r="J400" s="168">
        <f>IFERROR(MIN('MP Calculations'!$E$30/I400,1),"-")</f>
        <v>0.32927792945511891</v>
      </c>
      <c r="K400" s="12"/>
      <c r="L400" s="159">
        <v>119.741195</v>
      </c>
      <c r="M400" s="159" t="s">
        <v>293</v>
      </c>
      <c r="N400" s="159">
        <v>726</v>
      </c>
      <c r="O400" s="185">
        <f t="shared" si="27"/>
        <v>86932.107570000007</v>
      </c>
      <c r="P400" s="215">
        <f t="shared" si="25"/>
        <v>28624.824383819272</v>
      </c>
      <c r="Q400" s="215" cm="1">
        <f t="array" ref="Q400">IF(P400="-",0,P400/(1+'General inputs'!$H$32)^IFERROR(INDEX('MP Calculations'!$C$40:$C$130,MATCH(F400,'MP Calculations'!$D$40:$D$130,0),0),-1))</f>
        <v>50920.293286792679</v>
      </c>
      <c r="R400" s="207">
        <f t="shared" si="26"/>
        <v>2009</v>
      </c>
      <c r="S400" s="215">
        <f>IF(P400="-",0,P400/(1+'General inputs'!$H$32)^(R400-2023))</f>
        <v>50920.293286792679</v>
      </c>
    </row>
    <row r="401" spans="3:19">
      <c r="C401" s="159"/>
      <c r="D401" s="165" t="s">
        <v>284</v>
      </c>
      <c r="E401" s="161">
        <v>39980</v>
      </c>
      <c r="F401" s="172" t="str">
        <f t="shared" si="24"/>
        <v>2008-09</v>
      </c>
      <c r="G401" s="68"/>
      <c r="H401" s="167" t="s">
        <v>280</v>
      </c>
      <c r="I401" s="173">
        <v>21853.086195380012</v>
      </c>
      <c r="J401" s="168">
        <f>IFERROR(MIN('MP Calculations'!$E$30/I401,1),"-")</f>
        <v>0.32927792945511891</v>
      </c>
      <c r="K401" s="12"/>
      <c r="L401" s="159">
        <v>201.80615700000001</v>
      </c>
      <c r="M401" s="159" t="s">
        <v>293</v>
      </c>
      <c r="N401" s="159">
        <v>726</v>
      </c>
      <c r="O401" s="185">
        <f t="shared" si="27"/>
        <v>146511.269982</v>
      </c>
      <c r="P401" s="215">
        <f t="shared" si="25"/>
        <v>48242.927621512878</v>
      </c>
      <c r="Q401" s="215" cm="1">
        <f t="array" ref="Q401">IF(P401="-",0,P401/(1+'General inputs'!$H$32)^IFERROR(INDEX('MP Calculations'!$C$40:$C$130,MATCH(F401,'MP Calculations'!$D$40:$D$130,0),0),-1))</f>
        <v>85818.65832824308</v>
      </c>
      <c r="R401" s="207">
        <f t="shared" si="26"/>
        <v>2009</v>
      </c>
      <c r="S401" s="215">
        <f>IF(P401="-",0,P401/(1+'General inputs'!$H$32)^(R401-2023))</f>
        <v>85818.65832824308</v>
      </c>
    </row>
    <row r="402" spans="3:19">
      <c r="C402" s="159"/>
      <c r="D402" s="165" t="s">
        <v>284</v>
      </c>
      <c r="E402" s="161">
        <v>39980</v>
      </c>
      <c r="F402" s="172" t="str">
        <f t="shared" si="24"/>
        <v>2008-09</v>
      </c>
      <c r="G402" s="68"/>
      <c r="H402" s="167" t="s">
        <v>280</v>
      </c>
      <c r="I402" s="173">
        <v>21853.086195380012</v>
      </c>
      <c r="J402" s="168">
        <f>IFERROR(MIN('MP Calculations'!$E$30/I402,1),"-")</f>
        <v>0.32927792945511891</v>
      </c>
      <c r="K402" s="12"/>
      <c r="L402" s="159">
        <v>0.47009000000000001</v>
      </c>
      <c r="M402" s="159" t="s">
        <v>293</v>
      </c>
      <c r="N402" s="159">
        <v>726</v>
      </c>
      <c r="O402" s="185">
        <f t="shared" si="27"/>
        <v>341.28534000000002</v>
      </c>
      <c r="P402" s="215">
        <f t="shared" si="25"/>
        <v>112.37773010858628</v>
      </c>
      <c r="Q402" s="215" cm="1">
        <f t="array" ref="Q402">IF(P402="-",0,P402/(1+'General inputs'!$H$32)^IFERROR(INDEX('MP Calculations'!$C$40:$C$130,MATCH(F402,'MP Calculations'!$D$40:$D$130,0),0),-1))</f>
        <v>199.90714700307083</v>
      </c>
      <c r="R402" s="207">
        <f t="shared" si="26"/>
        <v>2009</v>
      </c>
      <c r="S402" s="215">
        <f>IF(P402="-",0,P402/(1+'General inputs'!$H$32)^(R402-2023))</f>
        <v>199.90714700307083</v>
      </c>
    </row>
    <row r="403" spans="3:19">
      <c r="C403" s="159"/>
      <c r="D403" s="165" t="s">
        <v>284</v>
      </c>
      <c r="E403" s="161">
        <v>39980</v>
      </c>
      <c r="F403" s="172" t="str">
        <f t="shared" si="24"/>
        <v>2008-09</v>
      </c>
      <c r="G403" s="68"/>
      <c r="H403" s="167" t="s">
        <v>280</v>
      </c>
      <c r="I403" s="173">
        <v>21853.086195380012</v>
      </c>
      <c r="J403" s="168">
        <f>IFERROR(MIN('MP Calculations'!$E$30/I403,1),"-")</f>
        <v>0.32927792945511891</v>
      </c>
      <c r="K403" s="12"/>
      <c r="L403" s="159">
        <v>1.6712419999999999</v>
      </c>
      <c r="M403" s="159" t="s">
        <v>293</v>
      </c>
      <c r="N403" s="159">
        <v>726</v>
      </c>
      <c r="O403" s="185">
        <f t="shared" si="27"/>
        <v>1213.321692</v>
      </c>
      <c r="P403" s="215">
        <f t="shared" si="25"/>
        <v>399.52005450474149</v>
      </c>
      <c r="Q403" s="215" cm="1">
        <f t="array" ref="Q403">IF(P403="-",0,P403/(1+'General inputs'!$H$32)^IFERROR(INDEX('MP Calculations'!$C$40:$C$130,MATCH(F403,'MP Calculations'!$D$40:$D$130,0),0),-1))</f>
        <v>710.70054706908479</v>
      </c>
      <c r="R403" s="207">
        <f t="shared" si="26"/>
        <v>2009</v>
      </c>
      <c r="S403" s="215">
        <f>IF(P403="-",0,P403/(1+'General inputs'!$H$32)^(R403-2023))</f>
        <v>710.70054706908479</v>
      </c>
    </row>
    <row r="404" spans="3:19">
      <c r="C404" s="159"/>
      <c r="D404" s="165" t="s">
        <v>284</v>
      </c>
      <c r="E404" s="161">
        <v>39980</v>
      </c>
      <c r="F404" s="172" t="str">
        <f t="shared" si="24"/>
        <v>2008-09</v>
      </c>
      <c r="G404" s="68"/>
      <c r="H404" s="167" t="s">
        <v>280</v>
      </c>
      <c r="I404" s="173">
        <v>21853.086195380012</v>
      </c>
      <c r="J404" s="168">
        <f>IFERROR(MIN('MP Calculations'!$E$30/I404,1),"-")</f>
        <v>0.32927792945511891</v>
      </c>
      <c r="K404" s="12"/>
      <c r="L404" s="159">
        <v>1.122403</v>
      </c>
      <c r="M404" s="159" t="s">
        <v>293</v>
      </c>
      <c r="N404" s="159">
        <v>726</v>
      </c>
      <c r="O404" s="185">
        <f t="shared" si="27"/>
        <v>814.86457800000005</v>
      </c>
      <c r="P404" s="215">
        <f t="shared" si="25"/>
        <v>268.31692103015928</v>
      </c>
      <c r="Q404" s="215" cm="1">
        <f t="array" ref="Q404">IF(P404="-",0,P404/(1+'General inputs'!$H$32)^IFERROR(INDEX('MP Calculations'!$C$40:$C$130,MATCH(F404,'MP Calculations'!$D$40:$D$130,0),0),-1))</f>
        <v>477.30515756065375</v>
      </c>
      <c r="R404" s="207">
        <f t="shared" si="26"/>
        <v>2009</v>
      </c>
      <c r="S404" s="215">
        <f>IF(P404="-",0,P404/(1+'General inputs'!$H$32)^(R404-2023))</f>
        <v>477.30515756065375</v>
      </c>
    </row>
    <row r="405" spans="3:19">
      <c r="C405" s="159"/>
      <c r="D405" s="165" t="s">
        <v>282</v>
      </c>
      <c r="E405" s="161">
        <v>39980</v>
      </c>
      <c r="F405" s="172" t="str">
        <f t="shared" si="24"/>
        <v>2008-09</v>
      </c>
      <c r="G405" s="68"/>
      <c r="H405" s="167" t="s">
        <v>280</v>
      </c>
      <c r="I405" s="173">
        <v>21853.086195380012</v>
      </c>
      <c r="J405" s="168">
        <f>IFERROR(MIN('MP Calculations'!$E$30/I405,1),"-")</f>
        <v>0.32927792945511891</v>
      </c>
      <c r="K405" s="12"/>
      <c r="L405" s="159">
        <v>0.450156</v>
      </c>
      <c r="M405" s="159" t="s">
        <v>293</v>
      </c>
      <c r="N405" s="159">
        <v>511</v>
      </c>
      <c r="O405" s="185">
        <f t="shared" si="27"/>
        <v>230.02971600000001</v>
      </c>
      <c r="P405" s="215">
        <f t="shared" si="25"/>
        <v>75.743708597629038</v>
      </c>
      <c r="Q405" s="215" cm="1">
        <f t="array" ref="Q405">IF(P405="-",0,P405/(1+'General inputs'!$H$32)^IFERROR(INDEX('MP Calculations'!$C$40:$C$130,MATCH(F405,'MP Calculations'!$D$40:$D$130,0),0),-1))</f>
        <v>134.73940677172547</v>
      </c>
      <c r="R405" s="207">
        <f t="shared" si="26"/>
        <v>2009</v>
      </c>
      <c r="S405" s="215">
        <f>IF(P405="-",0,P405/(1+'General inputs'!$H$32)^(R405-2023))</f>
        <v>134.73940677172547</v>
      </c>
    </row>
    <row r="406" spans="3:19">
      <c r="C406" s="159"/>
      <c r="D406" s="165" t="s">
        <v>284</v>
      </c>
      <c r="E406" s="161">
        <v>39980</v>
      </c>
      <c r="F406" s="172" t="str">
        <f t="shared" ref="F406:F469" si="28">IF(E406="","-",IF(OR(E406&lt;$E$15,E406&gt;$E$16),"ERROR - date outside of range",IF(MONTH(E406)&gt;=7,YEAR(E406)&amp;"-"&amp;IF(YEAR(E406)=1999,"00",IF(AND(YEAR(E406)&gt;=2000,YEAR(E406)&lt;2009),"0","")&amp;RIGHT(YEAR(E406),2)+1),RIGHT(YEAR(E406),4)-1&amp;"-"&amp;RIGHT(YEAR(E406),2))))</f>
        <v>2008-09</v>
      </c>
      <c r="G406" s="68"/>
      <c r="H406" s="167" t="s">
        <v>280</v>
      </c>
      <c r="I406" s="173">
        <v>21853.086195380012</v>
      </c>
      <c r="J406" s="168">
        <f>IFERROR(MIN('MP Calculations'!$E$30/I406,1),"-")</f>
        <v>0.32927792945511891</v>
      </c>
      <c r="K406" s="12"/>
      <c r="L406" s="159">
        <v>0.22464400000000001</v>
      </c>
      <c r="M406" s="159" t="s">
        <v>293</v>
      </c>
      <c r="N406" s="159">
        <v>726</v>
      </c>
      <c r="O406" s="185">
        <f t="shared" si="27"/>
        <v>163.091544</v>
      </c>
      <c r="P406" s="215">
        <f t="shared" si="25"/>
        <v>53.702445919958421</v>
      </c>
      <c r="Q406" s="215" cm="1">
        <f t="array" ref="Q406">IF(P406="-",0,P406/(1+'General inputs'!$H$32)^IFERROR(INDEX('MP Calculations'!$C$40:$C$130,MATCH(F406,'MP Calculations'!$D$40:$D$130,0),0),-1))</f>
        <v>95.530517839898408</v>
      </c>
      <c r="R406" s="207">
        <f t="shared" si="26"/>
        <v>2009</v>
      </c>
      <c r="S406" s="215">
        <f>IF(P406="-",0,P406/(1+'General inputs'!$H$32)^(R406-2023))</f>
        <v>95.530517839898408</v>
      </c>
    </row>
    <row r="407" spans="3:19">
      <c r="C407" s="159"/>
      <c r="D407" s="165" t="s">
        <v>284</v>
      </c>
      <c r="E407" s="161">
        <v>39980</v>
      </c>
      <c r="F407" s="172" t="str">
        <f t="shared" si="28"/>
        <v>2008-09</v>
      </c>
      <c r="G407" s="68"/>
      <c r="H407" s="167" t="s">
        <v>280</v>
      </c>
      <c r="I407" s="173">
        <v>21853.086195380012</v>
      </c>
      <c r="J407" s="168">
        <f>IFERROR(MIN('MP Calculations'!$E$30/I407,1),"-")</f>
        <v>0.32927792945511891</v>
      </c>
      <c r="K407" s="12"/>
      <c r="L407" s="159">
        <v>1.111551</v>
      </c>
      <c r="M407" s="159" t="s">
        <v>293</v>
      </c>
      <c r="N407" s="159">
        <v>726</v>
      </c>
      <c r="O407" s="185">
        <f t="shared" si="27"/>
        <v>806.98602599999992</v>
      </c>
      <c r="P407" s="215">
        <f t="shared" ref="P407:P470" si="29">IF(O407="-","-",IF(OR(E407&lt;$E$15,E407&gt;$E$16),0,O407*J407))</f>
        <v>265.72268774049473</v>
      </c>
      <c r="Q407" s="215" cm="1">
        <f t="array" ref="Q407">IF(P407="-",0,P407/(1+'General inputs'!$H$32)^IFERROR(INDEX('MP Calculations'!$C$40:$C$130,MATCH(F407,'MP Calculations'!$D$40:$D$130,0),0),-1))</f>
        <v>472.6903128303311</v>
      </c>
      <c r="R407" s="207">
        <f t="shared" si="26"/>
        <v>2009</v>
      </c>
      <c r="S407" s="215">
        <f>IF(P407="-",0,P407/(1+'General inputs'!$H$32)^(R407-2023))</f>
        <v>472.6903128303311</v>
      </c>
    </row>
    <row r="408" spans="3:19">
      <c r="C408" s="159"/>
      <c r="D408" s="165" t="s">
        <v>282</v>
      </c>
      <c r="E408" s="161">
        <v>39980</v>
      </c>
      <c r="F408" s="172" t="str">
        <f t="shared" si="28"/>
        <v>2008-09</v>
      </c>
      <c r="G408" s="68"/>
      <c r="H408" s="167" t="s">
        <v>280</v>
      </c>
      <c r="I408" s="173">
        <v>21853.086195380012</v>
      </c>
      <c r="J408" s="168">
        <f>IFERROR(MIN('MP Calculations'!$E$30/I408,1),"-")</f>
        <v>0.32927792945511891</v>
      </c>
      <c r="K408" s="12"/>
      <c r="L408" s="159">
        <v>5.0804390000000001</v>
      </c>
      <c r="M408" s="159" t="s">
        <v>293</v>
      </c>
      <c r="N408" s="159">
        <v>511</v>
      </c>
      <c r="O408" s="185">
        <f t="shared" ref="O408:O409" si="30">IF(N408="","-",L408*N408)</f>
        <v>2596.1043290000002</v>
      </c>
      <c r="P408" s="215">
        <f t="shared" si="29"/>
        <v>854.83985810259094</v>
      </c>
      <c r="Q408" s="215" cm="1">
        <f t="array" ref="Q408">IF(P408="-",0,P408/(1+'General inputs'!$H$32)^IFERROR(INDEX('MP Calculations'!$C$40:$C$130,MATCH(F408,'MP Calculations'!$D$40:$D$130,0),0),-1))</f>
        <v>1520.6624747863814</v>
      </c>
      <c r="R408" s="207">
        <f t="shared" ref="R408:R409" si="31">YEAR(E408)</f>
        <v>2009</v>
      </c>
      <c r="S408" s="215">
        <f>IF(P408="-",0,P408/(1+'General inputs'!$H$32)^(R408-2023))</f>
        <v>1520.6624747863814</v>
      </c>
    </row>
    <row r="409" spans="3:19">
      <c r="C409" s="159"/>
      <c r="D409" s="165" t="s">
        <v>289</v>
      </c>
      <c r="E409" s="161">
        <v>39980</v>
      </c>
      <c r="F409" s="172" t="str">
        <f t="shared" si="28"/>
        <v>2008-09</v>
      </c>
      <c r="G409" s="68"/>
      <c r="H409" s="167" t="s">
        <v>280</v>
      </c>
      <c r="I409" s="173">
        <v>21853.086195380012</v>
      </c>
      <c r="J409" s="168">
        <f>IFERROR(MIN('MP Calculations'!$E$30/I409,1),"-")</f>
        <v>0.32927792945511891</v>
      </c>
      <c r="K409" s="12"/>
      <c r="L409" s="159">
        <v>51.412657000000003</v>
      </c>
      <c r="M409" s="159" t="s">
        <v>293</v>
      </c>
      <c r="N409" s="159">
        <v>940</v>
      </c>
      <c r="O409" s="185">
        <f t="shared" si="30"/>
        <v>48327.897580000004</v>
      </c>
      <c r="P409" s="215">
        <f t="shared" si="29"/>
        <v>15913.310050061453</v>
      </c>
      <c r="Q409" s="215" cm="1">
        <f t="array" ref="Q409">IF(P409="-",0,P409/(1+'General inputs'!$H$32)^IFERROR(INDEX('MP Calculations'!$C$40:$C$130,MATCH(F409,'MP Calculations'!$D$40:$D$130,0),0),-1))</f>
        <v>28307.961091661338</v>
      </c>
      <c r="R409" s="207">
        <f t="shared" si="31"/>
        <v>2009</v>
      </c>
      <c r="S409" s="215">
        <f>IF(P409="-",0,P409/(1+'General inputs'!$H$32)^(R409-2023))</f>
        <v>28307.961091661338</v>
      </c>
    </row>
    <row r="410" spans="3:19">
      <c r="C410" s="159"/>
      <c r="D410" s="165" t="s">
        <v>284</v>
      </c>
      <c r="E410" s="161">
        <v>39980</v>
      </c>
      <c r="F410" s="172" t="str">
        <f t="shared" si="28"/>
        <v>2008-09</v>
      </c>
      <c r="G410" s="68"/>
      <c r="H410" s="167" t="s">
        <v>280</v>
      </c>
      <c r="I410" s="173">
        <v>21853.086195380012</v>
      </c>
      <c r="J410" s="168">
        <f>IFERROR(MIN('MP Calculations'!$E$30/I410,1),"-")</f>
        <v>0.32927792945511891</v>
      </c>
      <c r="K410" s="12"/>
      <c r="L410" s="159">
        <v>137.24530899999999</v>
      </c>
      <c r="M410" s="159" t="s">
        <v>293</v>
      </c>
      <c r="N410" s="159">
        <v>726</v>
      </c>
      <c r="O410" s="185">
        <f t="shared" ref="O410:O472" si="32">IF(N410="","-",L410*N410)</f>
        <v>99640.094333999994</v>
      </c>
      <c r="P410" s="215">
        <f t="shared" si="29"/>
        <v>32809.283953012244</v>
      </c>
      <c r="Q410" s="215" cm="1">
        <f t="array" ref="Q410">IF(P410="-",0,P410/(1+'General inputs'!$H$32)^IFERROR(INDEX('MP Calculations'!$C$40:$C$130,MATCH(F410,'MP Calculations'!$D$40:$D$130,0),0),-1))</f>
        <v>58363.968945829263</v>
      </c>
      <c r="R410" s="207">
        <f t="shared" ref="R410:R472" si="33">YEAR(E410)</f>
        <v>2009</v>
      </c>
      <c r="S410" s="215">
        <f>IF(P410="-",0,P410/(1+'General inputs'!$H$32)^(R410-2023))</f>
        <v>58363.968945829263</v>
      </c>
    </row>
    <row r="411" spans="3:19">
      <c r="C411" s="159"/>
      <c r="D411" s="165" t="s">
        <v>289</v>
      </c>
      <c r="E411" s="161">
        <v>39980</v>
      </c>
      <c r="F411" s="172" t="str">
        <f t="shared" si="28"/>
        <v>2008-09</v>
      </c>
      <c r="G411" s="68"/>
      <c r="H411" s="167" t="s">
        <v>280</v>
      </c>
      <c r="I411" s="173">
        <v>21853.086195380012</v>
      </c>
      <c r="J411" s="168">
        <f>IFERROR(MIN('MP Calculations'!$E$30/I411,1),"-")</f>
        <v>0.32927792945511891</v>
      </c>
      <c r="K411" s="12"/>
      <c r="L411" s="159">
        <v>259.95768600000002</v>
      </c>
      <c r="M411" s="159" t="s">
        <v>293</v>
      </c>
      <c r="N411" s="159">
        <v>940</v>
      </c>
      <c r="O411" s="185">
        <f t="shared" si="32"/>
        <v>244360.22484000001</v>
      </c>
      <c r="P411" s="215">
        <f t="shared" si="29"/>
        <v>80462.428876502512</v>
      </c>
      <c r="Q411" s="215" cm="1">
        <f t="array" ref="Q411">IF(P411="-",0,P411/(1+'General inputs'!$H$32)^IFERROR(INDEX('MP Calculations'!$C$40:$C$130,MATCH(F411,'MP Calculations'!$D$40:$D$130,0),0),-1))</f>
        <v>143133.47121441935</v>
      </c>
      <c r="R411" s="207">
        <f t="shared" si="33"/>
        <v>2009</v>
      </c>
      <c r="S411" s="215">
        <f>IF(P411="-",0,P411/(1+'General inputs'!$H$32)^(R411-2023))</f>
        <v>143133.47121441935</v>
      </c>
    </row>
    <row r="412" spans="3:19">
      <c r="C412" s="159"/>
      <c r="D412" s="165" t="s">
        <v>289</v>
      </c>
      <c r="E412" s="161">
        <v>39980</v>
      </c>
      <c r="F412" s="172" t="str">
        <f t="shared" si="28"/>
        <v>2008-09</v>
      </c>
      <c r="G412" s="68"/>
      <c r="H412" s="167" t="s">
        <v>280</v>
      </c>
      <c r="I412" s="173">
        <v>21853.086195380012</v>
      </c>
      <c r="J412" s="168">
        <f>IFERROR(MIN('MP Calculations'!$E$30/I412,1),"-")</f>
        <v>0.32927792945511891</v>
      </c>
      <c r="K412" s="12"/>
      <c r="L412" s="159">
        <v>17.771716000000001</v>
      </c>
      <c r="M412" s="159" t="s">
        <v>293</v>
      </c>
      <c r="N412" s="159">
        <v>940</v>
      </c>
      <c r="O412" s="185">
        <f t="shared" si="32"/>
        <v>16705.413040000003</v>
      </c>
      <c r="P412" s="215">
        <f t="shared" si="29"/>
        <v>5500.7238165037443</v>
      </c>
      <c r="Q412" s="215" cm="1">
        <f t="array" ref="Q412">IF(P412="-",0,P412/(1+'General inputs'!$H$32)^IFERROR(INDEX('MP Calculations'!$C$40:$C$130,MATCH(F412,'MP Calculations'!$D$40:$D$130,0),0),-1))</f>
        <v>9785.1594221254763</v>
      </c>
      <c r="R412" s="207">
        <f t="shared" si="33"/>
        <v>2009</v>
      </c>
      <c r="S412" s="215">
        <f>IF(P412="-",0,P412/(1+'General inputs'!$H$32)^(R412-2023))</f>
        <v>9785.1594221254763</v>
      </c>
    </row>
    <row r="413" spans="3:19">
      <c r="C413" s="159"/>
      <c r="D413" s="165" t="s">
        <v>289</v>
      </c>
      <c r="E413" s="161">
        <v>39980</v>
      </c>
      <c r="F413" s="172" t="str">
        <f t="shared" si="28"/>
        <v>2008-09</v>
      </c>
      <c r="G413" s="68"/>
      <c r="H413" s="167" t="s">
        <v>280</v>
      </c>
      <c r="I413" s="173">
        <v>21853.086195380012</v>
      </c>
      <c r="J413" s="168">
        <f>IFERROR(MIN('MP Calculations'!$E$30/I413,1),"-")</f>
        <v>0.32927792945511891</v>
      </c>
      <c r="K413" s="12"/>
      <c r="L413" s="159">
        <v>8.5261849999999999</v>
      </c>
      <c r="M413" s="159" t="s">
        <v>293</v>
      </c>
      <c r="N413" s="159">
        <v>940</v>
      </c>
      <c r="O413" s="185">
        <f t="shared" si="32"/>
        <v>8014.6139000000003</v>
      </c>
      <c r="P413" s="215">
        <f t="shared" si="29"/>
        <v>2639.0354703742155</v>
      </c>
      <c r="Q413" s="215" cm="1">
        <f t="array" ref="Q413">IF(P413="-",0,P413/(1+'General inputs'!$H$32)^IFERROR(INDEX('MP Calculations'!$C$40:$C$130,MATCH(F413,'MP Calculations'!$D$40:$D$130,0),0),-1))</f>
        <v>4694.5426928685383</v>
      </c>
      <c r="R413" s="207">
        <f t="shared" si="33"/>
        <v>2009</v>
      </c>
      <c r="S413" s="215">
        <f>IF(P413="-",0,P413/(1+'General inputs'!$H$32)^(R413-2023))</f>
        <v>4694.5426928685383</v>
      </c>
    </row>
    <row r="414" spans="3:19">
      <c r="C414" s="159"/>
      <c r="D414" s="165" t="s">
        <v>289</v>
      </c>
      <c r="E414" s="161">
        <v>39980</v>
      </c>
      <c r="F414" s="172" t="str">
        <f t="shared" si="28"/>
        <v>2008-09</v>
      </c>
      <c r="G414" s="68"/>
      <c r="H414" s="167" t="s">
        <v>280</v>
      </c>
      <c r="I414" s="173">
        <v>21853.086195380012</v>
      </c>
      <c r="J414" s="168">
        <f>IFERROR(MIN('MP Calculations'!$E$30/I414,1),"-")</f>
        <v>0.32927792945511891</v>
      </c>
      <c r="K414" s="12"/>
      <c r="L414" s="159">
        <v>230.352149</v>
      </c>
      <c r="M414" s="159" t="s">
        <v>293</v>
      </c>
      <c r="N414" s="159">
        <v>940</v>
      </c>
      <c r="O414" s="185">
        <f t="shared" si="32"/>
        <v>216531.02006000001</v>
      </c>
      <c r="P414" s="215">
        <f t="shared" si="29"/>
        <v>71298.885948161624</v>
      </c>
      <c r="Q414" s="215" cm="1">
        <f t="array" ref="Q414">IF(P414="-",0,P414/(1+'General inputs'!$H$32)^IFERROR(INDEX('MP Calculations'!$C$40:$C$130,MATCH(F414,'MP Calculations'!$D$40:$D$130,0),0),-1))</f>
        <v>126832.57492941039</v>
      </c>
      <c r="R414" s="207">
        <f t="shared" si="33"/>
        <v>2009</v>
      </c>
      <c r="S414" s="215">
        <f>IF(P414="-",0,P414/(1+'General inputs'!$H$32)^(R414-2023))</f>
        <v>126832.57492941039</v>
      </c>
    </row>
    <row r="415" spans="3:19">
      <c r="C415" s="159"/>
      <c r="D415" s="165" t="s">
        <v>319</v>
      </c>
      <c r="E415" s="161">
        <v>39980</v>
      </c>
      <c r="F415" s="172" t="str">
        <f t="shared" si="28"/>
        <v>2008-09</v>
      </c>
      <c r="G415" s="68"/>
      <c r="H415" s="167" t="s">
        <v>280</v>
      </c>
      <c r="I415" s="173">
        <v>21853.086195380012</v>
      </c>
      <c r="J415" s="168">
        <f>IFERROR(MIN('MP Calculations'!$E$30/I415,1),"-")</f>
        <v>0.32927792945511891</v>
      </c>
      <c r="K415" s="12"/>
      <c r="L415" s="159">
        <v>14.311052</v>
      </c>
      <c r="M415" s="159" t="s">
        <v>293</v>
      </c>
      <c r="N415" s="159">
        <v>1630</v>
      </c>
      <c r="O415" s="185">
        <f t="shared" si="32"/>
        <v>23327.014760000002</v>
      </c>
      <c r="P415" s="215">
        <f t="shared" si="29"/>
        <v>7681.0711205417983</v>
      </c>
      <c r="Q415" s="215" cm="1">
        <f t="array" ref="Q415">IF(P415="-",0,P415/(1+'General inputs'!$H$32)^IFERROR(INDEX('MP Calculations'!$C$40:$C$130,MATCH(F415,'MP Calculations'!$D$40:$D$130,0),0),-1))</f>
        <v>13663.748254671951</v>
      </c>
      <c r="R415" s="207">
        <f t="shared" si="33"/>
        <v>2009</v>
      </c>
      <c r="S415" s="215">
        <f>IF(P415="-",0,P415/(1+'General inputs'!$H$32)^(R415-2023))</f>
        <v>13663.748254671951</v>
      </c>
    </row>
    <row r="416" spans="3:19">
      <c r="C416" s="159"/>
      <c r="D416" s="165" t="s">
        <v>289</v>
      </c>
      <c r="E416" s="161">
        <v>39980</v>
      </c>
      <c r="F416" s="172" t="str">
        <f t="shared" si="28"/>
        <v>2008-09</v>
      </c>
      <c r="G416" s="68"/>
      <c r="H416" s="167" t="s">
        <v>280</v>
      </c>
      <c r="I416" s="173">
        <v>21853.086195380012</v>
      </c>
      <c r="J416" s="168">
        <f>IFERROR(MIN('MP Calculations'!$E$30/I416,1),"-")</f>
        <v>0.32927792945511891</v>
      </c>
      <c r="K416" s="12"/>
      <c r="L416" s="159">
        <v>9.6691490000000009</v>
      </c>
      <c r="M416" s="159" t="s">
        <v>293</v>
      </c>
      <c r="N416" s="159">
        <v>940</v>
      </c>
      <c r="O416" s="185">
        <f t="shared" si="32"/>
        <v>9089.0000600000003</v>
      </c>
      <c r="P416" s="215">
        <f t="shared" si="29"/>
        <v>2992.8071205742517</v>
      </c>
      <c r="Q416" s="215" cm="1">
        <f t="array" ref="Q416">IF(P416="-",0,P416/(1+'General inputs'!$H$32)^IFERROR(INDEX('MP Calculations'!$C$40:$C$130,MATCH(F416,'MP Calculations'!$D$40:$D$130,0),0),-1))</f>
        <v>5323.8620536860435</v>
      </c>
      <c r="R416" s="207">
        <f t="shared" si="33"/>
        <v>2009</v>
      </c>
      <c r="S416" s="215">
        <f>IF(P416="-",0,P416/(1+'General inputs'!$H$32)^(R416-2023))</f>
        <v>5323.8620536860435</v>
      </c>
    </row>
    <row r="417" spans="3:19">
      <c r="C417" s="159"/>
      <c r="D417" s="165" t="s">
        <v>289</v>
      </c>
      <c r="E417" s="161">
        <v>39980</v>
      </c>
      <c r="F417" s="172" t="str">
        <f t="shared" si="28"/>
        <v>2008-09</v>
      </c>
      <c r="G417" s="68"/>
      <c r="H417" s="167" t="s">
        <v>280</v>
      </c>
      <c r="I417" s="173">
        <v>21853.086195380012</v>
      </c>
      <c r="J417" s="168">
        <f>IFERROR(MIN('MP Calculations'!$E$30/I417,1),"-")</f>
        <v>0.32927792945511891</v>
      </c>
      <c r="K417" s="12"/>
      <c r="L417" s="159">
        <v>189.66068100000001</v>
      </c>
      <c r="M417" s="159" t="s">
        <v>293</v>
      </c>
      <c r="N417" s="159">
        <v>940</v>
      </c>
      <c r="O417" s="185">
        <f t="shared" si="32"/>
        <v>178281.04014</v>
      </c>
      <c r="P417" s="215">
        <f t="shared" si="29"/>
        <v>58704.011758404144</v>
      </c>
      <c r="Q417" s="215" cm="1">
        <f t="array" ref="Q417">IF(P417="-",0,P417/(1+'General inputs'!$H$32)^IFERROR(INDEX('MP Calculations'!$C$40:$C$130,MATCH(F417,'MP Calculations'!$D$40:$D$130,0),0),-1))</f>
        <v>104427.73222877769</v>
      </c>
      <c r="R417" s="207">
        <f t="shared" si="33"/>
        <v>2009</v>
      </c>
      <c r="S417" s="215">
        <f>IF(P417="-",0,P417/(1+'General inputs'!$H$32)^(R417-2023))</f>
        <v>104427.73222877769</v>
      </c>
    </row>
    <row r="418" spans="3:19">
      <c r="C418" s="159"/>
      <c r="D418" s="165" t="s">
        <v>289</v>
      </c>
      <c r="E418" s="161">
        <v>39980</v>
      </c>
      <c r="F418" s="172" t="str">
        <f t="shared" si="28"/>
        <v>2008-09</v>
      </c>
      <c r="G418" s="68"/>
      <c r="H418" s="167" t="s">
        <v>280</v>
      </c>
      <c r="I418" s="173">
        <v>21853.086195380012</v>
      </c>
      <c r="J418" s="168">
        <f>IFERROR(MIN('MP Calculations'!$E$30/I418,1),"-")</f>
        <v>0.32927792945511891</v>
      </c>
      <c r="K418" s="12"/>
      <c r="L418" s="159">
        <v>6.4713830000000003</v>
      </c>
      <c r="M418" s="159" t="s">
        <v>293</v>
      </c>
      <c r="N418" s="159">
        <v>940</v>
      </c>
      <c r="O418" s="185">
        <f t="shared" si="32"/>
        <v>6083.1000199999999</v>
      </c>
      <c r="P418" s="215">
        <f t="shared" si="29"/>
        <v>2003.0305792539923</v>
      </c>
      <c r="Q418" s="215" cm="1">
        <f t="array" ref="Q418">IF(P418="-",0,P418/(1+'General inputs'!$H$32)^IFERROR(INDEX('MP Calculations'!$C$40:$C$130,MATCH(F418,'MP Calculations'!$D$40:$D$130,0),0),-1))</f>
        <v>3563.1626308136265</v>
      </c>
      <c r="R418" s="207">
        <f t="shared" si="33"/>
        <v>2009</v>
      </c>
      <c r="S418" s="215">
        <f>IF(P418="-",0,P418/(1+'General inputs'!$H$32)^(R418-2023))</f>
        <v>3563.1626308136265</v>
      </c>
    </row>
    <row r="419" spans="3:19">
      <c r="C419" s="159"/>
      <c r="D419" s="165" t="s">
        <v>319</v>
      </c>
      <c r="E419" s="161">
        <v>39980</v>
      </c>
      <c r="F419" s="172" t="str">
        <f t="shared" si="28"/>
        <v>2008-09</v>
      </c>
      <c r="G419" s="68"/>
      <c r="H419" s="167" t="s">
        <v>280</v>
      </c>
      <c r="I419" s="173">
        <v>21853.086195380012</v>
      </c>
      <c r="J419" s="168">
        <f>IFERROR(MIN('MP Calculations'!$E$30/I419,1),"-")</f>
        <v>0.32927792945511891</v>
      </c>
      <c r="K419" s="12"/>
      <c r="L419" s="159">
        <v>31.998839</v>
      </c>
      <c r="M419" s="159" t="s">
        <v>293</v>
      </c>
      <c r="N419" s="159">
        <v>1630</v>
      </c>
      <c r="O419" s="185">
        <f t="shared" si="32"/>
        <v>52158.10757</v>
      </c>
      <c r="P419" s="215">
        <f t="shared" si="29"/>
        <v>17174.513664946964</v>
      </c>
      <c r="Q419" s="215" cm="1">
        <f t="array" ref="Q419">IF(P419="-",0,P419/(1+'General inputs'!$H$32)^IFERROR(INDEX('MP Calculations'!$C$40:$C$130,MATCH(F419,'MP Calculations'!$D$40:$D$130,0),0),-1))</f>
        <v>30551.498278238294</v>
      </c>
      <c r="R419" s="207">
        <f t="shared" si="33"/>
        <v>2009</v>
      </c>
      <c r="S419" s="215">
        <f>IF(P419="-",0,P419/(1+'General inputs'!$H$32)^(R419-2023))</f>
        <v>30551.498278238294</v>
      </c>
    </row>
    <row r="420" spans="3:19">
      <c r="C420" s="159"/>
      <c r="D420" s="165" t="s">
        <v>319</v>
      </c>
      <c r="E420" s="161">
        <v>39980</v>
      </c>
      <c r="F420" s="172" t="str">
        <f t="shared" si="28"/>
        <v>2008-09</v>
      </c>
      <c r="G420" s="68"/>
      <c r="H420" s="167" t="s">
        <v>280</v>
      </c>
      <c r="I420" s="173">
        <v>21853.086195380012</v>
      </c>
      <c r="J420" s="168">
        <f>IFERROR(MIN('MP Calculations'!$E$30/I420,1),"-")</f>
        <v>0.32927792945511891</v>
      </c>
      <c r="K420" s="12"/>
      <c r="L420" s="159">
        <v>20.000221</v>
      </c>
      <c r="M420" s="159" t="s">
        <v>293</v>
      </c>
      <c r="N420" s="159">
        <v>1630</v>
      </c>
      <c r="O420" s="185">
        <f t="shared" si="32"/>
        <v>32600.360229999998</v>
      </c>
      <c r="P420" s="215">
        <f t="shared" si="29"/>
        <v>10734.579116025403</v>
      </c>
      <c r="Q420" s="215" cm="1">
        <f t="array" ref="Q420">IF(P420="-",0,P420/(1+'General inputs'!$H$32)^IFERROR(INDEX('MP Calculations'!$C$40:$C$130,MATCH(F420,'MP Calculations'!$D$40:$D$130,0),0),-1))</f>
        <v>19095.590232067025</v>
      </c>
      <c r="R420" s="207">
        <f t="shared" si="33"/>
        <v>2009</v>
      </c>
      <c r="S420" s="215">
        <f>IF(P420="-",0,P420/(1+'General inputs'!$H$32)^(R420-2023))</f>
        <v>19095.590232067025</v>
      </c>
    </row>
    <row r="421" spans="3:19">
      <c r="C421" s="159"/>
      <c r="D421" s="165" t="s">
        <v>289</v>
      </c>
      <c r="E421" s="161">
        <v>39980</v>
      </c>
      <c r="F421" s="172" t="str">
        <f t="shared" si="28"/>
        <v>2008-09</v>
      </c>
      <c r="G421" s="68"/>
      <c r="H421" s="167" t="s">
        <v>280</v>
      </c>
      <c r="I421" s="173">
        <v>21853.086195380012</v>
      </c>
      <c r="J421" s="168">
        <f>IFERROR(MIN('MP Calculations'!$E$30/I421,1),"-")</f>
        <v>0.32927792945511891</v>
      </c>
      <c r="K421" s="12"/>
      <c r="L421" s="159">
        <v>246.45417499999999</v>
      </c>
      <c r="M421" s="159" t="s">
        <v>293</v>
      </c>
      <c r="N421" s="159">
        <v>940</v>
      </c>
      <c r="O421" s="185">
        <f t="shared" si="32"/>
        <v>231666.92449999999</v>
      </c>
      <c r="P421" s="215">
        <f t="shared" si="29"/>
        <v>76282.805222595358</v>
      </c>
      <c r="Q421" s="215" cm="1">
        <f t="array" ref="Q421">IF(P421="-",0,P421/(1+'General inputs'!$H$32)^IFERROR(INDEX('MP Calculations'!$C$40:$C$130,MATCH(F421,'MP Calculations'!$D$40:$D$130,0),0),-1))</f>
        <v>135698.39809635776</v>
      </c>
      <c r="R421" s="207">
        <f t="shared" si="33"/>
        <v>2009</v>
      </c>
      <c r="S421" s="215">
        <f>IF(P421="-",0,P421/(1+'General inputs'!$H$32)^(R421-2023))</f>
        <v>135698.39809635776</v>
      </c>
    </row>
    <row r="422" spans="3:19">
      <c r="C422" s="159"/>
      <c r="D422" s="165" t="s">
        <v>289</v>
      </c>
      <c r="E422" s="161">
        <v>39980</v>
      </c>
      <c r="F422" s="172" t="str">
        <f t="shared" si="28"/>
        <v>2008-09</v>
      </c>
      <c r="G422" s="68"/>
      <c r="H422" s="167" t="s">
        <v>280</v>
      </c>
      <c r="I422" s="173">
        <v>21853.086195380012</v>
      </c>
      <c r="J422" s="168">
        <f>IFERROR(MIN('MP Calculations'!$E$30/I422,1),"-")</f>
        <v>0.32927792945511891</v>
      </c>
      <c r="K422" s="12"/>
      <c r="L422" s="159">
        <v>59.856324000000001</v>
      </c>
      <c r="M422" s="159" t="s">
        <v>293</v>
      </c>
      <c r="N422" s="159">
        <v>940</v>
      </c>
      <c r="O422" s="185">
        <f t="shared" si="32"/>
        <v>56264.944560000004</v>
      </c>
      <c r="P422" s="215">
        <f t="shared" si="29"/>
        <v>18526.804445623857</v>
      </c>
      <c r="Q422" s="215" cm="1">
        <f t="array" ref="Q422">IF(P422="-",0,P422/(1+'General inputs'!$H$32)^IFERROR(INDEX('MP Calculations'!$C$40:$C$130,MATCH(F422,'MP Calculations'!$D$40:$D$130,0),0),-1))</f>
        <v>32957.06912953117</v>
      </c>
      <c r="R422" s="207">
        <f t="shared" si="33"/>
        <v>2009</v>
      </c>
      <c r="S422" s="215">
        <f>IF(P422="-",0,P422/(1+'General inputs'!$H$32)^(R422-2023))</f>
        <v>32957.06912953117</v>
      </c>
    </row>
    <row r="423" spans="3:19">
      <c r="C423" s="159"/>
      <c r="D423" s="165" t="s">
        <v>289</v>
      </c>
      <c r="E423" s="161">
        <v>39980</v>
      </c>
      <c r="F423" s="172" t="str">
        <f t="shared" si="28"/>
        <v>2008-09</v>
      </c>
      <c r="G423" s="68"/>
      <c r="H423" s="167" t="s">
        <v>280</v>
      </c>
      <c r="I423" s="173">
        <v>21853.086195380012</v>
      </c>
      <c r="J423" s="168">
        <f>IFERROR(MIN('MP Calculations'!$E$30/I423,1),"-")</f>
        <v>0.32927792945511891</v>
      </c>
      <c r="K423" s="12"/>
      <c r="L423" s="159">
        <v>12.48996</v>
      </c>
      <c r="M423" s="159" t="s">
        <v>293</v>
      </c>
      <c r="N423" s="159">
        <v>940</v>
      </c>
      <c r="O423" s="185">
        <f t="shared" si="32"/>
        <v>11740.562400000001</v>
      </c>
      <c r="P423" s="215">
        <f t="shared" si="29"/>
        <v>3865.9080777106219</v>
      </c>
      <c r="Q423" s="215" cm="1">
        <f t="array" ref="Q423">IF(P423="-",0,P423/(1+'General inputs'!$H$32)^IFERROR(INDEX('MP Calculations'!$C$40:$C$130,MATCH(F423,'MP Calculations'!$D$40:$D$130,0),0),-1))</f>
        <v>6877.0089380209711</v>
      </c>
      <c r="R423" s="207">
        <f t="shared" si="33"/>
        <v>2009</v>
      </c>
      <c r="S423" s="215">
        <f>IF(P423="-",0,P423/(1+'General inputs'!$H$32)^(R423-2023))</f>
        <v>6877.0089380209711</v>
      </c>
    </row>
    <row r="424" spans="3:19">
      <c r="C424" s="159"/>
      <c r="D424" s="165" t="s">
        <v>289</v>
      </c>
      <c r="E424" s="161">
        <v>39980</v>
      </c>
      <c r="F424" s="172" t="str">
        <f t="shared" si="28"/>
        <v>2008-09</v>
      </c>
      <c r="G424" s="68"/>
      <c r="H424" s="167" t="s">
        <v>280</v>
      </c>
      <c r="I424" s="173">
        <v>21853.086195380012</v>
      </c>
      <c r="J424" s="168">
        <f>IFERROR(MIN('MP Calculations'!$E$30/I424,1),"-")</f>
        <v>0.32927792945511891</v>
      </c>
      <c r="K424" s="12"/>
      <c r="L424" s="159">
        <v>302.16406000000001</v>
      </c>
      <c r="M424" s="159" t="s">
        <v>293</v>
      </c>
      <c r="N424" s="159">
        <v>940</v>
      </c>
      <c r="O424" s="185">
        <f t="shared" si="32"/>
        <v>284034.21640000003</v>
      </c>
      <c r="P424" s="215">
        <f t="shared" si="29"/>
        <v>93526.198670599188</v>
      </c>
      <c r="Q424" s="215" cm="1">
        <f t="array" ref="Q424">IF(P424="-",0,P424/(1+'General inputs'!$H$32)^IFERROR(INDEX('MP Calculations'!$C$40:$C$130,MATCH(F424,'MP Calculations'!$D$40:$D$130,0),0),-1))</f>
        <v>166372.42564177187</v>
      </c>
      <c r="R424" s="207">
        <f t="shared" si="33"/>
        <v>2009</v>
      </c>
      <c r="S424" s="215">
        <f>IF(P424="-",0,P424/(1+'General inputs'!$H$32)^(R424-2023))</f>
        <v>166372.42564177187</v>
      </c>
    </row>
    <row r="425" spans="3:19">
      <c r="C425" s="159"/>
      <c r="D425" s="165" t="s">
        <v>289</v>
      </c>
      <c r="E425" s="161">
        <v>39980</v>
      </c>
      <c r="F425" s="172" t="str">
        <f t="shared" si="28"/>
        <v>2008-09</v>
      </c>
      <c r="G425" s="68"/>
      <c r="H425" s="167" t="s">
        <v>280</v>
      </c>
      <c r="I425" s="173">
        <v>21853.086195380012</v>
      </c>
      <c r="J425" s="168">
        <f>IFERROR(MIN('MP Calculations'!$E$30/I425,1),"-")</f>
        <v>0.32927792945511891</v>
      </c>
      <c r="K425" s="12"/>
      <c r="L425" s="159">
        <v>8.6148500000000006</v>
      </c>
      <c r="M425" s="159" t="s">
        <v>293</v>
      </c>
      <c r="N425" s="159">
        <v>940</v>
      </c>
      <c r="O425" s="185">
        <f t="shared" si="32"/>
        <v>8097.9590000000007</v>
      </c>
      <c r="P425" s="215">
        <f t="shared" si="29"/>
        <v>2666.4791723324456</v>
      </c>
      <c r="Q425" s="215" cm="1">
        <f t="array" ref="Q425">IF(P425="-",0,P425/(1+'General inputs'!$H$32)^IFERROR(INDEX('MP Calculations'!$C$40:$C$130,MATCH(F425,'MP Calculations'!$D$40:$D$130,0),0),-1))</f>
        <v>4743.3619042582977</v>
      </c>
      <c r="R425" s="207">
        <f t="shared" si="33"/>
        <v>2009</v>
      </c>
      <c r="S425" s="215">
        <f>IF(P425="-",0,P425/(1+'General inputs'!$H$32)^(R425-2023))</f>
        <v>4743.3619042582977</v>
      </c>
    </row>
    <row r="426" spans="3:19">
      <c r="C426" s="159"/>
      <c r="D426" s="165" t="s">
        <v>289</v>
      </c>
      <c r="E426" s="161">
        <v>39980</v>
      </c>
      <c r="F426" s="172" t="str">
        <f t="shared" si="28"/>
        <v>2008-09</v>
      </c>
      <c r="G426" s="68"/>
      <c r="H426" s="167" t="s">
        <v>280</v>
      </c>
      <c r="I426" s="173">
        <v>21853.086195380012</v>
      </c>
      <c r="J426" s="168">
        <f>IFERROR(MIN('MP Calculations'!$E$30/I426,1),"-")</f>
        <v>0.32927792945511891</v>
      </c>
      <c r="K426" s="12"/>
      <c r="L426" s="159">
        <v>1.678385</v>
      </c>
      <c r="M426" s="159" t="s">
        <v>293</v>
      </c>
      <c r="N426" s="159">
        <v>940</v>
      </c>
      <c r="O426" s="185">
        <f t="shared" si="32"/>
        <v>1577.6819</v>
      </c>
      <c r="P426" s="215">
        <f t="shared" si="29"/>
        <v>519.495829370818</v>
      </c>
      <c r="Q426" s="215" cm="1">
        <f t="array" ref="Q426">IF(P426="-",0,P426/(1+'General inputs'!$H$32)^IFERROR(INDEX('MP Calculations'!$C$40:$C$130,MATCH(F426,'MP Calculations'!$D$40:$D$130,0),0),-1))</f>
        <v>924.12374790954721</v>
      </c>
      <c r="R426" s="207">
        <f t="shared" si="33"/>
        <v>2009</v>
      </c>
      <c r="S426" s="215">
        <f>IF(P426="-",0,P426/(1+'General inputs'!$H$32)^(R426-2023))</f>
        <v>924.12374790954721</v>
      </c>
    </row>
    <row r="427" spans="3:19">
      <c r="C427" s="159"/>
      <c r="D427" s="165" t="s">
        <v>289</v>
      </c>
      <c r="E427" s="161">
        <v>39980</v>
      </c>
      <c r="F427" s="172" t="str">
        <f t="shared" si="28"/>
        <v>2008-09</v>
      </c>
      <c r="G427" s="68"/>
      <c r="H427" s="167" t="s">
        <v>280</v>
      </c>
      <c r="I427" s="173">
        <v>21853.086195380012</v>
      </c>
      <c r="J427" s="168">
        <f>IFERROR(MIN('MP Calculations'!$E$30/I427,1),"-")</f>
        <v>0.32927792945511891</v>
      </c>
      <c r="K427" s="12"/>
      <c r="L427" s="159">
        <v>74.375681999999998</v>
      </c>
      <c r="M427" s="159" t="s">
        <v>293</v>
      </c>
      <c r="N427" s="159">
        <v>940</v>
      </c>
      <c r="O427" s="185">
        <f t="shared" si="32"/>
        <v>69913.141080000001</v>
      </c>
      <c r="P427" s="215">
        <f t="shared" si="29"/>
        <v>23020.854336526016</v>
      </c>
      <c r="Q427" s="215" cm="1">
        <f t="array" ref="Q427">IF(P427="-",0,P427/(1+'General inputs'!$H$32)^IFERROR(INDEX('MP Calculations'!$C$40:$C$130,MATCH(F427,'MP Calculations'!$D$40:$D$130,0),0),-1))</f>
        <v>40951.470612028017</v>
      </c>
      <c r="R427" s="207">
        <f t="shared" si="33"/>
        <v>2009</v>
      </c>
      <c r="S427" s="215">
        <f>IF(P427="-",0,P427/(1+'General inputs'!$H$32)^(R427-2023))</f>
        <v>40951.470612028017</v>
      </c>
    </row>
    <row r="428" spans="3:19">
      <c r="C428" s="159"/>
      <c r="D428" s="165" t="s">
        <v>319</v>
      </c>
      <c r="E428" s="161">
        <v>39980</v>
      </c>
      <c r="F428" s="172" t="str">
        <f t="shared" si="28"/>
        <v>2008-09</v>
      </c>
      <c r="G428" s="68"/>
      <c r="H428" s="167" t="s">
        <v>280</v>
      </c>
      <c r="I428" s="173">
        <v>21853.086195380012</v>
      </c>
      <c r="J428" s="168">
        <f>IFERROR(MIN('MP Calculations'!$E$30/I428,1),"-")</f>
        <v>0.32927792945511891</v>
      </c>
      <c r="K428" s="12"/>
      <c r="L428" s="159">
        <v>24.831862999999998</v>
      </c>
      <c r="M428" s="159" t="s">
        <v>293</v>
      </c>
      <c r="N428" s="159">
        <v>1630</v>
      </c>
      <c r="O428" s="185">
        <f t="shared" si="32"/>
        <v>40475.936689999995</v>
      </c>
      <c r="P428" s="215">
        <f t="shared" si="29"/>
        <v>13327.832626039677</v>
      </c>
      <c r="Q428" s="215" cm="1">
        <f t="array" ref="Q428">IF(P428="-",0,P428/(1+'General inputs'!$H$32)^IFERROR(INDEX('MP Calculations'!$C$40:$C$130,MATCH(F428,'MP Calculations'!$D$40:$D$130,0),0),-1))</f>
        <v>23708.692046294214</v>
      </c>
      <c r="R428" s="207">
        <f t="shared" si="33"/>
        <v>2009</v>
      </c>
      <c r="S428" s="215">
        <f>IF(P428="-",0,P428/(1+'General inputs'!$H$32)^(R428-2023))</f>
        <v>23708.692046294214</v>
      </c>
    </row>
    <row r="429" spans="3:19">
      <c r="C429" s="159"/>
      <c r="D429" s="165" t="s">
        <v>289</v>
      </c>
      <c r="E429" s="161">
        <v>39980</v>
      </c>
      <c r="F429" s="172" t="str">
        <f t="shared" si="28"/>
        <v>2008-09</v>
      </c>
      <c r="G429" s="68"/>
      <c r="H429" s="167" t="s">
        <v>280</v>
      </c>
      <c r="I429" s="173">
        <v>21853.086195380012</v>
      </c>
      <c r="J429" s="168">
        <f>IFERROR(MIN('MP Calculations'!$E$30/I429,1),"-")</f>
        <v>0.32927792945511891</v>
      </c>
      <c r="K429" s="12"/>
      <c r="L429" s="159">
        <v>158.064211</v>
      </c>
      <c r="M429" s="159" t="s">
        <v>293</v>
      </c>
      <c r="N429" s="159">
        <v>940</v>
      </c>
      <c r="O429" s="185">
        <f t="shared" si="32"/>
        <v>148580.35834000001</v>
      </c>
      <c r="P429" s="215">
        <f t="shared" si="29"/>
        <v>48924.232751894808</v>
      </c>
      <c r="Q429" s="215" cm="1">
        <f t="array" ref="Q429">IF(P429="-",0,P429/(1+'General inputs'!$H$32)^IFERROR(INDEX('MP Calculations'!$C$40:$C$130,MATCH(F429,'MP Calculations'!$D$40:$D$130,0),0),-1))</f>
        <v>87030.62234212381</v>
      </c>
      <c r="R429" s="207">
        <f t="shared" si="33"/>
        <v>2009</v>
      </c>
      <c r="S429" s="215">
        <f>IF(P429="-",0,P429/(1+'General inputs'!$H$32)^(R429-2023))</f>
        <v>87030.62234212381</v>
      </c>
    </row>
    <row r="430" spans="3:19">
      <c r="C430" s="159"/>
      <c r="D430" s="165" t="s">
        <v>289</v>
      </c>
      <c r="E430" s="161">
        <v>39980</v>
      </c>
      <c r="F430" s="172" t="str">
        <f t="shared" si="28"/>
        <v>2008-09</v>
      </c>
      <c r="G430" s="68"/>
      <c r="H430" s="167" t="s">
        <v>280</v>
      </c>
      <c r="I430" s="173">
        <v>21853.086195380012</v>
      </c>
      <c r="J430" s="168">
        <f>IFERROR(MIN('MP Calculations'!$E$30/I430,1),"-")</f>
        <v>0.32927792945511891</v>
      </c>
      <c r="K430" s="12"/>
      <c r="L430" s="159">
        <v>203.090181</v>
      </c>
      <c r="M430" s="159" t="s">
        <v>293</v>
      </c>
      <c r="N430" s="159">
        <v>940</v>
      </c>
      <c r="O430" s="185">
        <f t="shared" si="32"/>
        <v>190904.77014000001</v>
      </c>
      <c r="P430" s="215">
        <f t="shared" si="29"/>
        <v>62860.727434804612</v>
      </c>
      <c r="Q430" s="215" cm="1">
        <f t="array" ref="Q430">IF(P430="-",0,P430/(1+'General inputs'!$H$32)^IFERROR(INDEX('MP Calculations'!$C$40:$C$130,MATCH(F430,'MP Calculations'!$D$40:$D$130,0),0),-1))</f>
        <v>111822.05467121566</v>
      </c>
      <c r="R430" s="207">
        <f t="shared" si="33"/>
        <v>2009</v>
      </c>
      <c r="S430" s="215">
        <f>IF(P430="-",0,P430/(1+'General inputs'!$H$32)^(R430-2023))</f>
        <v>111822.05467121566</v>
      </c>
    </row>
    <row r="431" spans="3:19">
      <c r="C431" s="159"/>
      <c r="D431" s="165" t="s">
        <v>319</v>
      </c>
      <c r="E431" s="161">
        <v>39980</v>
      </c>
      <c r="F431" s="172" t="str">
        <f t="shared" si="28"/>
        <v>2008-09</v>
      </c>
      <c r="G431" s="68"/>
      <c r="H431" s="167" t="s">
        <v>280</v>
      </c>
      <c r="I431" s="173">
        <v>21853.086195380012</v>
      </c>
      <c r="J431" s="168">
        <f>IFERROR(MIN('MP Calculations'!$E$30/I431,1),"-")</f>
        <v>0.32927792945511891</v>
      </c>
      <c r="K431" s="12"/>
      <c r="L431" s="159">
        <v>75.649833999999998</v>
      </c>
      <c r="M431" s="159" t="s">
        <v>293</v>
      </c>
      <c r="N431" s="159">
        <v>1630</v>
      </c>
      <c r="O431" s="185">
        <f t="shared" si="32"/>
        <v>123309.22942</v>
      </c>
      <c r="P431" s="215">
        <f t="shared" si="29"/>
        <v>40603.007746123832</v>
      </c>
      <c r="Q431" s="215" cm="1">
        <f t="array" ref="Q431">IF(P431="-",0,P431/(1+'General inputs'!$H$32)^IFERROR(INDEX('MP Calculations'!$C$40:$C$130,MATCH(F431,'MP Calculations'!$D$40:$D$130,0),0),-1))</f>
        <v>72228.1134387411</v>
      </c>
      <c r="R431" s="207">
        <f t="shared" si="33"/>
        <v>2009</v>
      </c>
      <c r="S431" s="215">
        <f>IF(P431="-",0,P431/(1+'General inputs'!$H$32)^(R431-2023))</f>
        <v>72228.1134387411</v>
      </c>
    </row>
    <row r="432" spans="3:19">
      <c r="C432" s="159"/>
      <c r="D432" s="165" t="s">
        <v>289</v>
      </c>
      <c r="E432" s="161">
        <v>39980</v>
      </c>
      <c r="F432" s="172" t="str">
        <f t="shared" si="28"/>
        <v>2008-09</v>
      </c>
      <c r="G432" s="68"/>
      <c r="H432" s="167" t="s">
        <v>280</v>
      </c>
      <c r="I432" s="173">
        <v>21853.086195380012</v>
      </c>
      <c r="J432" s="168">
        <f>IFERROR(MIN('MP Calculations'!$E$30/I432,1),"-")</f>
        <v>0.32927792945511891</v>
      </c>
      <c r="K432" s="12"/>
      <c r="L432" s="159">
        <v>140.82856899999999</v>
      </c>
      <c r="M432" s="159" t="s">
        <v>293</v>
      </c>
      <c r="N432" s="159">
        <v>940</v>
      </c>
      <c r="O432" s="185">
        <f t="shared" si="32"/>
        <v>132378.85485999999</v>
      </c>
      <c r="P432" s="215">
        <f t="shared" si="29"/>
        <v>43589.435231940501</v>
      </c>
      <c r="Q432" s="215" cm="1">
        <f t="array" ref="Q432">IF(P432="-",0,P432/(1+'General inputs'!$H$32)^IFERROR(INDEX('MP Calculations'!$C$40:$C$130,MATCH(F432,'MP Calculations'!$D$40:$D$130,0),0),-1))</f>
        <v>77540.62685082281</v>
      </c>
      <c r="R432" s="207">
        <f t="shared" si="33"/>
        <v>2009</v>
      </c>
      <c r="S432" s="215">
        <f>IF(P432="-",0,P432/(1+'General inputs'!$H$32)^(R432-2023))</f>
        <v>77540.62685082281</v>
      </c>
    </row>
    <row r="433" spans="3:19">
      <c r="C433" s="159"/>
      <c r="D433" s="165" t="s">
        <v>289</v>
      </c>
      <c r="E433" s="161">
        <v>39980</v>
      </c>
      <c r="F433" s="172" t="str">
        <f t="shared" si="28"/>
        <v>2008-09</v>
      </c>
      <c r="G433" s="68"/>
      <c r="H433" s="167" t="s">
        <v>280</v>
      </c>
      <c r="I433" s="173">
        <v>21853.086195380012</v>
      </c>
      <c r="J433" s="168">
        <f>IFERROR(MIN('MP Calculations'!$E$30/I433,1),"-")</f>
        <v>0.32927792945511891</v>
      </c>
      <c r="K433" s="12"/>
      <c r="L433" s="159">
        <v>0.588283</v>
      </c>
      <c r="M433" s="159" t="s">
        <v>293</v>
      </c>
      <c r="N433" s="159">
        <v>940</v>
      </c>
      <c r="O433" s="185">
        <f t="shared" si="32"/>
        <v>552.98602000000005</v>
      </c>
      <c r="P433" s="215">
        <f t="shared" si="29"/>
        <v>182.08609168322698</v>
      </c>
      <c r="Q433" s="215" cm="1">
        <f t="array" ref="Q433">IF(P433="-",0,P433/(1+'General inputs'!$H$32)^IFERROR(INDEX('MP Calculations'!$C$40:$C$130,MATCH(F433,'MP Calculations'!$D$40:$D$130,0),0),-1))</f>
        <v>323.91036072860049</v>
      </c>
      <c r="R433" s="207">
        <f t="shared" si="33"/>
        <v>2009</v>
      </c>
      <c r="S433" s="215">
        <f>IF(P433="-",0,P433/(1+'General inputs'!$H$32)^(R433-2023))</f>
        <v>323.91036072860049</v>
      </c>
    </row>
    <row r="434" spans="3:19">
      <c r="C434" s="159"/>
      <c r="D434" s="165" t="s">
        <v>289</v>
      </c>
      <c r="E434" s="161">
        <v>39980</v>
      </c>
      <c r="F434" s="172" t="str">
        <f t="shared" si="28"/>
        <v>2008-09</v>
      </c>
      <c r="G434" s="68"/>
      <c r="H434" s="167" t="s">
        <v>280</v>
      </c>
      <c r="I434" s="173">
        <v>21853.086195380012</v>
      </c>
      <c r="J434" s="168">
        <f>IFERROR(MIN('MP Calculations'!$E$30/I434,1),"-")</f>
        <v>0.32927792945511891</v>
      </c>
      <c r="K434" s="12"/>
      <c r="L434" s="159">
        <v>244.08238499999999</v>
      </c>
      <c r="M434" s="159" t="s">
        <v>293</v>
      </c>
      <c r="N434" s="159">
        <v>940</v>
      </c>
      <c r="O434" s="185">
        <f t="shared" si="32"/>
        <v>229437.44189999998</v>
      </c>
      <c r="P434" s="215">
        <f t="shared" si="29"/>
        <v>75548.685808311129</v>
      </c>
      <c r="Q434" s="215" cm="1">
        <f t="array" ref="Q434">IF(P434="-",0,P434/(1+'General inputs'!$H$32)^IFERROR(INDEX('MP Calculations'!$C$40:$C$130,MATCH(F434,'MP Calculations'!$D$40:$D$130,0),0),-1))</f>
        <v>134392.483503428</v>
      </c>
      <c r="R434" s="207">
        <f t="shared" si="33"/>
        <v>2009</v>
      </c>
      <c r="S434" s="215">
        <f>IF(P434="-",0,P434/(1+'General inputs'!$H$32)^(R434-2023))</f>
        <v>134392.483503428</v>
      </c>
    </row>
    <row r="435" spans="3:19">
      <c r="C435" s="159"/>
      <c r="D435" s="165" t="s">
        <v>289</v>
      </c>
      <c r="E435" s="161">
        <v>39980</v>
      </c>
      <c r="F435" s="172" t="str">
        <f t="shared" si="28"/>
        <v>2008-09</v>
      </c>
      <c r="G435" s="68"/>
      <c r="H435" s="167" t="s">
        <v>280</v>
      </c>
      <c r="I435" s="173">
        <v>21853.086195380012</v>
      </c>
      <c r="J435" s="168">
        <f>IFERROR(MIN('MP Calculations'!$E$30/I435,1),"-")</f>
        <v>0.32927792945511891</v>
      </c>
      <c r="K435" s="12"/>
      <c r="L435" s="159">
        <v>78.024567000000005</v>
      </c>
      <c r="M435" s="159" t="s">
        <v>293</v>
      </c>
      <c r="N435" s="159">
        <v>940</v>
      </c>
      <c r="O435" s="185">
        <f t="shared" si="32"/>
        <v>73343.092980000001</v>
      </c>
      <c r="P435" s="215">
        <f t="shared" si="29"/>
        <v>24150.261796288669</v>
      </c>
      <c r="Q435" s="215" cm="1">
        <f t="array" ref="Q435">IF(P435="-",0,P435/(1+'General inputs'!$H$32)^IFERROR(INDEX('MP Calculations'!$C$40:$C$130,MATCH(F435,'MP Calculations'!$D$40:$D$130,0),0),-1))</f>
        <v>42960.557491314314</v>
      </c>
      <c r="R435" s="207">
        <f t="shared" si="33"/>
        <v>2009</v>
      </c>
      <c r="S435" s="215">
        <f>IF(P435="-",0,P435/(1+'General inputs'!$H$32)^(R435-2023))</f>
        <v>42960.557491314314</v>
      </c>
    </row>
    <row r="436" spans="3:19">
      <c r="C436" s="159"/>
      <c r="D436" s="165" t="s">
        <v>289</v>
      </c>
      <c r="E436" s="161">
        <v>39980</v>
      </c>
      <c r="F436" s="172" t="str">
        <f t="shared" si="28"/>
        <v>2008-09</v>
      </c>
      <c r="G436" s="68"/>
      <c r="H436" s="167" t="s">
        <v>280</v>
      </c>
      <c r="I436" s="173">
        <v>21853.086195380012</v>
      </c>
      <c r="J436" s="168">
        <f>IFERROR(MIN('MP Calculations'!$E$30/I436,1),"-")</f>
        <v>0.32927792945511891</v>
      </c>
      <c r="K436" s="12"/>
      <c r="L436" s="159">
        <v>91.686885000000004</v>
      </c>
      <c r="M436" s="159" t="s">
        <v>293</v>
      </c>
      <c r="N436" s="159">
        <v>940</v>
      </c>
      <c r="O436" s="185">
        <f t="shared" si="32"/>
        <v>86185.671900000001</v>
      </c>
      <c r="P436" s="215">
        <f t="shared" si="29"/>
        <v>28379.039591930225</v>
      </c>
      <c r="Q436" s="215" cm="1">
        <f t="array" ref="Q436">IF(P436="-",0,P436/(1+'General inputs'!$H$32)^IFERROR(INDEX('MP Calculations'!$C$40:$C$130,MATCH(F436,'MP Calculations'!$D$40:$D$130,0),0),-1))</f>
        <v>50483.070213539584</v>
      </c>
      <c r="R436" s="207">
        <f t="shared" si="33"/>
        <v>2009</v>
      </c>
      <c r="S436" s="215">
        <f>IF(P436="-",0,P436/(1+'General inputs'!$H$32)^(R436-2023))</f>
        <v>50483.070213539584</v>
      </c>
    </row>
    <row r="437" spans="3:19">
      <c r="C437" s="159"/>
      <c r="D437" s="165" t="s">
        <v>319</v>
      </c>
      <c r="E437" s="161">
        <v>39980</v>
      </c>
      <c r="F437" s="172" t="str">
        <f t="shared" si="28"/>
        <v>2008-09</v>
      </c>
      <c r="G437" s="68"/>
      <c r="H437" s="167" t="s">
        <v>280</v>
      </c>
      <c r="I437" s="173">
        <v>21853.086195380012</v>
      </c>
      <c r="J437" s="168">
        <f>IFERROR(MIN('MP Calculations'!$E$30/I437,1),"-")</f>
        <v>0.32927792945511891</v>
      </c>
      <c r="K437" s="12"/>
      <c r="L437" s="159">
        <v>23.997997999999999</v>
      </c>
      <c r="M437" s="159" t="s">
        <v>293</v>
      </c>
      <c r="N437" s="159">
        <v>1630</v>
      </c>
      <c r="O437" s="185">
        <f t="shared" si="32"/>
        <v>39116.73674</v>
      </c>
      <c r="P437" s="215">
        <f t="shared" si="29"/>
        <v>12880.278080788179</v>
      </c>
      <c r="Q437" s="215" cm="1">
        <f t="array" ref="Q437">IF(P437="-",0,P437/(1+'General inputs'!$H$32)^IFERROR(INDEX('MP Calculations'!$C$40:$C$130,MATCH(F437,'MP Calculations'!$D$40:$D$130,0),0),-1))</f>
        <v>22912.543626291132</v>
      </c>
      <c r="R437" s="207">
        <f t="shared" si="33"/>
        <v>2009</v>
      </c>
      <c r="S437" s="215">
        <f>IF(P437="-",0,P437/(1+'General inputs'!$H$32)^(R437-2023))</f>
        <v>22912.543626291132</v>
      </c>
    </row>
    <row r="438" spans="3:19">
      <c r="C438" s="159"/>
      <c r="D438" s="165" t="s">
        <v>289</v>
      </c>
      <c r="E438" s="161">
        <v>39980</v>
      </c>
      <c r="F438" s="172" t="str">
        <f t="shared" si="28"/>
        <v>2008-09</v>
      </c>
      <c r="G438" s="68"/>
      <c r="H438" s="167" t="s">
        <v>280</v>
      </c>
      <c r="I438" s="173">
        <v>21853.086195380012</v>
      </c>
      <c r="J438" s="168">
        <f>IFERROR(MIN('MP Calculations'!$E$30/I438,1),"-")</f>
        <v>0.32927792945511891</v>
      </c>
      <c r="K438" s="12"/>
      <c r="L438" s="159">
        <v>19.545313</v>
      </c>
      <c r="M438" s="159" t="s">
        <v>293</v>
      </c>
      <c r="N438" s="159">
        <v>940</v>
      </c>
      <c r="O438" s="185">
        <f t="shared" si="32"/>
        <v>18372.594219999999</v>
      </c>
      <c r="P438" s="215">
        <f t="shared" si="29"/>
        <v>6049.689783480685</v>
      </c>
      <c r="Q438" s="215" cm="1">
        <f t="array" ref="Q438">IF(P438="-",0,P438/(1+'General inputs'!$H$32)^IFERROR(INDEX('MP Calculations'!$C$40:$C$130,MATCH(F438,'MP Calculations'!$D$40:$D$130,0),0),-1))</f>
        <v>10761.70717899957</v>
      </c>
      <c r="R438" s="207">
        <f t="shared" si="33"/>
        <v>2009</v>
      </c>
      <c r="S438" s="215">
        <f>IF(P438="-",0,P438/(1+'General inputs'!$H$32)^(R438-2023))</f>
        <v>10761.70717899957</v>
      </c>
    </row>
    <row r="439" spans="3:19">
      <c r="C439" s="159"/>
      <c r="D439" s="165" t="s">
        <v>289</v>
      </c>
      <c r="E439" s="161">
        <v>39980</v>
      </c>
      <c r="F439" s="172" t="str">
        <f t="shared" si="28"/>
        <v>2008-09</v>
      </c>
      <c r="G439" s="68"/>
      <c r="H439" s="167" t="s">
        <v>280</v>
      </c>
      <c r="I439" s="173">
        <v>21853.086195380012</v>
      </c>
      <c r="J439" s="168">
        <f>IFERROR(MIN('MP Calculations'!$E$30/I439,1),"-")</f>
        <v>0.32927792945511891</v>
      </c>
      <c r="K439" s="12"/>
      <c r="L439" s="159">
        <v>12.446721999999999</v>
      </c>
      <c r="M439" s="159" t="s">
        <v>293</v>
      </c>
      <c r="N439" s="159">
        <v>940</v>
      </c>
      <c r="O439" s="185">
        <f t="shared" si="32"/>
        <v>11699.918679999999</v>
      </c>
      <c r="P439" s="215">
        <f t="shared" si="29"/>
        <v>3852.5249977436674</v>
      </c>
      <c r="Q439" s="215" cm="1">
        <f t="array" ref="Q439">IF(P439="-",0,P439/(1+'General inputs'!$H$32)^IFERROR(INDEX('MP Calculations'!$C$40:$C$130,MATCH(F439,'MP Calculations'!$D$40:$D$130,0),0),-1))</f>
        <v>6853.2019672650868</v>
      </c>
      <c r="R439" s="207">
        <f t="shared" si="33"/>
        <v>2009</v>
      </c>
      <c r="S439" s="215">
        <f>IF(P439="-",0,P439/(1+'General inputs'!$H$32)^(R439-2023))</f>
        <v>6853.2019672650868</v>
      </c>
    </row>
    <row r="440" spans="3:19">
      <c r="C440" s="159"/>
      <c r="D440" s="165" t="s">
        <v>289</v>
      </c>
      <c r="E440" s="161">
        <v>39980</v>
      </c>
      <c r="F440" s="172" t="str">
        <f t="shared" si="28"/>
        <v>2008-09</v>
      </c>
      <c r="G440" s="68"/>
      <c r="H440" s="167" t="s">
        <v>280</v>
      </c>
      <c r="I440" s="173">
        <v>21853.086195380012</v>
      </c>
      <c r="J440" s="168">
        <f>IFERROR(MIN('MP Calculations'!$E$30/I440,1),"-")</f>
        <v>0.32927792945511891</v>
      </c>
      <c r="K440" s="12"/>
      <c r="L440" s="159">
        <v>114.304616</v>
      </c>
      <c r="M440" s="159" t="s">
        <v>293</v>
      </c>
      <c r="N440" s="159">
        <v>940</v>
      </c>
      <c r="O440" s="185">
        <f t="shared" si="32"/>
        <v>107446.33903999999</v>
      </c>
      <c r="P440" s="215">
        <f t="shared" si="29"/>
        <v>35379.708046623906</v>
      </c>
      <c r="Q440" s="215" cm="1">
        <f t="array" ref="Q440">IF(P440="-",0,P440/(1+'General inputs'!$H$32)^IFERROR(INDEX('MP Calculations'!$C$40:$C$130,MATCH(F440,'MP Calculations'!$D$40:$D$130,0),0),-1))</f>
        <v>62936.459835664391</v>
      </c>
      <c r="R440" s="207">
        <f t="shared" si="33"/>
        <v>2009</v>
      </c>
      <c r="S440" s="215">
        <f>IF(P440="-",0,P440/(1+'General inputs'!$H$32)^(R440-2023))</f>
        <v>62936.459835664391</v>
      </c>
    </row>
    <row r="441" spans="3:19">
      <c r="C441" s="159"/>
      <c r="D441" s="165" t="s">
        <v>289</v>
      </c>
      <c r="E441" s="161">
        <v>39980</v>
      </c>
      <c r="F441" s="172" t="str">
        <f t="shared" si="28"/>
        <v>2008-09</v>
      </c>
      <c r="G441" s="68"/>
      <c r="H441" s="167" t="s">
        <v>280</v>
      </c>
      <c r="I441" s="173">
        <v>21853.086195380012</v>
      </c>
      <c r="J441" s="168">
        <f>IFERROR(MIN('MP Calculations'!$E$30/I441,1),"-")</f>
        <v>0.32927792945511891</v>
      </c>
      <c r="K441" s="12"/>
      <c r="L441" s="159">
        <v>74.879873000000003</v>
      </c>
      <c r="M441" s="159" t="s">
        <v>293</v>
      </c>
      <c r="N441" s="159">
        <v>940</v>
      </c>
      <c r="O441" s="185">
        <f t="shared" si="32"/>
        <v>70387.080620000008</v>
      </c>
      <c r="P441" s="215">
        <f t="shared" si="29"/>
        <v>23176.91216694413</v>
      </c>
      <c r="Q441" s="215" cm="1">
        <f t="array" ref="Q441">IF(P441="-",0,P441/(1+'General inputs'!$H$32)^IFERROR(INDEX('MP Calculations'!$C$40:$C$130,MATCH(F441,'MP Calculations'!$D$40:$D$130,0),0),-1))</f>
        <v>41229.079668699917</v>
      </c>
      <c r="R441" s="207">
        <f t="shared" si="33"/>
        <v>2009</v>
      </c>
      <c r="S441" s="215">
        <f>IF(P441="-",0,P441/(1+'General inputs'!$H$32)^(R441-2023))</f>
        <v>41229.079668699917</v>
      </c>
    </row>
    <row r="442" spans="3:19">
      <c r="C442" s="159"/>
      <c r="D442" s="165" t="s">
        <v>289</v>
      </c>
      <c r="E442" s="161">
        <v>39980</v>
      </c>
      <c r="F442" s="172" t="str">
        <f t="shared" si="28"/>
        <v>2008-09</v>
      </c>
      <c r="G442" s="68"/>
      <c r="H442" s="167" t="s">
        <v>280</v>
      </c>
      <c r="I442" s="173">
        <v>21853.086195380012</v>
      </c>
      <c r="J442" s="168">
        <f>IFERROR(MIN('MP Calculations'!$E$30/I442,1),"-")</f>
        <v>0.32927792945511891</v>
      </c>
      <c r="K442" s="12"/>
      <c r="L442" s="159">
        <v>130.28233800000001</v>
      </c>
      <c r="M442" s="159" t="s">
        <v>293</v>
      </c>
      <c r="N442" s="159">
        <v>940</v>
      </c>
      <c r="O442" s="185">
        <f t="shared" si="32"/>
        <v>122465.39772000001</v>
      </c>
      <c r="P442" s="215">
        <f t="shared" si="29"/>
        <v>40325.152591139245</v>
      </c>
      <c r="Q442" s="215" cm="1">
        <f t="array" ref="Q442">IF(P442="-",0,P442/(1+'General inputs'!$H$32)^IFERROR(INDEX('MP Calculations'!$C$40:$C$130,MATCH(F442,'MP Calculations'!$D$40:$D$130,0),0),-1))</f>
        <v>71733.840852354158</v>
      </c>
      <c r="R442" s="207">
        <f t="shared" si="33"/>
        <v>2009</v>
      </c>
      <c r="S442" s="215">
        <f>IF(P442="-",0,P442/(1+'General inputs'!$H$32)^(R442-2023))</f>
        <v>71733.840852354158</v>
      </c>
    </row>
    <row r="443" spans="3:19">
      <c r="C443" s="159"/>
      <c r="D443" s="165" t="s">
        <v>319</v>
      </c>
      <c r="E443" s="161">
        <v>39980</v>
      </c>
      <c r="F443" s="172" t="str">
        <f t="shared" si="28"/>
        <v>2008-09</v>
      </c>
      <c r="G443" s="68"/>
      <c r="H443" s="167" t="s">
        <v>280</v>
      </c>
      <c r="I443" s="173">
        <v>21853.086195380012</v>
      </c>
      <c r="J443" s="168">
        <f>IFERROR(MIN('MP Calculations'!$E$30/I443,1),"-")</f>
        <v>0.32927792945511891</v>
      </c>
      <c r="K443" s="12"/>
      <c r="L443" s="159">
        <v>24.000349</v>
      </c>
      <c r="M443" s="159" t="s">
        <v>293</v>
      </c>
      <c r="N443" s="159">
        <v>1630</v>
      </c>
      <c r="O443" s="185">
        <f t="shared" si="32"/>
        <v>39120.568870000003</v>
      </c>
      <c r="P443" s="215">
        <f t="shared" si="29"/>
        <v>12881.539916619982</v>
      </c>
      <c r="Q443" s="215" cm="1">
        <f t="array" ref="Q443">IF(P443="-",0,P443/(1+'General inputs'!$H$32)^IFERROR(INDEX('MP Calculations'!$C$40:$C$130,MATCH(F443,'MP Calculations'!$D$40:$D$130,0),0),-1))</f>
        <v>22914.788288119398</v>
      </c>
      <c r="R443" s="207">
        <f t="shared" si="33"/>
        <v>2009</v>
      </c>
      <c r="S443" s="215">
        <f>IF(P443="-",0,P443/(1+'General inputs'!$H$32)^(R443-2023))</f>
        <v>22914.788288119398</v>
      </c>
    </row>
    <row r="444" spans="3:19">
      <c r="C444" s="159"/>
      <c r="D444" s="165" t="s">
        <v>289</v>
      </c>
      <c r="E444" s="161">
        <v>39980</v>
      </c>
      <c r="F444" s="172" t="str">
        <f t="shared" si="28"/>
        <v>2008-09</v>
      </c>
      <c r="G444" s="68"/>
      <c r="H444" s="167" t="s">
        <v>280</v>
      </c>
      <c r="I444" s="173">
        <v>21853.086195380012</v>
      </c>
      <c r="J444" s="168">
        <f>IFERROR(MIN('MP Calculations'!$E$30/I444,1),"-")</f>
        <v>0.32927792945511891</v>
      </c>
      <c r="K444" s="12"/>
      <c r="L444" s="159">
        <v>186.48281700000001</v>
      </c>
      <c r="M444" s="159" t="s">
        <v>293</v>
      </c>
      <c r="N444" s="159">
        <v>940</v>
      </c>
      <c r="O444" s="185">
        <f t="shared" si="32"/>
        <v>175293.84798000002</v>
      </c>
      <c r="P444" s="215">
        <f t="shared" si="29"/>
        <v>57720.395309074789</v>
      </c>
      <c r="Q444" s="215" cm="1">
        <f t="array" ref="Q444">IF(P444="-",0,P444/(1+'General inputs'!$H$32)^IFERROR(INDEX('MP Calculations'!$C$40:$C$130,MATCH(F444,'MP Calculations'!$D$40:$D$130,0),0),-1))</f>
        <v>102677.99090600204</v>
      </c>
      <c r="R444" s="207">
        <f t="shared" si="33"/>
        <v>2009</v>
      </c>
      <c r="S444" s="215">
        <f>IF(P444="-",0,P444/(1+'General inputs'!$H$32)^(R444-2023))</f>
        <v>102677.99090600204</v>
      </c>
    </row>
    <row r="445" spans="3:19">
      <c r="C445" s="159"/>
      <c r="D445" s="165" t="s">
        <v>289</v>
      </c>
      <c r="E445" s="161">
        <v>39980</v>
      </c>
      <c r="F445" s="172" t="str">
        <f t="shared" si="28"/>
        <v>2008-09</v>
      </c>
      <c r="G445" s="68"/>
      <c r="H445" s="167" t="s">
        <v>280</v>
      </c>
      <c r="I445" s="173">
        <v>21853.086195380012</v>
      </c>
      <c r="J445" s="168">
        <f>IFERROR(MIN('MP Calculations'!$E$30/I445,1),"-")</f>
        <v>0.32927792945511891</v>
      </c>
      <c r="K445" s="12"/>
      <c r="L445" s="159">
        <v>0.64549000000000001</v>
      </c>
      <c r="M445" s="159" t="s">
        <v>293</v>
      </c>
      <c r="N445" s="159">
        <v>940</v>
      </c>
      <c r="O445" s="185">
        <f t="shared" si="32"/>
        <v>606.76059999999995</v>
      </c>
      <c r="P445" s="215">
        <f t="shared" si="29"/>
        <v>199.79287404294561</v>
      </c>
      <c r="Q445" s="215" cm="1">
        <f t="array" ref="Q445">IF(P445="-",0,P445/(1+'General inputs'!$H$32)^IFERROR(INDEX('MP Calculations'!$C$40:$C$130,MATCH(F445,'MP Calculations'!$D$40:$D$130,0),0),-1))</f>
        <v>355.40870422348479</v>
      </c>
      <c r="R445" s="207">
        <f t="shared" si="33"/>
        <v>2009</v>
      </c>
      <c r="S445" s="215">
        <f>IF(P445="-",0,P445/(1+'General inputs'!$H$32)^(R445-2023))</f>
        <v>355.40870422348479</v>
      </c>
    </row>
    <row r="446" spans="3:19">
      <c r="C446" s="159"/>
      <c r="D446" s="165" t="s">
        <v>284</v>
      </c>
      <c r="E446" s="161">
        <v>39980</v>
      </c>
      <c r="F446" s="172" t="str">
        <f t="shared" si="28"/>
        <v>2008-09</v>
      </c>
      <c r="G446" s="68"/>
      <c r="H446" s="167" t="s">
        <v>280</v>
      </c>
      <c r="I446" s="173">
        <v>21853.086195380012</v>
      </c>
      <c r="J446" s="168">
        <f>IFERROR(MIN('MP Calculations'!$E$30/I446,1),"-")</f>
        <v>0.32927792945511891</v>
      </c>
      <c r="K446" s="12"/>
      <c r="L446" s="159">
        <v>1.663816</v>
      </c>
      <c r="M446" s="159" t="s">
        <v>293</v>
      </c>
      <c r="N446" s="159">
        <v>726</v>
      </c>
      <c r="O446" s="185">
        <f t="shared" si="32"/>
        <v>1207.9304159999999</v>
      </c>
      <c r="P446" s="215">
        <f t="shared" si="29"/>
        <v>397.74482630634043</v>
      </c>
      <c r="Q446" s="215" cm="1">
        <f t="array" ref="Q446">IF(P446="-",0,P446/(1+'General inputs'!$H$32)^IFERROR(INDEX('MP Calculations'!$C$40:$C$130,MATCH(F446,'MP Calculations'!$D$40:$D$130,0),0),-1))</f>
        <v>707.54261885609412</v>
      </c>
      <c r="R446" s="207">
        <f t="shared" si="33"/>
        <v>2009</v>
      </c>
      <c r="S446" s="215">
        <f>IF(P446="-",0,P446/(1+'General inputs'!$H$32)^(R446-2023))</f>
        <v>707.54261885609412</v>
      </c>
    </row>
    <row r="447" spans="3:19">
      <c r="C447" s="159"/>
      <c r="D447" s="165" t="s">
        <v>289</v>
      </c>
      <c r="E447" s="161">
        <v>39980</v>
      </c>
      <c r="F447" s="172" t="str">
        <f t="shared" si="28"/>
        <v>2008-09</v>
      </c>
      <c r="G447" s="68"/>
      <c r="H447" s="167" t="s">
        <v>280</v>
      </c>
      <c r="I447" s="173">
        <v>21853.086195380012</v>
      </c>
      <c r="J447" s="168">
        <f>IFERROR(MIN('MP Calculations'!$E$30/I447,1),"-")</f>
        <v>0.32927792945511891</v>
      </c>
      <c r="K447" s="12"/>
      <c r="L447" s="159">
        <v>21.019476999999998</v>
      </c>
      <c r="M447" s="159" t="s">
        <v>293</v>
      </c>
      <c r="N447" s="159">
        <v>940</v>
      </c>
      <c r="O447" s="185">
        <f t="shared" si="32"/>
        <v>19758.308379999999</v>
      </c>
      <c r="P447" s="215">
        <f t="shared" si="29"/>
        <v>6505.9748729021239</v>
      </c>
      <c r="Q447" s="215" cm="1">
        <f t="array" ref="Q447">IF(P447="-",0,P447/(1+'General inputs'!$H$32)^IFERROR(INDEX('MP Calculations'!$C$40:$C$130,MATCH(F447,'MP Calculations'!$D$40:$D$130,0),0),-1))</f>
        <v>11573.386239950025</v>
      </c>
      <c r="R447" s="207">
        <f t="shared" si="33"/>
        <v>2009</v>
      </c>
      <c r="S447" s="215">
        <f>IF(P447="-",0,P447/(1+'General inputs'!$H$32)^(R447-2023))</f>
        <v>11573.386239950025</v>
      </c>
    </row>
    <row r="448" spans="3:19">
      <c r="C448" s="159"/>
      <c r="D448" s="165" t="s">
        <v>284</v>
      </c>
      <c r="E448" s="161">
        <v>39980</v>
      </c>
      <c r="F448" s="172" t="str">
        <f t="shared" si="28"/>
        <v>2008-09</v>
      </c>
      <c r="G448" s="68"/>
      <c r="H448" s="167" t="s">
        <v>280</v>
      </c>
      <c r="I448" s="173">
        <v>21853.086195380012</v>
      </c>
      <c r="J448" s="168">
        <f>IFERROR(MIN('MP Calculations'!$E$30/I448,1),"-")</f>
        <v>0.32927792945511891</v>
      </c>
      <c r="K448" s="12"/>
      <c r="L448" s="159">
        <v>1.742129</v>
      </c>
      <c r="M448" s="159" t="s">
        <v>293</v>
      </c>
      <c r="N448" s="159">
        <v>726</v>
      </c>
      <c r="O448" s="185">
        <f t="shared" si="32"/>
        <v>1264.785654</v>
      </c>
      <c r="P448" s="215">
        <f t="shared" si="29"/>
        <v>416.46600135365844</v>
      </c>
      <c r="Q448" s="215" cm="1">
        <f t="array" ref="Q448">IF(P448="-",0,P448/(1+'General inputs'!$H$32)^IFERROR(INDEX('MP Calculations'!$C$40:$C$130,MATCH(F448,'MP Calculations'!$D$40:$D$130,0),0),-1))</f>
        <v>740.84545108662758</v>
      </c>
      <c r="R448" s="207">
        <f t="shared" si="33"/>
        <v>2009</v>
      </c>
      <c r="S448" s="215">
        <f>IF(P448="-",0,P448/(1+'General inputs'!$H$32)^(R448-2023))</f>
        <v>740.84545108662758</v>
      </c>
    </row>
    <row r="449" spans="3:19">
      <c r="C449" s="159"/>
      <c r="D449" s="165" t="s">
        <v>319</v>
      </c>
      <c r="E449" s="161">
        <v>39980</v>
      </c>
      <c r="F449" s="172" t="str">
        <f t="shared" si="28"/>
        <v>2008-09</v>
      </c>
      <c r="G449" s="68"/>
      <c r="H449" s="167" t="s">
        <v>280</v>
      </c>
      <c r="I449" s="173">
        <v>21853.086195380012</v>
      </c>
      <c r="J449" s="168">
        <f>IFERROR(MIN('MP Calculations'!$E$30/I449,1),"-")</f>
        <v>0.32927792945511891</v>
      </c>
      <c r="K449" s="12"/>
      <c r="L449" s="159">
        <v>27.999715999999999</v>
      </c>
      <c r="M449" s="159" t="s">
        <v>293</v>
      </c>
      <c r="N449" s="159">
        <v>1630</v>
      </c>
      <c r="O449" s="185">
        <f t="shared" si="32"/>
        <v>45639.537080000002</v>
      </c>
      <c r="P449" s="215">
        <f t="shared" si="29"/>
        <v>15028.092270992523</v>
      </c>
      <c r="Q449" s="215" cm="1">
        <f t="array" ref="Q449">IF(P449="-",0,P449/(1+'General inputs'!$H$32)^IFERROR(INDEX('MP Calculations'!$C$40:$C$130,MATCH(F449,'MP Calculations'!$D$40:$D$130,0),0),-1))</f>
        <v>26733.259764992137</v>
      </c>
      <c r="R449" s="207">
        <f t="shared" si="33"/>
        <v>2009</v>
      </c>
      <c r="S449" s="215">
        <f>IF(P449="-",0,P449/(1+'General inputs'!$H$32)^(R449-2023))</f>
        <v>26733.259764992137</v>
      </c>
    </row>
    <row r="450" spans="3:19">
      <c r="C450" s="159"/>
      <c r="D450" s="165" t="s">
        <v>289</v>
      </c>
      <c r="E450" s="161">
        <v>39980</v>
      </c>
      <c r="F450" s="172" t="str">
        <f t="shared" si="28"/>
        <v>2008-09</v>
      </c>
      <c r="G450" s="68"/>
      <c r="H450" s="167" t="s">
        <v>280</v>
      </c>
      <c r="I450" s="173">
        <v>21853.086195380012</v>
      </c>
      <c r="J450" s="168">
        <f>IFERROR(MIN('MP Calculations'!$E$30/I450,1),"-")</f>
        <v>0.32927792945511891</v>
      </c>
      <c r="K450" s="12"/>
      <c r="L450" s="159">
        <v>0.62824000000000002</v>
      </c>
      <c r="M450" s="159" t="s">
        <v>293</v>
      </c>
      <c r="N450" s="159">
        <v>940</v>
      </c>
      <c r="O450" s="185">
        <f t="shared" si="32"/>
        <v>590.54560000000004</v>
      </c>
      <c r="P450" s="215">
        <f t="shared" si="29"/>
        <v>194.45363241683089</v>
      </c>
      <c r="Q450" s="215" cm="1">
        <f t="array" ref="Q450">IF(P450="-",0,P450/(1+'General inputs'!$H$32)^IFERROR(INDEX('MP Calculations'!$C$40:$C$130,MATCH(F450,'MP Calculations'!$D$40:$D$130,0),0),-1))</f>
        <v>345.91080317489366</v>
      </c>
      <c r="R450" s="207">
        <f t="shared" si="33"/>
        <v>2009</v>
      </c>
      <c r="S450" s="215">
        <f>IF(P450="-",0,P450/(1+'General inputs'!$H$32)^(R450-2023))</f>
        <v>345.91080317489366</v>
      </c>
    </row>
    <row r="451" spans="3:19">
      <c r="C451" s="159"/>
      <c r="D451" s="165" t="s">
        <v>284</v>
      </c>
      <c r="E451" s="161">
        <v>39980</v>
      </c>
      <c r="F451" s="172" t="str">
        <f t="shared" si="28"/>
        <v>2008-09</v>
      </c>
      <c r="G451" s="68"/>
      <c r="H451" s="167" t="s">
        <v>280</v>
      </c>
      <c r="I451" s="173">
        <v>21853.086195380012</v>
      </c>
      <c r="J451" s="168">
        <f>IFERROR(MIN('MP Calculations'!$E$30/I451,1),"-")</f>
        <v>0.32927792945511891</v>
      </c>
      <c r="K451" s="12"/>
      <c r="L451" s="159">
        <v>1.450566</v>
      </c>
      <c r="M451" s="159" t="s">
        <v>293</v>
      </c>
      <c r="N451" s="159">
        <v>726</v>
      </c>
      <c r="O451" s="185">
        <f t="shared" si="32"/>
        <v>1053.1109160000001</v>
      </c>
      <c r="P451" s="215">
        <f t="shared" si="29"/>
        <v>346.7661819070637</v>
      </c>
      <c r="Q451" s="215" cm="1">
        <f t="array" ref="Q451">IF(P451="-",0,P451/(1+'General inputs'!$H$32)^IFERROR(INDEX('MP Calculations'!$C$40:$C$130,MATCH(F451,'MP Calculations'!$D$40:$D$130,0),0),-1))</f>
        <v>616.85743283128011</v>
      </c>
      <c r="R451" s="207">
        <f t="shared" si="33"/>
        <v>2009</v>
      </c>
      <c r="S451" s="215">
        <f>IF(P451="-",0,P451/(1+'General inputs'!$H$32)^(R451-2023))</f>
        <v>616.85743283128011</v>
      </c>
    </row>
    <row r="452" spans="3:19">
      <c r="C452" s="159"/>
      <c r="D452" s="165" t="s">
        <v>284</v>
      </c>
      <c r="E452" s="161">
        <v>39980</v>
      </c>
      <c r="F452" s="172" t="str">
        <f t="shared" si="28"/>
        <v>2008-09</v>
      </c>
      <c r="G452" s="68"/>
      <c r="H452" s="167" t="s">
        <v>280</v>
      </c>
      <c r="I452" s="173">
        <v>21853.086195380012</v>
      </c>
      <c r="J452" s="168">
        <f>IFERROR(MIN('MP Calculations'!$E$30/I452,1),"-")</f>
        <v>0.32927792945511891</v>
      </c>
      <c r="K452" s="12"/>
      <c r="L452" s="159">
        <v>4.0076599999999996</v>
      </c>
      <c r="M452" s="159" t="s">
        <v>293</v>
      </c>
      <c r="N452" s="159">
        <v>726</v>
      </c>
      <c r="O452" s="185">
        <f t="shared" si="32"/>
        <v>2909.5611599999997</v>
      </c>
      <c r="P452" s="215">
        <f t="shared" si="29"/>
        <v>958.05427438783386</v>
      </c>
      <c r="Q452" s="215" cm="1">
        <f t="array" ref="Q452">IF(P452="-",0,P452/(1+'General inputs'!$H$32)^IFERROR(INDEX('MP Calculations'!$C$40:$C$130,MATCH(F452,'MP Calculations'!$D$40:$D$130,0),0),-1))</f>
        <v>1704.2691330560674</v>
      </c>
      <c r="R452" s="207">
        <f t="shared" si="33"/>
        <v>2009</v>
      </c>
      <c r="S452" s="215">
        <f>IF(P452="-",0,P452/(1+'General inputs'!$H$32)^(R452-2023))</f>
        <v>1704.2691330560674</v>
      </c>
    </row>
    <row r="453" spans="3:19">
      <c r="C453" s="159"/>
      <c r="D453" s="165" t="s">
        <v>289</v>
      </c>
      <c r="E453" s="161">
        <v>39980</v>
      </c>
      <c r="F453" s="172" t="str">
        <f t="shared" si="28"/>
        <v>2008-09</v>
      </c>
      <c r="G453" s="68"/>
      <c r="H453" s="167" t="s">
        <v>280</v>
      </c>
      <c r="I453" s="173">
        <v>21853.086195380012</v>
      </c>
      <c r="J453" s="168">
        <f>IFERROR(MIN('MP Calculations'!$E$30/I453,1),"-")</f>
        <v>0.32927792945511891</v>
      </c>
      <c r="K453" s="12"/>
      <c r="L453" s="159">
        <v>38.969349000000001</v>
      </c>
      <c r="M453" s="159" t="s">
        <v>293</v>
      </c>
      <c r="N453" s="159">
        <v>940</v>
      </c>
      <c r="O453" s="185">
        <f t="shared" si="32"/>
        <v>36631.18806</v>
      </c>
      <c r="P453" s="215">
        <f t="shared" si="29"/>
        <v>12061.841757877874</v>
      </c>
      <c r="Q453" s="215" cm="1">
        <f t="array" ref="Q453">IF(P453="-",0,P453/(1+'General inputs'!$H$32)^IFERROR(INDEX('MP Calculations'!$C$40:$C$130,MATCH(F453,'MP Calculations'!$D$40:$D$130,0),0),-1))</f>
        <v>21456.638882899431</v>
      </c>
      <c r="R453" s="207">
        <f t="shared" si="33"/>
        <v>2009</v>
      </c>
      <c r="S453" s="215">
        <f>IF(P453="-",0,P453/(1+'General inputs'!$H$32)^(R453-2023))</f>
        <v>21456.638882899431</v>
      </c>
    </row>
    <row r="454" spans="3:19">
      <c r="C454" s="159"/>
      <c r="D454" s="165" t="s">
        <v>284</v>
      </c>
      <c r="E454" s="161">
        <v>39980</v>
      </c>
      <c r="F454" s="172" t="str">
        <f t="shared" si="28"/>
        <v>2008-09</v>
      </c>
      <c r="G454" s="68"/>
      <c r="H454" s="167" t="s">
        <v>280</v>
      </c>
      <c r="I454" s="173">
        <v>21853.086195380012</v>
      </c>
      <c r="J454" s="168">
        <f>IFERROR(MIN('MP Calculations'!$E$30/I454,1),"-")</f>
        <v>0.32927792945511891</v>
      </c>
      <c r="K454" s="12"/>
      <c r="L454" s="159">
        <v>0.882633</v>
      </c>
      <c r="M454" s="159" t="s">
        <v>293</v>
      </c>
      <c r="N454" s="159">
        <v>726</v>
      </c>
      <c r="O454" s="185">
        <f t="shared" si="32"/>
        <v>640.79155800000001</v>
      </c>
      <c r="P454" s="215">
        <f t="shared" si="29"/>
        <v>210.99851743055973</v>
      </c>
      <c r="Q454" s="215" cm="1">
        <f t="array" ref="Q454">IF(P454="-",0,P454/(1+'General inputs'!$H$32)^IFERROR(INDEX('MP Calculations'!$C$40:$C$130,MATCH(F454,'MP Calculations'!$D$40:$D$130,0),0),-1))</f>
        <v>375.3422639936212</v>
      </c>
      <c r="R454" s="207">
        <f t="shared" si="33"/>
        <v>2009</v>
      </c>
      <c r="S454" s="215">
        <f>IF(P454="-",0,P454/(1+'General inputs'!$H$32)^(R454-2023))</f>
        <v>375.3422639936212</v>
      </c>
    </row>
    <row r="455" spans="3:19">
      <c r="C455" s="159"/>
      <c r="D455" s="165" t="s">
        <v>284</v>
      </c>
      <c r="E455" s="161">
        <v>39980</v>
      </c>
      <c r="F455" s="172" t="str">
        <f t="shared" si="28"/>
        <v>2008-09</v>
      </c>
      <c r="G455" s="68"/>
      <c r="H455" s="167" t="s">
        <v>280</v>
      </c>
      <c r="I455" s="173">
        <v>21853.086195380012</v>
      </c>
      <c r="J455" s="168">
        <f>IFERROR(MIN('MP Calculations'!$E$30/I455,1),"-")</f>
        <v>0.32927792945511891</v>
      </c>
      <c r="K455" s="12"/>
      <c r="L455" s="159">
        <v>1.5876030000000001</v>
      </c>
      <c r="M455" s="159" t="s">
        <v>293</v>
      </c>
      <c r="N455" s="159">
        <v>726</v>
      </c>
      <c r="O455" s="185">
        <f t="shared" si="32"/>
        <v>1152.599778</v>
      </c>
      <c r="P455" s="215">
        <f t="shared" si="29"/>
        <v>379.52566839026974</v>
      </c>
      <c r="Q455" s="215" cm="1">
        <f t="array" ref="Q455">IF(P455="-",0,P455/(1+'General inputs'!$H$32)^IFERROR(INDEX('MP Calculations'!$C$40:$C$130,MATCH(F455,'MP Calculations'!$D$40:$D$130,0),0),-1))</f>
        <v>675.13281776578162</v>
      </c>
      <c r="R455" s="207">
        <f t="shared" si="33"/>
        <v>2009</v>
      </c>
      <c r="S455" s="215">
        <f>IF(P455="-",0,P455/(1+'General inputs'!$H$32)^(R455-2023))</f>
        <v>675.13281776578162</v>
      </c>
    </row>
    <row r="456" spans="3:19">
      <c r="C456" s="159"/>
      <c r="D456" s="165" t="s">
        <v>282</v>
      </c>
      <c r="E456" s="161">
        <v>39980</v>
      </c>
      <c r="F456" s="172" t="str">
        <f t="shared" si="28"/>
        <v>2008-09</v>
      </c>
      <c r="G456" s="68"/>
      <c r="H456" s="167" t="s">
        <v>280</v>
      </c>
      <c r="I456" s="173">
        <v>21853.086195380012</v>
      </c>
      <c r="J456" s="168">
        <f>IFERROR(MIN('MP Calculations'!$E$30/I456,1),"-")</f>
        <v>0.32927792945511891</v>
      </c>
      <c r="K456" s="12"/>
      <c r="L456" s="159">
        <v>9.853332</v>
      </c>
      <c r="M456" s="159" t="s">
        <v>293</v>
      </c>
      <c r="N456" s="159">
        <v>511</v>
      </c>
      <c r="O456" s="185">
        <f t="shared" si="32"/>
        <v>5035.0526520000003</v>
      </c>
      <c r="P456" s="215">
        <f t="shared" si="29"/>
        <v>1657.9317119480654</v>
      </c>
      <c r="Q456" s="215" cm="1">
        <f t="array" ref="Q456">IF(P456="-",0,P456/(1+'General inputs'!$H$32)^IFERROR(INDEX('MP Calculations'!$C$40:$C$130,MATCH(F456,'MP Calculations'!$D$40:$D$130,0),0),-1))</f>
        <v>2949.2711602308073</v>
      </c>
      <c r="R456" s="207">
        <f t="shared" si="33"/>
        <v>2009</v>
      </c>
      <c r="S456" s="215">
        <f>IF(P456="-",0,P456/(1+'General inputs'!$H$32)^(R456-2023))</f>
        <v>2949.2711602308073</v>
      </c>
    </row>
    <row r="457" spans="3:19">
      <c r="C457" s="159"/>
      <c r="D457" s="165" t="s">
        <v>284</v>
      </c>
      <c r="E457" s="161">
        <v>39980</v>
      </c>
      <c r="F457" s="172" t="str">
        <f t="shared" si="28"/>
        <v>2008-09</v>
      </c>
      <c r="G457" s="68"/>
      <c r="H457" s="167" t="s">
        <v>280</v>
      </c>
      <c r="I457" s="173">
        <v>21853.086195380012</v>
      </c>
      <c r="J457" s="168">
        <f>IFERROR(MIN('MP Calculations'!$E$30/I457,1),"-")</f>
        <v>0.32927792945511891</v>
      </c>
      <c r="K457" s="12"/>
      <c r="L457" s="159">
        <v>1.7015849999999999</v>
      </c>
      <c r="M457" s="159" t="s">
        <v>293</v>
      </c>
      <c r="N457" s="159">
        <v>726</v>
      </c>
      <c r="O457" s="185">
        <f t="shared" si="32"/>
        <v>1235.3507099999999</v>
      </c>
      <c r="P457" s="215">
        <f t="shared" si="29"/>
        <v>406.77372393971103</v>
      </c>
      <c r="Q457" s="215" cm="1">
        <f t="array" ref="Q457">IF(P457="-",0,P457/(1+'General inputs'!$H$32)^IFERROR(INDEX('MP Calculations'!$C$40:$C$130,MATCH(F457,'MP Calculations'!$D$40:$D$130,0),0),-1))</f>
        <v>723.60399653942909</v>
      </c>
      <c r="R457" s="207">
        <f t="shared" si="33"/>
        <v>2009</v>
      </c>
      <c r="S457" s="215">
        <f>IF(P457="-",0,P457/(1+'General inputs'!$H$32)^(R457-2023))</f>
        <v>723.60399653942909</v>
      </c>
    </row>
    <row r="458" spans="3:19">
      <c r="C458" s="159"/>
      <c r="D458" s="165" t="s">
        <v>282</v>
      </c>
      <c r="E458" s="161">
        <v>39980</v>
      </c>
      <c r="F458" s="172" t="str">
        <f t="shared" si="28"/>
        <v>2008-09</v>
      </c>
      <c r="G458" s="68"/>
      <c r="H458" s="167" t="s">
        <v>280</v>
      </c>
      <c r="I458" s="173">
        <v>21853.086195380012</v>
      </c>
      <c r="J458" s="168">
        <f>IFERROR(MIN('MP Calculations'!$E$30/I458,1),"-")</f>
        <v>0.32927792945511891</v>
      </c>
      <c r="K458" s="12"/>
      <c r="L458" s="159">
        <v>0.48227199999999998</v>
      </c>
      <c r="M458" s="159" t="s">
        <v>293</v>
      </c>
      <c r="N458" s="159">
        <v>511</v>
      </c>
      <c r="O458" s="185">
        <f t="shared" si="32"/>
        <v>246.44099199999999</v>
      </c>
      <c r="P458" s="215">
        <f t="shared" si="29"/>
        <v>81.147579578625525</v>
      </c>
      <c r="Q458" s="215" cm="1">
        <f t="array" ref="Q458">IF(P458="-",0,P458/(1+'General inputs'!$H$32)^IFERROR(INDEX('MP Calculations'!$C$40:$C$130,MATCH(F458,'MP Calculations'!$D$40:$D$130,0),0),-1))</f>
        <v>144.35227606121788</v>
      </c>
      <c r="R458" s="207">
        <f t="shared" si="33"/>
        <v>2009</v>
      </c>
      <c r="S458" s="215">
        <f>IF(P458="-",0,P458/(1+'General inputs'!$H$32)^(R458-2023))</f>
        <v>144.35227606121788</v>
      </c>
    </row>
    <row r="459" spans="3:19">
      <c r="C459" s="159"/>
      <c r="D459" s="165" t="s">
        <v>284</v>
      </c>
      <c r="E459" s="161">
        <v>39980</v>
      </c>
      <c r="F459" s="172" t="str">
        <f t="shared" si="28"/>
        <v>2008-09</v>
      </c>
      <c r="G459" s="68"/>
      <c r="H459" s="167" t="s">
        <v>280</v>
      </c>
      <c r="I459" s="173">
        <v>21853.086195380012</v>
      </c>
      <c r="J459" s="168">
        <f>IFERROR(MIN('MP Calculations'!$E$30/I459,1),"-")</f>
        <v>0.32927792945511891</v>
      </c>
      <c r="K459" s="12"/>
      <c r="L459" s="159">
        <v>208.37790200000001</v>
      </c>
      <c r="M459" s="159" t="s">
        <v>293</v>
      </c>
      <c r="N459" s="159">
        <v>726</v>
      </c>
      <c r="O459" s="185">
        <f t="shared" si="32"/>
        <v>151282.356852</v>
      </c>
      <c r="P459" s="215">
        <f t="shared" si="29"/>
        <v>49813.94122731698</v>
      </c>
      <c r="Q459" s="215" cm="1">
        <f t="array" ref="Q459">IF(P459="-",0,P459/(1+'General inputs'!$H$32)^IFERROR(INDEX('MP Calculations'!$C$40:$C$130,MATCH(F459,'MP Calculations'!$D$40:$D$130,0),0),-1))</f>
        <v>88613.31210471502</v>
      </c>
      <c r="R459" s="207">
        <f t="shared" si="33"/>
        <v>2009</v>
      </c>
      <c r="S459" s="215">
        <f>IF(P459="-",0,P459/(1+'General inputs'!$H$32)^(R459-2023))</f>
        <v>88613.31210471502</v>
      </c>
    </row>
    <row r="460" spans="3:19">
      <c r="C460" s="159"/>
      <c r="D460" s="165" t="s">
        <v>321</v>
      </c>
      <c r="E460" s="161">
        <v>40483</v>
      </c>
      <c r="F460" s="172" t="str">
        <f t="shared" si="28"/>
        <v>2010-11</v>
      </c>
      <c r="G460" s="68"/>
      <c r="H460" s="167" t="s">
        <v>280</v>
      </c>
      <c r="I460" s="173">
        <v>21853.086195380012</v>
      </c>
      <c r="J460" s="168">
        <f>IFERROR(MIN('MP Calculations'!$E$30/I460,1),"-")</f>
        <v>0.32927792945511891</v>
      </c>
      <c r="K460" s="12"/>
      <c r="L460" s="159">
        <v>1</v>
      </c>
      <c r="M460" s="159" t="s">
        <v>294</v>
      </c>
      <c r="N460" s="159">
        <v>3539.5</v>
      </c>
      <c r="O460" s="185">
        <f t="shared" si="32"/>
        <v>3539.5</v>
      </c>
      <c r="P460" s="215">
        <f t="shared" si="29"/>
        <v>1165.4792313063933</v>
      </c>
      <c r="Q460" s="215" cm="1">
        <f t="array" ref="Q460">IF(P460="-",0,P460/(1+'General inputs'!$H$32)^IFERROR(INDEX('MP Calculations'!$C$40:$C$130,MATCH(F460,'MP Calculations'!$D$40:$D$130,0),0),-1))</f>
        <v>1909.489024356611</v>
      </c>
      <c r="R460" s="207">
        <f t="shared" si="33"/>
        <v>2010</v>
      </c>
      <c r="S460" s="215">
        <f>IF(P460="-",0,P460/(1+'General inputs'!$H$32)^(R460-2023))</f>
        <v>1989.6875633795889</v>
      </c>
    </row>
    <row r="461" spans="3:19">
      <c r="C461" s="159"/>
      <c r="D461" s="165" t="s">
        <v>320</v>
      </c>
      <c r="E461" s="161">
        <v>40483</v>
      </c>
      <c r="F461" s="172" t="str">
        <f t="shared" si="28"/>
        <v>2010-11</v>
      </c>
      <c r="G461" s="68"/>
      <c r="H461" s="167" t="s">
        <v>280</v>
      </c>
      <c r="I461" s="173">
        <v>21853.086195380012</v>
      </c>
      <c r="J461" s="168">
        <f>IFERROR(MIN('MP Calculations'!$E$30/I461,1),"-")</f>
        <v>0.32927792945511891</v>
      </c>
      <c r="K461" s="12"/>
      <c r="L461" s="159">
        <v>1</v>
      </c>
      <c r="M461" s="159" t="s">
        <v>294</v>
      </c>
      <c r="N461" s="159">
        <v>3420.19</v>
      </c>
      <c r="O461" s="185">
        <f t="shared" si="32"/>
        <v>3420.19</v>
      </c>
      <c r="P461" s="215">
        <f t="shared" si="29"/>
        <v>1126.1930815431031</v>
      </c>
      <c r="Q461" s="215" cm="1">
        <f t="array" ref="Q461">IF(P461="-",0,P461/(1+'General inputs'!$H$32)^IFERROR(INDEX('MP Calculations'!$C$40:$C$130,MATCH(F461,'MP Calculations'!$D$40:$D$130,0),0),-1))</f>
        <v>1845.1236802413439</v>
      </c>
      <c r="R461" s="207">
        <f t="shared" si="33"/>
        <v>2010</v>
      </c>
      <c r="S461" s="215">
        <f>IF(P461="-",0,P461/(1+'General inputs'!$H$32)^(R461-2023))</f>
        <v>1922.6188748114807</v>
      </c>
    </row>
    <row r="462" spans="3:19">
      <c r="C462" s="159"/>
      <c r="D462" s="165" t="s">
        <v>322</v>
      </c>
      <c r="E462" s="161">
        <v>40513</v>
      </c>
      <c r="F462" s="172" t="str">
        <f t="shared" si="28"/>
        <v>2010-11</v>
      </c>
      <c r="G462" s="68"/>
      <c r="H462" s="167" t="s">
        <v>280</v>
      </c>
      <c r="I462" s="173">
        <v>21853.086195380012</v>
      </c>
      <c r="J462" s="168">
        <f>IFERROR(MIN('MP Calculations'!$E$30/I462,1),"-")</f>
        <v>0.32927792945511891</v>
      </c>
      <c r="K462" s="12"/>
      <c r="L462" s="159">
        <v>1</v>
      </c>
      <c r="M462" s="159" t="s">
        <v>294</v>
      </c>
      <c r="N462" s="159">
        <v>36853.449999999997</v>
      </c>
      <c r="O462" s="185">
        <f t="shared" si="32"/>
        <v>36853.449999999997</v>
      </c>
      <c r="P462" s="215">
        <f t="shared" si="29"/>
        <v>12135.027709277751</v>
      </c>
      <c r="Q462" s="215" cm="1">
        <f t="array" ref="Q462">IF(P462="-",0,P462/(1+'General inputs'!$H$32)^IFERROR(INDEX('MP Calculations'!$C$40:$C$130,MATCH(F462,'MP Calculations'!$D$40:$D$130,0),0),-1))</f>
        <v>19881.694670059369</v>
      </c>
      <c r="R462" s="207">
        <f t="shared" si="33"/>
        <v>2010</v>
      </c>
      <c r="S462" s="215">
        <f>IF(P462="-",0,P462/(1+'General inputs'!$H$32)^(R462-2023))</f>
        <v>20716.725846201869</v>
      </c>
    </row>
    <row r="463" spans="3:19">
      <c r="C463" s="159"/>
      <c r="D463" s="165" t="s">
        <v>323</v>
      </c>
      <c r="E463" s="161">
        <v>40603</v>
      </c>
      <c r="F463" s="172" t="str">
        <f t="shared" si="28"/>
        <v>2010-11</v>
      </c>
      <c r="G463" s="68"/>
      <c r="H463" s="167" t="s">
        <v>280</v>
      </c>
      <c r="I463" s="173">
        <v>21853.086195380012</v>
      </c>
      <c r="J463" s="168">
        <f>IFERROR(MIN('MP Calculations'!$E$30/I463,1),"-")</f>
        <v>0.32927792945511891</v>
      </c>
      <c r="K463" s="12"/>
      <c r="L463" s="159">
        <v>1</v>
      </c>
      <c r="M463" s="159" t="s">
        <v>294</v>
      </c>
      <c r="N463" s="159">
        <v>9192.24</v>
      </c>
      <c r="O463" s="185">
        <f t="shared" si="32"/>
        <v>9192.24</v>
      </c>
      <c r="P463" s="215">
        <f t="shared" si="29"/>
        <v>3026.8017542545222</v>
      </c>
      <c r="Q463" s="215" cm="1">
        <f t="array" ref="Q463">IF(P463="-",0,P463/(1+'General inputs'!$H$32)^IFERROR(INDEX('MP Calculations'!$C$40:$C$130,MATCH(F463,'MP Calculations'!$D$40:$D$130,0),0),-1))</f>
        <v>4959.0285038146103</v>
      </c>
      <c r="R463" s="207">
        <f t="shared" si="33"/>
        <v>2011</v>
      </c>
      <c r="S463" s="215">
        <f>IF(P463="-",0,P463/(1+'General inputs'!$H$32)^(R463-2023))</f>
        <v>4959.0285038146103</v>
      </c>
    </row>
    <row r="464" spans="3:19">
      <c r="C464" s="159"/>
      <c r="D464" s="165" t="s">
        <v>283</v>
      </c>
      <c r="E464" s="161">
        <v>40703</v>
      </c>
      <c r="F464" s="172" t="str">
        <f t="shared" si="28"/>
        <v>2010-11</v>
      </c>
      <c r="G464" s="68"/>
      <c r="H464" s="167" t="s">
        <v>280</v>
      </c>
      <c r="I464" s="173">
        <v>21853.086195380012</v>
      </c>
      <c r="J464" s="168">
        <f>IFERROR(MIN('MP Calculations'!$E$30/I464,1),"-")</f>
        <v>0.32927792945511891</v>
      </c>
      <c r="K464" s="12"/>
      <c r="L464" s="159">
        <v>0.58960400000000002</v>
      </c>
      <c r="M464" s="159" t="s">
        <v>293</v>
      </c>
      <c r="N464" s="159">
        <v>350</v>
      </c>
      <c r="O464" s="185">
        <f t="shared" si="32"/>
        <v>206.3614</v>
      </c>
      <c r="P464" s="215">
        <f t="shared" si="29"/>
        <v>67.950254511459576</v>
      </c>
      <c r="Q464" s="215" cm="1">
        <f t="array" ref="Q464">IF(P464="-",0,P464/(1+'General inputs'!$H$32)^IFERROR(INDEX('MP Calculations'!$C$40:$C$130,MATCH(F464,'MP Calculations'!$D$40:$D$130,0),0),-1))</f>
        <v>111.32782267293808</v>
      </c>
      <c r="R464" s="207">
        <f t="shared" si="33"/>
        <v>2011</v>
      </c>
      <c r="S464" s="215">
        <f>IF(P464="-",0,P464/(1+'General inputs'!$H$32)^(R464-2023))</f>
        <v>111.32782267293808</v>
      </c>
    </row>
    <row r="465" spans="3:19">
      <c r="C465" s="159"/>
      <c r="D465" s="165" t="s">
        <v>289</v>
      </c>
      <c r="E465" s="161">
        <v>40703</v>
      </c>
      <c r="F465" s="172" t="str">
        <f t="shared" si="28"/>
        <v>2010-11</v>
      </c>
      <c r="G465" s="68"/>
      <c r="H465" s="167" t="s">
        <v>280</v>
      </c>
      <c r="I465" s="173">
        <v>21853.086195380012</v>
      </c>
      <c r="J465" s="168">
        <f>IFERROR(MIN('MP Calculations'!$E$30/I465,1),"-")</f>
        <v>0.32927792945511891</v>
      </c>
      <c r="K465" s="12"/>
      <c r="L465" s="159">
        <v>0.55677699999999997</v>
      </c>
      <c r="M465" s="159" t="s">
        <v>293</v>
      </c>
      <c r="N465" s="159">
        <v>940</v>
      </c>
      <c r="O465" s="185">
        <f t="shared" si="32"/>
        <v>523.37037999999995</v>
      </c>
      <c r="P465" s="215">
        <f t="shared" si="29"/>
        <v>172.33431506453877</v>
      </c>
      <c r="Q465" s="215" cm="1">
        <f t="array" ref="Q465">IF(P465="-",0,P465/(1+'General inputs'!$H$32)^IFERROR(INDEX('MP Calculations'!$C$40:$C$130,MATCH(F465,'MP Calculations'!$D$40:$D$130,0),0),-1))</f>
        <v>282.34778818571795</v>
      </c>
      <c r="R465" s="207">
        <f t="shared" si="33"/>
        <v>2011</v>
      </c>
      <c r="S465" s="215">
        <f>IF(P465="-",0,P465/(1+'General inputs'!$H$32)^(R465-2023))</f>
        <v>282.34778818571795</v>
      </c>
    </row>
    <row r="466" spans="3:19">
      <c r="C466" s="159"/>
      <c r="D466" s="165" t="s">
        <v>289</v>
      </c>
      <c r="E466" s="161">
        <v>40703</v>
      </c>
      <c r="F466" s="172" t="str">
        <f t="shared" si="28"/>
        <v>2010-11</v>
      </c>
      <c r="G466" s="68"/>
      <c r="H466" s="167" t="s">
        <v>280</v>
      </c>
      <c r="I466" s="173">
        <v>21853.086195380012</v>
      </c>
      <c r="J466" s="168">
        <f>IFERROR(MIN('MP Calculations'!$E$30/I466,1),"-")</f>
        <v>0.32927792945511891</v>
      </c>
      <c r="K466" s="12"/>
      <c r="L466" s="159">
        <v>0.74091399999999996</v>
      </c>
      <c r="M466" s="159" t="s">
        <v>293</v>
      </c>
      <c r="N466" s="159">
        <v>940</v>
      </c>
      <c r="O466" s="185">
        <f t="shared" si="32"/>
        <v>696.45916</v>
      </c>
      <c r="P466" s="215">
        <f t="shared" si="29"/>
        <v>229.32863015485137</v>
      </c>
      <c r="Q466" s="215" cm="1">
        <f t="array" ref="Q466">IF(P466="-",0,P466/(1+'General inputs'!$H$32)^IFERROR(INDEX('MP Calculations'!$C$40:$C$130,MATCH(F466,'MP Calculations'!$D$40:$D$130,0),0),-1))</f>
        <v>375.72570191626636</v>
      </c>
      <c r="R466" s="207">
        <f t="shared" si="33"/>
        <v>2011</v>
      </c>
      <c r="S466" s="215">
        <f>IF(P466="-",0,P466/(1+'General inputs'!$H$32)^(R466-2023))</f>
        <v>375.72570191626636</v>
      </c>
    </row>
    <row r="467" spans="3:19">
      <c r="C467" s="159"/>
      <c r="D467" s="165" t="s">
        <v>324</v>
      </c>
      <c r="E467" s="161">
        <v>40703</v>
      </c>
      <c r="F467" s="172" t="str">
        <f t="shared" si="28"/>
        <v>2010-11</v>
      </c>
      <c r="G467" s="68"/>
      <c r="H467" s="167" t="s">
        <v>280</v>
      </c>
      <c r="I467" s="173">
        <v>21853.086195380012</v>
      </c>
      <c r="J467" s="168">
        <f>IFERROR(MIN('MP Calculations'!$E$30/I467,1),"-")</f>
        <v>0.32927792945511891</v>
      </c>
      <c r="K467" s="12"/>
      <c r="L467" s="159">
        <v>5.6639410000000003</v>
      </c>
      <c r="M467" s="159" t="s">
        <v>293</v>
      </c>
      <c r="N467" s="159">
        <v>548</v>
      </c>
      <c r="O467" s="185">
        <f t="shared" si="32"/>
        <v>3103.8396680000001</v>
      </c>
      <c r="P467" s="215">
        <f t="shared" si="29"/>
        <v>1022.0258992397037</v>
      </c>
      <c r="Q467" s="215" cm="1">
        <f t="array" ref="Q467">IF(P467="-",0,P467/(1+'General inputs'!$H$32)^IFERROR(INDEX('MP Calculations'!$C$40:$C$130,MATCH(F467,'MP Calculations'!$D$40:$D$130,0),0),-1))</f>
        <v>1674.4590420705374</v>
      </c>
      <c r="R467" s="207">
        <f t="shared" si="33"/>
        <v>2011</v>
      </c>
      <c r="S467" s="215">
        <f>IF(P467="-",0,P467/(1+'General inputs'!$H$32)^(R467-2023))</f>
        <v>1674.4590420705374</v>
      </c>
    </row>
    <row r="468" spans="3:19">
      <c r="C468" s="159"/>
      <c r="D468" s="165" t="s">
        <v>289</v>
      </c>
      <c r="E468" s="161">
        <v>40703</v>
      </c>
      <c r="F468" s="172" t="str">
        <f t="shared" si="28"/>
        <v>2010-11</v>
      </c>
      <c r="G468" s="68"/>
      <c r="H468" s="167" t="s">
        <v>280</v>
      </c>
      <c r="I468" s="173">
        <v>21853.086195380012</v>
      </c>
      <c r="J468" s="168">
        <f>IFERROR(MIN('MP Calculations'!$E$30/I468,1),"-")</f>
        <v>0.32927792945511891</v>
      </c>
      <c r="K468" s="12"/>
      <c r="L468" s="159">
        <v>2.927864</v>
      </c>
      <c r="M468" s="159" t="s">
        <v>293</v>
      </c>
      <c r="N468" s="159">
        <v>940</v>
      </c>
      <c r="O468" s="185">
        <f t="shared" si="32"/>
        <v>2752.1921600000001</v>
      </c>
      <c r="P468" s="215">
        <f t="shared" si="29"/>
        <v>906.23613590741138</v>
      </c>
      <c r="Q468" s="215" cm="1">
        <f t="array" ref="Q468">IF(P468="-",0,P468/(1+'General inputs'!$H$32)^IFERROR(INDEX('MP Calculations'!$C$40:$C$130,MATCH(F468,'MP Calculations'!$D$40:$D$130,0),0),-1))</f>
        <v>1484.7522877356446</v>
      </c>
      <c r="R468" s="207">
        <f t="shared" si="33"/>
        <v>2011</v>
      </c>
      <c r="S468" s="215">
        <f>IF(P468="-",0,P468/(1+'General inputs'!$H$32)^(R468-2023))</f>
        <v>1484.7522877356446</v>
      </c>
    </row>
    <row r="469" spans="3:19">
      <c r="C469" s="159"/>
      <c r="D469" s="165" t="s">
        <v>289</v>
      </c>
      <c r="E469" s="161">
        <v>40703</v>
      </c>
      <c r="F469" s="172" t="str">
        <f t="shared" si="28"/>
        <v>2010-11</v>
      </c>
      <c r="G469" s="68"/>
      <c r="H469" s="167" t="s">
        <v>280</v>
      </c>
      <c r="I469" s="173">
        <v>21853.086195380012</v>
      </c>
      <c r="J469" s="168">
        <f>IFERROR(MIN('MP Calculations'!$E$30/I469,1),"-")</f>
        <v>0.32927792945511891</v>
      </c>
      <c r="K469" s="12"/>
      <c r="L469" s="159">
        <v>421.74696799999998</v>
      </c>
      <c r="M469" s="159" t="s">
        <v>293</v>
      </c>
      <c r="N469" s="159">
        <v>940</v>
      </c>
      <c r="O469" s="185">
        <f t="shared" si="32"/>
        <v>396442.14992</v>
      </c>
      <c r="P469" s="215">
        <f t="shared" si="29"/>
        <v>130539.65027439344</v>
      </c>
      <c r="Q469" s="215" cm="1">
        <f t="array" ref="Q469">IF(P469="-",0,P469/(1+'General inputs'!$H$32)^IFERROR(INDEX('MP Calculations'!$C$40:$C$130,MATCH(F469,'MP Calculations'!$D$40:$D$130,0),0),-1))</f>
        <v>213872.56224454814</v>
      </c>
      <c r="R469" s="207">
        <f t="shared" si="33"/>
        <v>2011</v>
      </c>
      <c r="S469" s="215">
        <f>IF(P469="-",0,P469/(1+'General inputs'!$H$32)^(R469-2023))</f>
        <v>213872.56224454814</v>
      </c>
    </row>
    <row r="470" spans="3:19">
      <c r="C470" s="159"/>
      <c r="D470" s="165" t="s">
        <v>329</v>
      </c>
      <c r="E470" s="161">
        <v>40878</v>
      </c>
      <c r="F470" s="172" t="str">
        <f t="shared" ref="F470:F533" si="34">IF(E470="","-",IF(OR(E470&lt;$E$15,E470&gt;$E$16),"ERROR - date outside of range",IF(MONTH(E470)&gt;=7,YEAR(E470)&amp;"-"&amp;IF(YEAR(E470)=1999,"00",IF(AND(YEAR(E470)&gt;=2000,YEAR(E470)&lt;2009),"0","")&amp;RIGHT(YEAR(E470),2)+1),RIGHT(YEAR(E470),4)-1&amp;"-"&amp;RIGHT(YEAR(E470),2))))</f>
        <v>2011-12</v>
      </c>
      <c r="G470" s="68"/>
      <c r="H470" s="167" t="s">
        <v>280</v>
      </c>
      <c r="I470" s="173">
        <v>21853.086195380012</v>
      </c>
      <c r="J470" s="168">
        <f>IFERROR(MIN('MP Calculations'!$E$30/I470,1),"-")</f>
        <v>0.32927792945511891</v>
      </c>
      <c r="K470" s="12"/>
      <c r="L470" s="159">
        <v>1</v>
      </c>
      <c r="M470" s="159" t="s">
        <v>294</v>
      </c>
      <c r="N470" s="159">
        <v>1087553.7</v>
      </c>
      <c r="O470" s="185">
        <f t="shared" si="32"/>
        <v>1087553.7</v>
      </c>
      <c r="P470" s="215">
        <f t="shared" si="29"/>
        <v>358107.43050725356</v>
      </c>
      <c r="Q470" s="215" cm="1">
        <f t="array" ref="Q470">IF(P470="-",0,P470/(1+'General inputs'!$H$32)^IFERROR(INDEX('MP Calculations'!$C$40:$C$130,MATCH(F470,'MP Calculations'!$D$40:$D$130,0),0),-1))</f>
        <v>563064.62209151569</v>
      </c>
      <c r="R470" s="207">
        <f t="shared" si="33"/>
        <v>2011</v>
      </c>
      <c r="S470" s="215">
        <f>IF(P470="-",0,P470/(1+'General inputs'!$H$32)^(R470-2023))</f>
        <v>586713.33621935942</v>
      </c>
    </row>
    <row r="471" spans="3:19">
      <c r="C471" s="159"/>
      <c r="D471" s="165" t="s">
        <v>328</v>
      </c>
      <c r="E471" s="161">
        <v>40878</v>
      </c>
      <c r="F471" s="172" t="str">
        <f t="shared" si="34"/>
        <v>2011-12</v>
      </c>
      <c r="G471" s="68"/>
      <c r="H471" s="167" t="s">
        <v>280</v>
      </c>
      <c r="I471" s="173">
        <v>21853.086195380012</v>
      </c>
      <c r="J471" s="168">
        <f>IFERROR(MIN('MP Calculations'!$E$30/I471,1),"-")</f>
        <v>0.32927792945511891</v>
      </c>
      <c r="K471" s="12"/>
      <c r="L471" s="159">
        <v>1</v>
      </c>
      <c r="M471" s="159" t="s">
        <v>294</v>
      </c>
      <c r="N471" s="159">
        <v>137787.70000000001</v>
      </c>
      <c r="O471" s="185">
        <f t="shared" si="32"/>
        <v>137787.70000000001</v>
      </c>
      <c r="P471" s="215">
        <f t="shared" ref="P471:P534" si="35">IF(O471="-","-",IF(OR(E471&lt;$E$15,E471&gt;$E$16),0,O471*J471))</f>
        <v>45370.448560383091</v>
      </c>
      <c r="Q471" s="215" cm="1">
        <f t="array" ref="Q471">IF(P471="-",0,P471/(1+'General inputs'!$H$32)^IFERROR(INDEX('MP Calculations'!$C$40:$C$130,MATCH(F471,'MP Calculations'!$D$40:$D$130,0),0),-1))</f>
        <v>71337.515774493848</v>
      </c>
      <c r="R471" s="207">
        <f t="shared" si="33"/>
        <v>2011</v>
      </c>
      <c r="S471" s="215">
        <f>IF(P471="-",0,P471/(1+'General inputs'!$H$32)^(R471-2023))</f>
        <v>74333.691437022586</v>
      </c>
    </row>
    <row r="472" spans="3:19">
      <c r="C472" s="159"/>
      <c r="D472" s="165" t="s">
        <v>325</v>
      </c>
      <c r="E472" s="161">
        <v>40878</v>
      </c>
      <c r="F472" s="172" t="str">
        <f t="shared" si="34"/>
        <v>2011-12</v>
      </c>
      <c r="G472" s="68"/>
      <c r="H472" s="167" t="s">
        <v>280</v>
      </c>
      <c r="I472" s="173">
        <v>21853.086195380012</v>
      </c>
      <c r="J472" s="168">
        <f>IFERROR(MIN('MP Calculations'!$E$30/I472,1),"-")</f>
        <v>0.32927792945511891</v>
      </c>
      <c r="K472" s="12"/>
      <c r="L472" s="159">
        <v>1</v>
      </c>
      <c r="M472" s="159" t="s">
        <v>294</v>
      </c>
      <c r="N472" s="159">
        <v>67486.39</v>
      </c>
      <c r="O472" s="185">
        <f t="shared" si="32"/>
        <v>67486.39</v>
      </c>
      <c r="P472" s="215">
        <f t="shared" si="35"/>
        <v>22221.778765600644</v>
      </c>
      <c r="Q472" s="215" cm="1">
        <f t="array" ref="Q472">IF(P472="-",0,P472/(1+'General inputs'!$H$32)^IFERROR(INDEX('MP Calculations'!$C$40:$C$130,MATCH(F472,'MP Calculations'!$D$40:$D$130,0),0),-1))</f>
        <v>34940.066574800534</v>
      </c>
      <c r="R472" s="207">
        <f t="shared" si="33"/>
        <v>2011</v>
      </c>
      <c r="S472" s="215">
        <f>IF(P472="-",0,P472/(1+'General inputs'!$H$32)^(R472-2023))</f>
        <v>36407.549370942157</v>
      </c>
    </row>
    <row r="473" spans="3:19">
      <c r="C473" s="159"/>
      <c r="D473" s="165" t="s">
        <v>327</v>
      </c>
      <c r="E473" s="161">
        <v>40878</v>
      </c>
      <c r="F473" s="172" t="str">
        <f t="shared" si="34"/>
        <v>2011-12</v>
      </c>
      <c r="G473" s="68"/>
      <c r="H473" s="167" t="s">
        <v>280</v>
      </c>
      <c r="I473" s="173">
        <v>21853.086195380012</v>
      </c>
      <c r="J473" s="168">
        <f>IFERROR(MIN('MP Calculations'!$E$30/I473,1),"-")</f>
        <v>0.32927792945511891</v>
      </c>
      <c r="K473" s="12"/>
      <c r="L473" s="159">
        <v>1</v>
      </c>
      <c r="M473" s="159" t="s">
        <v>294</v>
      </c>
      <c r="N473" s="159">
        <v>51500.04</v>
      </c>
      <c r="O473" s="185">
        <f t="shared" ref="O473:O500" si="36">IF(N473="","-",L473*N473)</f>
        <v>51500.04</v>
      </c>
      <c r="P473" s="215">
        <f t="shared" si="35"/>
        <v>16957.826538055804</v>
      </c>
      <c r="Q473" s="215" cm="1">
        <f t="array" ref="Q473">IF(P473="-",0,P473/(1+'General inputs'!$H$32)^IFERROR(INDEX('MP Calculations'!$C$40:$C$130,MATCH(F473,'MP Calculations'!$D$40:$D$130,0),0),-1))</f>
        <v>26663.37355139148</v>
      </c>
      <c r="R473" s="207">
        <f t="shared" ref="R473:R536" si="37">YEAR(E473)</f>
        <v>2011</v>
      </c>
      <c r="S473" s="215">
        <f>IF(P473="-",0,P473/(1+'General inputs'!$H$32)^(R473-2023))</f>
        <v>27783.235240549922</v>
      </c>
    </row>
    <row r="474" spans="3:19">
      <c r="C474" s="159"/>
      <c r="D474" s="165" t="s">
        <v>326</v>
      </c>
      <c r="E474" s="161">
        <v>40878</v>
      </c>
      <c r="F474" s="172" t="str">
        <f t="shared" si="34"/>
        <v>2011-12</v>
      </c>
      <c r="G474" s="68"/>
      <c r="H474" s="167" t="s">
        <v>280</v>
      </c>
      <c r="I474" s="173">
        <v>21853.086195380012</v>
      </c>
      <c r="J474" s="168">
        <f>IFERROR(MIN('MP Calculations'!$E$30/I474,1),"-")</f>
        <v>0.32927792945511891</v>
      </c>
      <c r="K474" s="12"/>
      <c r="L474" s="159">
        <v>1</v>
      </c>
      <c r="M474" s="159" t="s">
        <v>294</v>
      </c>
      <c r="N474" s="159">
        <v>16714.509999999998</v>
      </c>
      <c r="O474" s="185">
        <f t="shared" si="36"/>
        <v>16714.509999999998</v>
      </c>
      <c r="P474" s="215">
        <f t="shared" si="35"/>
        <v>5503.7192446568788</v>
      </c>
      <c r="Q474" s="215" cm="1">
        <f t="array" ref="Q474">IF(P474="-",0,P474/(1+'General inputs'!$H$32)^IFERROR(INDEX('MP Calculations'!$C$40:$C$130,MATCH(F474,'MP Calculations'!$D$40:$D$130,0),0),-1))</f>
        <v>8653.6869458444744</v>
      </c>
      <c r="R474" s="207">
        <f t="shared" si="37"/>
        <v>2011</v>
      </c>
      <c r="S474" s="215">
        <f>IF(P474="-",0,P474/(1+'General inputs'!$H$32)^(R474-2023))</f>
        <v>9017.1417975699424</v>
      </c>
    </row>
    <row r="475" spans="3:19">
      <c r="C475" s="159"/>
      <c r="D475" s="165" t="s">
        <v>330</v>
      </c>
      <c r="E475" s="161">
        <v>41004</v>
      </c>
      <c r="F475" s="172" t="str">
        <f t="shared" si="34"/>
        <v>2011-12</v>
      </c>
      <c r="G475" s="68"/>
      <c r="H475" s="167" t="s">
        <v>280</v>
      </c>
      <c r="I475" s="173">
        <v>21853.086195380012</v>
      </c>
      <c r="J475" s="168">
        <f>IFERROR(MIN('MP Calculations'!$E$30/I475,1),"-")</f>
        <v>0.32927792945511891</v>
      </c>
      <c r="K475" s="12"/>
      <c r="L475" s="159">
        <v>1</v>
      </c>
      <c r="M475" s="159" t="s">
        <v>294</v>
      </c>
      <c r="N475" s="159">
        <v>168023.57</v>
      </c>
      <c r="O475" s="185">
        <f t="shared" si="36"/>
        <v>168023.57</v>
      </c>
      <c r="P475" s="215">
        <f t="shared" si="35"/>
        <v>55326.453229257233</v>
      </c>
      <c r="Q475" s="215" cm="1">
        <f t="array" ref="Q475">IF(P475="-",0,P475/(1+'General inputs'!$H$32)^IFERROR(INDEX('MP Calculations'!$C$40:$C$130,MATCH(F475,'MP Calculations'!$D$40:$D$130,0),0),-1))</f>
        <v>86991.684129728339</v>
      </c>
      <c r="R475" s="207">
        <f t="shared" si="37"/>
        <v>2012</v>
      </c>
      <c r="S475" s="215">
        <f>IF(P475="-",0,P475/(1+'General inputs'!$H$32)^(R475-2023))</f>
        <v>86991.684129728339</v>
      </c>
    </row>
    <row r="476" spans="3:19">
      <c r="C476" s="159"/>
      <c r="D476" s="165" t="s">
        <v>333</v>
      </c>
      <c r="E476" s="161">
        <v>41004</v>
      </c>
      <c r="F476" s="172" t="str">
        <f t="shared" si="34"/>
        <v>2011-12</v>
      </c>
      <c r="G476" s="68"/>
      <c r="H476" s="167" t="s">
        <v>280</v>
      </c>
      <c r="I476" s="173">
        <v>21853.086195380012</v>
      </c>
      <c r="J476" s="168">
        <f>IFERROR(MIN('MP Calculations'!$E$30/I476,1),"-")</f>
        <v>0.32927792945511891</v>
      </c>
      <c r="K476" s="12"/>
      <c r="L476" s="159">
        <v>1</v>
      </c>
      <c r="M476" s="159" t="s">
        <v>294</v>
      </c>
      <c r="N476" s="159">
        <v>13162.33</v>
      </c>
      <c r="O476" s="185">
        <f t="shared" si="36"/>
        <v>13162.33</v>
      </c>
      <c r="P476" s="215">
        <f t="shared" si="35"/>
        <v>4334.0647692049952</v>
      </c>
      <c r="Q476" s="215" cm="1">
        <f t="array" ref="Q476">IF(P476="-",0,P476/(1+'General inputs'!$H$32)^IFERROR(INDEX('MP Calculations'!$C$40:$C$130,MATCH(F476,'MP Calculations'!$D$40:$D$130,0),0),-1))</f>
        <v>6814.5990099558485</v>
      </c>
      <c r="R476" s="207">
        <f t="shared" si="37"/>
        <v>2012</v>
      </c>
      <c r="S476" s="215">
        <f>IF(P476="-",0,P476/(1+'General inputs'!$H$32)^(R476-2023))</f>
        <v>6814.5990099558485</v>
      </c>
    </row>
    <row r="477" spans="3:19">
      <c r="C477" s="159"/>
      <c r="D477" s="165" t="s">
        <v>334</v>
      </c>
      <c r="E477" s="161">
        <v>41004</v>
      </c>
      <c r="F477" s="172" t="str">
        <f t="shared" si="34"/>
        <v>2011-12</v>
      </c>
      <c r="G477" s="68"/>
      <c r="H477" s="167" t="s">
        <v>280</v>
      </c>
      <c r="I477" s="173">
        <v>21853.086195380012</v>
      </c>
      <c r="J477" s="168">
        <f>IFERROR(MIN('MP Calculations'!$E$30/I477,1),"-")</f>
        <v>0.32927792945511891</v>
      </c>
      <c r="K477" s="12"/>
      <c r="L477" s="159">
        <v>1</v>
      </c>
      <c r="M477" s="159" t="s">
        <v>294</v>
      </c>
      <c r="N477" s="159">
        <v>13162.33</v>
      </c>
      <c r="O477" s="185">
        <f t="shared" si="36"/>
        <v>13162.33</v>
      </c>
      <c r="P477" s="215">
        <f t="shared" si="35"/>
        <v>4334.0647692049952</v>
      </c>
      <c r="Q477" s="215" cm="1">
        <f t="array" ref="Q477">IF(P477="-",0,P477/(1+'General inputs'!$H$32)^IFERROR(INDEX('MP Calculations'!$C$40:$C$130,MATCH(F477,'MP Calculations'!$D$40:$D$130,0),0),-1))</f>
        <v>6814.5990099558485</v>
      </c>
      <c r="R477" s="207">
        <f t="shared" si="37"/>
        <v>2012</v>
      </c>
      <c r="S477" s="215">
        <f>IF(P477="-",0,P477/(1+'General inputs'!$H$32)^(R477-2023))</f>
        <v>6814.5990099558485</v>
      </c>
    </row>
    <row r="478" spans="3:19">
      <c r="C478" s="159"/>
      <c r="D478" s="165" t="s">
        <v>332</v>
      </c>
      <c r="E478" s="161">
        <v>41004</v>
      </c>
      <c r="F478" s="172" t="str">
        <f t="shared" si="34"/>
        <v>2011-12</v>
      </c>
      <c r="G478" s="68"/>
      <c r="H478" s="167" t="s">
        <v>280</v>
      </c>
      <c r="I478" s="173">
        <v>21853.086195380012</v>
      </c>
      <c r="J478" s="168">
        <f>IFERROR(MIN('MP Calculations'!$E$30/I478,1),"-")</f>
        <v>0.32927792945511891</v>
      </c>
      <c r="K478" s="12"/>
      <c r="L478" s="159">
        <v>1</v>
      </c>
      <c r="M478" s="159" t="s">
        <v>294</v>
      </c>
      <c r="N478" s="159">
        <v>20122.57</v>
      </c>
      <c r="O478" s="185">
        <f t="shared" si="36"/>
        <v>20122.57</v>
      </c>
      <c r="P478" s="215">
        <f t="shared" si="35"/>
        <v>6625.9181849156921</v>
      </c>
      <c r="Q478" s="215" cm="1">
        <f t="array" ref="Q478">IF(P478="-",0,P478/(1+'General inputs'!$H$32)^IFERROR(INDEX('MP Calculations'!$C$40:$C$130,MATCH(F478,'MP Calculations'!$D$40:$D$130,0),0),-1))</f>
        <v>10418.15891257606</v>
      </c>
      <c r="R478" s="207">
        <f t="shared" si="37"/>
        <v>2012</v>
      </c>
      <c r="S478" s="215">
        <f>IF(P478="-",0,P478/(1+'General inputs'!$H$32)^(R478-2023))</f>
        <v>10418.15891257606</v>
      </c>
    </row>
    <row r="479" spans="3:19">
      <c r="C479" s="159"/>
      <c r="D479" s="165" t="s">
        <v>335</v>
      </c>
      <c r="E479" s="161">
        <v>41004</v>
      </c>
      <c r="F479" s="172" t="str">
        <f t="shared" si="34"/>
        <v>2011-12</v>
      </c>
      <c r="G479" s="68"/>
      <c r="H479" s="167" t="s">
        <v>280</v>
      </c>
      <c r="I479" s="173">
        <v>21853.086195380012</v>
      </c>
      <c r="J479" s="168">
        <f>IFERROR(MIN('MP Calculations'!$E$30/I479,1),"-")</f>
        <v>0.32927792945511891</v>
      </c>
      <c r="K479" s="12"/>
      <c r="L479" s="159">
        <v>1</v>
      </c>
      <c r="M479" s="159" t="s">
        <v>294</v>
      </c>
      <c r="N479" s="159">
        <v>69704.41</v>
      </c>
      <c r="O479" s="185">
        <f t="shared" si="36"/>
        <v>69704.41</v>
      </c>
      <c r="P479" s="215">
        <f t="shared" si="35"/>
        <v>22952.123798690685</v>
      </c>
      <c r="Q479" s="215" cm="1">
        <f t="array" ref="Q479">IF(P479="-",0,P479/(1+'General inputs'!$H$32)^IFERROR(INDEX('MP Calculations'!$C$40:$C$130,MATCH(F479,'MP Calculations'!$D$40:$D$130,0),0),-1))</f>
        <v>36088.413174229529</v>
      </c>
      <c r="R479" s="207">
        <f t="shared" si="37"/>
        <v>2012</v>
      </c>
      <c r="S479" s="215">
        <f>IF(P479="-",0,P479/(1+'General inputs'!$H$32)^(R479-2023))</f>
        <v>36088.413174229529</v>
      </c>
    </row>
    <row r="480" spans="3:19">
      <c r="C480" s="159"/>
      <c r="D480" s="165" t="s">
        <v>331</v>
      </c>
      <c r="E480" s="161">
        <v>41004</v>
      </c>
      <c r="F480" s="172" t="str">
        <f t="shared" si="34"/>
        <v>2011-12</v>
      </c>
      <c r="G480" s="68"/>
      <c r="H480" s="167" t="s">
        <v>280</v>
      </c>
      <c r="I480" s="173">
        <v>21853.086195380012</v>
      </c>
      <c r="J480" s="168">
        <f>IFERROR(MIN('MP Calculations'!$E$30/I480,1),"-")</f>
        <v>0.32927792945511891</v>
      </c>
      <c r="K480" s="12"/>
      <c r="L480" s="159">
        <v>1</v>
      </c>
      <c r="M480" s="159" t="s">
        <v>294</v>
      </c>
      <c r="N480" s="159">
        <v>16929.53</v>
      </c>
      <c r="O480" s="185">
        <f t="shared" si="36"/>
        <v>16929.53</v>
      </c>
      <c r="P480" s="215">
        <f t="shared" si="35"/>
        <v>5574.5205850483189</v>
      </c>
      <c r="Q480" s="215" cm="1">
        <f t="array" ref="Q480">IF(P480="-",0,P480/(1+'General inputs'!$H$32)^IFERROR(INDEX('MP Calculations'!$C$40:$C$130,MATCH(F480,'MP Calculations'!$D$40:$D$130,0),0),-1))</f>
        <v>8765.0103269723386</v>
      </c>
      <c r="R480" s="207">
        <f t="shared" si="37"/>
        <v>2012</v>
      </c>
      <c r="S480" s="215">
        <f>IF(P480="-",0,P480/(1+'General inputs'!$H$32)^(R480-2023))</f>
        <v>8765.0103269723386</v>
      </c>
    </row>
    <row r="481" spans="3:19">
      <c r="C481" s="159"/>
      <c r="D481" s="165" t="s">
        <v>336</v>
      </c>
      <c r="E481" s="161">
        <v>41004</v>
      </c>
      <c r="F481" s="172" t="str">
        <f t="shared" si="34"/>
        <v>2011-12</v>
      </c>
      <c r="G481" s="68"/>
      <c r="H481" s="167" t="s">
        <v>280</v>
      </c>
      <c r="I481" s="173">
        <v>21853.086195380012</v>
      </c>
      <c r="J481" s="168">
        <f>IFERROR(MIN('MP Calculations'!$E$30/I481,1),"-")</f>
        <v>0.32927792945511891</v>
      </c>
      <c r="K481" s="12"/>
      <c r="L481" s="159">
        <v>1</v>
      </c>
      <c r="M481" s="159" t="s">
        <v>294</v>
      </c>
      <c r="N481" s="159">
        <v>90856.17</v>
      </c>
      <c r="O481" s="185">
        <f t="shared" si="36"/>
        <v>90856.17</v>
      </c>
      <c r="P481" s="215">
        <f t="shared" si="35"/>
        <v>29916.931535822292</v>
      </c>
      <c r="Q481" s="215" cm="1">
        <f t="array" ref="Q481">IF(P481="-",0,P481/(1+'General inputs'!$H$32)^IFERROR(INDEX('MP Calculations'!$C$40:$C$130,MATCH(F481,'MP Calculations'!$D$40:$D$130,0),0),-1))</f>
        <v>47039.419778290037</v>
      </c>
      <c r="R481" s="207">
        <f t="shared" si="37"/>
        <v>2012</v>
      </c>
      <c r="S481" s="215">
        <f>IF(P481="-",0,P481/(1+'General inputs'!$H$32)^(R481-2023))</f>
        <v>47039.419778290037</v>
      </c>
    </row>
    <row r="482" spans="3:19">
      <c r="C482" s="159"/>
      <c r="D482" s="165" t="s">
        <v>337</v>
      </c>
      <c r="E482" s="161">
        <v>41564</v>
      </c>
      <c r="F482" s="172" t="str">
        <f t="shared" si="34"/>
        <v>2013-14</v>
      </c>
      <c r="G482" s="68"/>
      <c r="H482" s="167" t="s">
        <v>280</v>
      </c>
      <c r="I482" s="173">
        <v>21853.086195380012</v>
      </c>
      <c r="J482" s="168">
        <f>IFERROR(MIN('MP Calculations'!$E$30/I482,1),"-")</f>
        <v>0.32927792945511891</v>
      </c>
      <c r="K482" s="12"/>
      <c r="L482" s="159">
        <v>1</v>
      </c>
      <c r="M482" s="159" t="s">
        <v>294</v>
      </c>
      <c r="N482" s="159">
        <v>3326.95</v>
      </c>
      <c r="O482" s="185">
        <f t="shared" si="36"/>
        <v>3326.95</v>
      </c>
      <c r="P482" s="215">
        <f t="shared" si="35"/>
        <v>1095.4912074007077</v>
      </c>
      <c r="Q482" s="215" cm="1">
        <f t="array" ref="Q482">IF(P482="-",0,P482/(1+'General inputs'!$H$32)^IFERROR(INDEX('MP Calculations'!$C$40:$C$130,MATCH(F482,'MP Calculations'!$D$40:$D$130,0),0),-1))</f>
        <v>1586.4206957892909</v>
      </c>
      <c r="R482" s="207">
        <f t="shared" si="37"/>
        <v>2013</v>
      </c>
      <c r="S482" s="215">
        <f>IF(P482="-",0,P482/(1+'General inputs'!$H$32)^(R482-2023))</f>
        <v>1653.0503650124415</v>
      </c>
    </row>
    <row r="483" spans="3:19">
      <c r="C483" s="159"/>
      <c r="D483" s="165" t="s">
        <v>283</v>
      </c>
      <c r="E483" s="161">
        <v>41869</v>
      </c>
      <c r="F483" s="172" t="str">
        <f t="shared" si="34"/>
        <v>2014-15</v>
      </c>
      <c r="G483" s="68"/>
      <c r="H483" s="167" t="s">
        <v>280</v>
      </c>
      <c r="I483" s="173">
        <v>21853.086195380012</v>
      </c>
      <c r="J483" s="168">
        <f>IFERROR(MIN('MP Calculations'!$E$30/I483,1),"-")</f>
        <v>0.32927792945511891</v>
      </c>
      <c r="K483" s="12"/>
      <c r="L483" s="159">
        <v>0.30004799999999998</v>
      </c>
      <c r="M483" s="159" t="s">
        <v>293</v>
      </c>
      <c r="N483" s="159">
        <v>350</v>
      </c>
      <c r="O483" s="185">
        <f t="shared" si="36"/>
        <v>105.01679999999999</v>
      </c>
      <c r="P483" s="215">
        <f t="shared" si="35"/>
        <v>34.579714462002329</v>
      </c>
      <c r="Q483" s="215" cm="1">
        <f t="array" ref="Q483">IF(P483="-",0,P483/(1+'General inputs'!$H$32)^IFERROR(INDEX('MP Calculations'!$C$40:$C$130,MATCH(F483,'MP Calculations'!$D$40:$D$130,0),0),-1))</f>
        <v>48.057719090281928</v>
      </c>
      <c r="R483" s="207">
        <f t="shared" si="37"/>
        <v>2014</v>
      </c>
      <c r="S483" s="215">
        <f>IF(P483="-",0,P483/(1+'General inputs'!$H$32)^(R483-2023))</f>
        <v>50.076143292073766</v>
      </c>
    </row>
    <row r="484" spans="3:19">
      <c r="C484" s="159"/>
      <c r="D484" s="165" t="s">
        <v>283</v>
      </c>
      <c r="E484" s="161">
        <v>41869</v>
      </c>
      <c r="F484" s="172" t="str">
        <f t="shared" si="34"/>
        <v>2014-15</v>
      </c>
      <c r="G484" s="68"/>
      <c r="H484" s="167" t="s">
        <v>280</v>
      </c>
      <c r="I484" s="173">
        <v>21853.086195380012</v>
      </c>
      <c r="J484" s="168">
        <f>IFERROR(MIN('MP Calculations'!$E$30/I484,1),"-")</f>
        <v>0.32927792945511891</v>
      </c>
      <c r="K484" s="12"/>
      <c r="L484" s="159">
        <v>0.29994900000000002</v>
      </c>
      <c r="M484" s="159" t="s">
        <v>293</v>
      </c>
      <c r="N484" s="159">
        <v>350</v>
      </c>
      <c r="O484" s="185">
        <f t="shared" si="36"/>
        <v>104.98215</v>
      </c>
      <c r="P484" s="215">
        <f t="shared" si="35"/>
        <v>34.568304981746714</v>
      </c>
      <c r="Q484" s="215" cm="1">
        <f t="array" ref="Q484">IF(P484="-",0,P484/(1+'General inputs'!$H$32)^IFERROR(INDEX('MP Calculations'!$C$40:$C$130,MATCH(F484,'MP Calculations'!$D$40:$D$130,0),0),-1))</f>
        <v>48.041862580023782</v>
      </c>
      <c r="R484" s="207">
        <f t="shared" si="37"/>
        <v>2014</v>
      </c>
      <c r="S484" s="215">
        <f>IF(P484="-",0,P484/(1+'General inputs'!$H$32)^(R484-2023))</f>
        <v>50.059620808384778</v>
      </c>
    </row>
    <row r="485" spans="3:19">
      <c r="C485" s="159"/>
      <c r="D485" s="165" t="s">
        <v>283</v>
      </c>
      <c r="E485" s="161">
        <v>41869</v>
      </c>
      <c r="F485" s="172" t="str">
        <f t="shared" si="34"/>
        <v>2014-15</v>
      </c>
      <c r="G485" s="68"/>
      <c r="H485" s="167" t="s">
        <v>280</v>
      </c>
      <c r="I485" s="173">
        <v>21853.086195380012</v>
      </c>
      <c r="J485" s="168">
        <f>IFERROR(MIN('MP Calculations'!$E$30/I485,1),"-")</f>
        <v>0.32927792945511891</v>
      </c>
      <c r="K485" s="12"/>
      <c r="L485" s="159">
        <v>107.639134</v>
      </c>
      <c r="M485" s="159" t="s">
        <v>293</v>
      </c>
      <c r="N485" s="159">
        <v>350</v>
      </c>
      <c r="O485" s="185">
        <f t="shared" si="36"/>
        <v>37673.696900000003</v>
      </c>
      <c r="P485" s="215">
        <f t="shared" si="35"/>
        <v>12405.116910151733</v>
      </c>
      <c r="Q485" s="215" cm="1">
        <f t="array" ref="Q485">IF(P485="-",0,P485/(1+'General inputs'!$H$32)^IFERROR(INDEX('MP Calculations'!$C$40:$C$130,MATCH(F485,'MP Calculations'!$D$40:$D$130,0),0),-1))</f>
        <v>17240.212448985549</v>
      </c>
      <c r="R485" s="207">
        <f t="shared" si="37"/>
        <v>2014</v>
      </c>
      <c r="S485" s="215">
        <f>IF(P485="-",0,P485/(1+'General inputs'!$H$32)^(R485-2023))</f>
        <v>17964.301371842939</v>
      </c>
    </row>
    <row r="486" spans="3:19">
      <c r="C486" s="159"/>
      <c r="D486" s="165" t="s">
        <v>338</v>
      </c>
      <c r="E486" s="161">
        <v>41931</v>
      </c>
      <c r="F486" s="172" t="str">
        <f t="shared" si="34"/>
        <v>2014-15</v>
      </c>
      <c r="G486" s="68"/>
      <c r="H486" s="167" t="s">
        <v>280</v>
      </c>
      <c r="I486" s="173">
        <v>21853.086195380012</v>
      </c>
      <c r="J486" s="168">
        <f>IFERROR(MIN('MP Calculations'!$E$30/I486,1),"-")</f>
        <v>0.32927792945511891</v>
      </c>
      <c r="K486" s="12"/>
      <c r="L486" s="159">
        <v>1</v>
      </c>
      <c r="M486" s="159" t="s">
        <v>294</v>
      </c>
      <c r="N486" s="159">
        <v>577.15</v>
      </c>
      <c r="O486" s="185">
        <f t="shared" si="36"/>
        <v>577.15</v>
      </c>
      <c r="P486" s="215">
        <f t="shared" si="35"/>
        <v>190.04275698502187</v>
      </c>
      <c r="Q486" s="215" cm="1">
        <f t="array" ref="Q486">IF(P486="-",0,P486/(1+'General inputs'!$H$32)^IFERROR(INDEX('MP Calculations'!$C$40:$C$130,MATCH(F486,'MP Calculations'!$D$40:$D$130,0),0),-1))</f>
        <v>264.11500419891115</v>
      </c>
      <c r="R486" s="207">
        <f t="shared" si="37"/>
        <v>2014</v>
      </c>
      <c r="S486" s="215">
        <f>IF(P486="-",0,P486/(1+'General inputs'!$H$32)^(R486-2023))</f>
        <v>275.20783437526546</v>
      </c>
    </row>
    <row r="487" spans="3:19">
      <c r="C487" s="159"/>
      <c r="D487" s="165" t="s">
        <v>284</v>
      </c>
      <c r="E487" s="161">
        <v>41977</v>
      </c>
      <c r="F487" s="172" t="str">
        <f t="shared" si="34"/>
        <v>2014-15</v>
      </c>
      <c r="G487" s="68"/>
      <c r="H487" s="167" t="s">
        <v>280</v>
      </c>
      <c r="I487" s="173">
        <v>21853.086195380012</v>
      </c>
      <c r="J487" s="168">
        <f>IFERROR(MIN('MP Calculations'!$E$30/I487,1),"-")</f>
        <v>0.32927792945511891</v>
      </c>
      <c r="K487" s="12"/>
      <c r="L487" s="159">
        <v>5.4305050000000001</v>
      </c>
      <c r="M487" s="159" t="s">
        <v>293</v>
      </c>
      <c r="N487" s="159">
        <v>726</v>
      </c>
      <c r="O487" s="185">
        <f t="shared" si="36"/>
        <v>3942.5466300000003</v>
      </c>
      <c r="P487" s="215">
        <f t="shared" si="35"/>
        <v>1298.1935911066569</v>
      </c>
      <c r="Q487" s="215" cm="1">
        <f t="array" ref="Q487">IF(P487="-",0,P487/(1+'General inputs'!$H$32)^IFERROR(INDEX('MP Calculations'!$C$40:$C$130,MATCH(F487,'MP Calculations'!$D$40:$D$130,0),0),-1))</f>
        <v>1804.185601207404</v>
      </c>
      <c r="R487" s="207">
        <f t="shared" si="37"/>
        <v>2014</v>
      </c>
      <c r="S487" s="215">
        <f>IF(P487="-",0,P487/(1+'General inputs'!$H$32)^(R487-2023))</f>
        <v>1879.9613964581149</v>
      </c>
    </row>
    <row r="488" spans="3:19">
      <c r="C488" s="159"/>
      <c r="D488" s="165" t="s">
        <v>284</v>
      </c>
      <c r="E488" s="161">
        <v>41977</v>
      </c>
      <c r="F488" s="172" t="str">
        <f t="shared" si="34"/>
        <v>2014-15</v>
      </c>
      <c r="G488" s="68"/>
      <c r="H488" s="167" t="s">
        <v>280</v>
      </c>
      <c r="I488" s="173">
        <v>21853.086195380012</v>
      </c>
      <c r="J488" s="168">
        <f>IFERROR(MIN('MP Calculations'!$E$30/I488,1),"-")</f>
        <v>0.32927792945511891</v>
      </c>
      <c r="K488" s="12"/>
      <c r="L488" s="159">
        <v>1.0603089999999999</v>
      </c>
      <c r="M488" s="159" t="s">
        <v>293</v>
      </c>
      <c r="N488" s="159">
        <v>726</v>
      </c>
      <c r="O488" s="185">
        <f t="shared" si="36"/>
        <v>769.78433399999994</v>
      </c>
      <c r="P488" s="215">
        <f t="shared" si="35"/>
        <v>253.47299162650768</v>
      </c>
      <c r="Q488" s="215" cm="1">
        <f t="array" ref="Q488">IF(P488="-",0,P488/(1+'General inputs'!$H$32)^IFERROR(INDEX('MP Calculations'!$C$40:$C$130,MATCH(F488,'MP Calculations'!$D$40:$D$130,0),0),-1))</f>
        <v>352.26820169222219</v>
      </c>
      <c r="R488" s="207">
        <f t="shared" si="37"/>
        <v>2014</v>
      </c>
      <c r="S488" s="215">
        <f>IF(P488="-",0,P488/(1+'General inputs'!$H$32)^(R488-2023))</f>
        <v>367.06346616329552</v>
      </c>
    </row>
    <row r="489" spans="3:19">
      <c r="C489" s="159"/>
      <c r="D489" s="165" t="s">
        <v>284</v>
      </c>
      <c r="E489" s="161">
        <v>41977</v>
      </c>
      <c r="F489" s="172" t="str">
        <f t="shared" si="34"/>
        <v>2014-15</v>
      </c>
      <c r="G489" s="68"/>
      <c r="H489" s="167" t="s">
        <v>280</v>
      </c>
      <c r="I489" s="173">
        <v>21853.086195380012</v>
      </c>
      <c r="J489" s="168">
        <f>IFERROR(MIN('MP Calculations'!$E$30/I489,1),"-")</f>
        <v>0.32927792945511891</v>
      </c>
      <c r="K489" s="12"/>
      <c r="L489" s="159">
        <v>1.084306</v>
      </c>
      <c r="M489" s="159" t="s">
        <v>293</v>
      </c>
      <c r="N489" s="159">
        <v>726</v>
      </c>
      <c r="O489" s="185">
        <f t="shared" si="36"/>
        <v>787.20615599999996</v>
      </c>
      <c r="P489" s="215">
        <f t="shared" si="35"/>
        <v>259.20961310200335</v>
      </c>
      <c r="Q489" s="215" cm="1">
        <f t="array" ref="Q489">IF(P489="-",0,P489/(1+'General inputs'!$H$32)^IFERROR(INDEX('MP Calculations'!$C$40:$C$130,MATCH(F489,'MP Calculations'!$D$40:$D$130,0),0),-1))</f>
        <v>360.24076444139087</v>
      </c>
      <c r="R489" s="207">
        <f t="shared" si="37"/>
        <v>2014</v>
      </c>
      <c r="S489" s="215">
        <f>IF(P489="-",0,P489/(1+'General inputs'!$H$32)^(R489-2023))</f>
        <v>375.3708765479293</v>
      </c>
    </row>
    <row r="490" spans="3:19">
      <c r="C490" s="159"/>
      <c r="D490" s="165" t="s">
        <v>284</v>
      </c>
      <c r="E490" s="161">
        <v>41977</v>
      </c>
      <c r="F490" s="172" t="str">
        <f t="shared" si="34"/>
        <v>2014-15</v>
      </c>
      <c r="G490" s="68"/>
      <c r="H490" s="167" t="s">
        <v>280</v>
      </c>
      <c r="I490" s="173">
        <v>21853.086195380012</v>
      </c>
      <c r="J490" s="168">
        <f>IFERROR(MIN('MP Calculations'!$E$30/I490,1),"-")</f>
        <v>0.32927792945511891</v>
      </c>
      <c r="K490" s="12"/>
      <c r="L490" s="159">
        <v>104.460471</v>
      </c>
      <c r="M490" s="159" t="s">
        <v>293</v>
      </c>
      <c r="N490" s="159">
        <v>726</v>
      </c>
      <c r="O490" s="185">
        <f t="shared" si="36"/>
        <v>75838.301945999992</v>
      </c>
      <c r="P490" s="215">
        <f t="shared" si="35"/>
        <v>24971.879038170991</v>
      </c>
      <c r="Q490" s="215" cm="1">
        <f t="array" ref="Q490">IF(P490="-",0,P490/(1+'General inputs'!$H$32)^IFERROR(INDEX('MP Calculations'!$C$40:$C$130,MATCH(F490,'MP Calculations'!$D$40:$D$130,0),0),-1))</f>
        <v>34705.07396154567</v>
      </c>
      <c r="R490" s="207">
        <f t="shared" si="37"/>
        <v>2014</v>
      </c>
      <c r="S490" s="215">
        <f>IF(P490="-",0,P490/(1+'General inputs'!$H$32)^(R490-2023))</f>
        <v>36162.687067930587</v>
      </c>
    </row>
    <row r="491" spans="3:19">
      <c r="C491" s="159"/>
      <c r="D491" s="165" t="s">
        <v>284</v>
      </c>
      <c r="E491" s="161">
        <v>41977</v>
      </c>
      <c r="F491" s="172" t="str">
        <f t="shared" si="34"/>
        <v>2014-15</v>
      </c>
      <c r="G491" s="68"/>
      <c r="H491" s="167" t="s">
        <v>280</v>
      </c>
      <c r="I491" s="173">
        <v>21853.086195380012</v>
      </c>
      <c r="J491" s="168">
        <f>IFERROR(MIN('MP Calculations'!$E$30/I491,1),"-")</f>
        <v>0.32927792945511891</v>
      </c>
      <c r="K491" s="12"/>
      <c r="L491" s="159">
        <v>3.2922310000000001</v>
      </c>
      <c r="M491" s="159" t="s">
        <v>293</v>
      </c>
      <c r="N491" s="159">
        <v>726</v>
      </c>
      <c r="O491" s="185">
        <f t="shared" si="36"/>
        <v>2390.1597059999999</v>
      </c>
      <c r="P491" s="215">
        <f t="shared" si="35"/>
        <v>787.02683905873573</v>
      </c>
      <c r="Q491" s="215" cm="1">
        <f t="array" ref="Q491">IF(P491="-",0,P491/(1+'General inputs'!$H$32)^IFERROR(INDEX('MP Calculations'!$C$40:$C$130,MATCH(F491,'MP Calculations'!$D$40:$D$130,0),0),-1))</f>
        <v>1093.7833159252505</v>
      </c>
      <c r="R491" s="207">
        <f t="shared" si="37"/>
        <v>2014</v>
      </c>
      <c r="S491" s="215">
        <f>IF(P491="-",0,P491/(1+'General inputs'!$H$32)^(R491-2023))</f>
        <v>1139.722215194111</v>
      </c>
    </row>
    <row r="492" spans="3:19">
      <c r="C492" s="159"/>
      <c r="D492" s="165" t="s">
        <v>284</v>
      </c>
      <c r="E492" s="161">
        <v>41977</v>
      </c>
      <c r="F492" s="172" t="str">
        <f t="shared" si="34"/>
        <v>2014-15</v>
      </c>
      <c r="G492" s="68"/>
      <c r="H492" s="167" t="s">
        <v>280</v>
      </c>
      <c r="I492" s="173">
        <v>21853.086195380012</v>
      </c>
      <c r="J492" s="168">
        <f>IFERROR(MIN('MP Calculations'!$E$30/I492,1),"-")</f>
        <v>0.32927792945511891</v>
      </c>
      <c r="K492" s="12"/>
      <c r="L492" s="159">
        <v>22.617605000000001</v>
      </c>
      <c r="M492" s="159" t="s">
        <v>293</v>
      </c>
      <c r="N492" s="159">
        <v>726</v>
      </c>
      <c r="O492" s="185">
        <f t="shared" si="36"/>
        <v>16420.381229999999</v>
      </c>
      <c r="P492" s="215">
        <f t="shared" si="35"/>
        <v>5406.8691322780987</v>
      </c>
      <c r="Q492" s="215" cm="1">
        <f t="array" ref="Q492">IF(P492="-",0,P492/(1+'General inputs'!$H$32)^IFERROR(INDEX('MP Calculations'!$C$40:$C$130,MATCH(F492,'MP Calculations'!$D$40:$D$130,0),0),-1))</f>
        <v>7514.2840812772629</v>
      </c>
      <c r="R492" s="207">
        <f t="shared" si="37"/>
        <v>2014</v>
      </c>
      <c r="S492" s="215">
        <f>IF(P492="-",0,P492/(1+'General inputs'!$H$32)^(R492-2023))</f>
        <v>7829.8840126909081</v>
      </c>
    </row>
    <row r="493" spans="3:19">
      <c r="C493" s="159"/>
      <c r="D493" s="165" t="s">
        <v>284</v>
      </c>
      <c r="E493" s="161">
        <v>41977</v>
      </c>
      <c r="F493" s="172" t="str">
        <f t="shared" si="34"/>
        <v>2014-15</v>
      </c>
      <c r="G493" s="68"/>
      <c r="H493" s="167" t="s">
        <v>280</v>
      </c>
      <c r="I493" s="173">
        <v>21853.086195380012</v>
      </c>
      <c r="J493" s="168">
        <f>IFERROR(MIN('MP Calculations'!$E$30/I493,1),"-")</f>
        <v>0.32927792945511891</v>
      </c>
      <c r="K493" s="12"/>
      <c r="L493" s="159">
        <v>15.688559</v>
      </c>
      <c r="M493" s="159" t="s">
        <v>293</v>
      </c>
      <c r="N493" s="159">
        <v>726</v>
      </c>
      <c r="O493" s="185">
        <f t="shared" si="36"/>
        <v>11389.893834</v>
      </c>
      <c r="P493" s="215">
        <f t="shared" si="35"/>
        <v>3750.4406583731461</v>
      </c>
      <c r="Q493" s="215" cm="1">
        <f t="array" ref="Q493">IF(P493="-",0,P493/(1+'General inputs'!$H$32)^IFERROR(INDEX('MP Calculations'!$C$40:$C$130,MATCH(F493,'MP Calculations'!$D$40:$D$130,0),0),-1))</f>
        <v>5212.2357407815352</v>
      </c>
      <c r="R493" s="207">
        <f t="shared" si="37"/>
        <v>2014</v>
      </c>
      <c r="S493" s="215">
        <f>IF(P493="-",0,P493/(1+'General inputs'!$H$32)^(R493-2023))</f>
        <v>5431.1496418943598</v>
      </c>
    </row>
    <row r="494" spans="3:19">
      <c r="C494" s="159"/>
      <c r="D494" s="165" t="s">
        <v>284</v>
      </c>
      <c r="E494" s="161">
        <v>41977</v>
      </c>
      <c r="F494" s="172" t="str">
        <f t="shared" si="34"/>
        <v>2014-15</v>
      </c>
      <c r="G494" s="68"/>
      <c r="H494" s="167" t="s">
        <v>280</v>
      </c>
      <c r="I494" s="173">
        <v>21853.086195380012</v>
      </c>
      <c r="J494" s="168">
        <f>IFERROR(MIN('MP Calculations'!$E$30/I494,1),"-")</f>
        <v>0.32927792945511891</v>
      </c>
      <c r="K494" s="12"/>
      <c r="L494" s="159">
        <v>4.6355769999999996</v>
      </c>
      <c r="M494" s="159" t="s">
        <v>293</v>
      </c>
      <c r="N494" s="159">
        <v>726</v>
      </c>
      <c r="O494" s="185">
        <f t="shared" si="36"/>
        <v>3365.4289019999997</v>
      </c>
      <c r="P494" s="215">
        <f t="shared" si="35"/>
        <v>1108.1614605789741</v>
      </c>
      <c r="Q494" s="215" cm="1">
        <f t="array" ref="Q494">IF(P494="-",0,P494/(1+'General inputs'!$H$32)^IFERROR(INDEX('MP Calculations'!$C$40:$C$130,MATCH(F494,'MP Calculations'!$D$40:$D$130,0),0),-1))</f>
        <v>1540.0853652999513</v>
      </c>
      <c r="R494" s="207">
        <f t="shared" si="37"/>
        <v>2014</v>
      </c>
      <c r="S494" s="215">
        <f>IF(P494="-",0,P494/(1+'General inputs'!$H$32)^(R494-2023))</f>
        <v>1604.7689506425493</v>
      </c>
    </row>
    <row r="495" spans="3:19">
      <c r="C495" s="159"/>
      <c r="D495" s="165" t="s">
        <v>284</v>
      </c>
      <c r="E495" s="161">
        <v>41977</v>
      </c>
      <c r="F495" s="172" t="str">
        <f t="shared" si="34"/>
        <v>2014-15</v>
      </c>
      <c r="G495" s="68"/>
      <c r="H495" s="167" t="s">
        <v>280</v>
      </c>
      <c r="I495" s="173">
        <v>21853.086195380012</v>
      </c>
      <c r="J495" s="168">
        <f>IFERROR(MIN('MP Calculations'!$E$30/I495,1),"-")</f>
        <v>0.32927792945511891</v>
      </c>
      <c r="K495" s="12"/>
      <c r="L495" s="159">
        <v>1.167262</v>
      </c>
      <c r="M495" s="159" t="s">
        <v>293</v>
      </c>
      <c r="N495" s="159">
        <v>726</v>
      </c>
      <c r="O495" s="185">
        <f t="shared" si="36"/>
        <v>847.43221200000005</v>
      </c>
      <c r="P495" s="215">
        <f t="shared" si="35"/>
        <v>279.04072412093137</v>
      </c>
      <c r="Q495" s="215" cm="1">
        <f t="array" ref="Q495">IF(P495="-",0,P495/(1+'General inputs'!$H$32)^IFERROR(INDEX('MP Calculations'!$C$40:$C$130,MATCH(F495,'MP Calculations'!$D$40:$D$130,0),0),-1))</f>
        <v>387.80137265991959</v>
      </c>
      <c r="R495" s="207">
        <f t="shared" si="37"/>
        <v>2014</v>
      </c>
      <c r="S495" s="215">
        <f>IF(P495="-",0,P495/(1+'General inputs'!$H$32)^(R495-2023))</f>
        <v>404.08903031163624</v>
      </c>
    </row>
    <row r="496" spans="3:19">
      <c r="C496" s="159"/>
      <c r="D496" s="165" t="s">
        <v>284</v>
      </c>
      <c r="E496" s="161">
        <v>41977</v>
      </c>
      <c r="F496" s="172" t="str">
        <f t="shared" si="34"/>
        <v>2014-15</v>
      </c>
      <c r="G496" s="68"/>
      <c r="H496" s="167" t="s">
        <v>280</v>
      </c>
      <c r="I496" s="173">
        <v>21853.086195380012</v>
      </c>
      <c r="J496" s="168">
        <f>IFERROR(MIN('MP Calculations'!$E$30/I496,1),"-")</f>
        <v>0.32927792945511891</v>
      </c>
      <c r="K496" s="12"/>
      <c r="L496" s="159">
        <v>20.661100999999999</v>
      </c>
      <c r="M496" s="159" t="s">
        <v>293</v>
      </c>
      <c r="N496" s="159">
        <v>726</v>
      </c>
      <c r="O496" s="185">
        <f t="shared" si="36"/>
        <v>14999.959325999998</v>
      </c>
      <c r="P496" s="215">
        <f t="shared" si="35"/>
        <v>4939.1555487762807</v>
      </c>
      <c r="Q496" s="215" cm="1">
        <f t="array" ref="Q496">IF(P496="-",0,P496/(1+'General inputs'!$H$32)^IFERROR(INDEX('MP Calculations'!$C$40:$C$130,MATCH(F496,'MP Calculations'!$D$40:$D$130,0),0),-1))</f>
        <v>6864.2715418348553</v>
      </c>
      <c r="R496" s="207">
        <f t="shared" si="37"/>
        <v>2014</v>
      </c>
      <c r="S496" s="215">
        <f>IF(P496="-",0,P496/(1+'General inputs'!$H$32)^(R496-2023))</f>
        <v>7152.5709465919199</v>
      </c>
    </row>
    <row r="497" spans="3:19">
      <c r="C497" s="159"/>
      <c r="D497" s="165" t="s">
        <v>284</v>
      </c>
      <c r="E497" s="161">
        <v>41977</v>
      </c>
      <c r="F497" s="172" t="str">
        <f t="shared" si="34"/>
        <v>2014-15</v>
      </c>
      <c r="G497" s="68"/>
      <c r="H497" s="167" t="s">
        <v>280</v>
      </c>
      <c r="I497" s="173">
        <v>21853.086195380012</v>
      </c>
      <c r="J497" s="168">
        <f>IFERROR(MIN('MP Calculations'!$E$30/I497,1),"-")</f>
        <v>0.32927792945511891</v>
      </c>
      <c r="K497" s="12"/>
      <c r="L497" s="159">
        <v>12.089021000000001</v>
      </c>
      <c r="M497" s="159" t="s">
        <v>293</v>
      </c>
      <c r="N497" s="159">
        <v>726</v>
      </c>
      <c r="O497" s="185">
        <f t="shared" si="36"/>
        <v>8776.6292460000004</v>
      </c>
      <c r="P497" s="215">
        <f t="shared" si="35"/>
        <v>2889.9503057181214</v>
      </c>
      <c r="Q497" s="215" cm="1">
        <f t="array" ref="Q497">IF(P497="-",0,P497/(1+'General inputs'!$H$32)^IFERROR(INDEX('MP Calculations'!$C$40:$C$130,MATCH(F497,'MP Calculations'!$D$40:$D$130,0),0),-1))</f>
        <v>4016.3553151859596</v>
      </c>
      <c r="R497" s="207">
        <f t="shared" si="37"/>
        <v>2014</v>
      </c>
      <c r="S497" s="215">
        <f>IF(P497="-",0,P497/(1+'General inputs'!$H$32)^(R497-2023))</f>
        <v>4185.04223842377</v>
      </c>
    </row>
    <row r="498" spans="3:19">
      <c r="C498" s="159"/>
      <c r="D498" s="165" t="s">
        <v>284</v>
      </c>
      <c r="E498" s="161">
        <v>41977</v>
      </c>
      <c r="F498" s="172" t="str">
        <f t="shared" si="34"/>
        <v>2014-15</v>
      </c>
      <c r="G498" s="68"/>
      <c r="H498" s="167" t="s">
        <v>280</v>
      </c>
      <c r="I498" s="173">
        <v>21853.086195380012</v>
      </c>
      <c r="J498" s="168">
        <f>IFERROR(MIN('MP Calculations'!$E$30/I498,1),"-")</f>
        <v>0.32927792945511891</v>
      </c>
      <c r="K498" s="12"/>
      <c r="L498" s="159">
        <v>2.8000409999999998</v>
      </c>
      <c r="M498" s="159" t="s">
        <v>293</v>
      </c>
      <c r="N498" s="159">
        <v>726</v>
      </c>
      <c r="O498" s="185">
        <f t="shared" si="36"/>
        <v>2032.8297659999998</v>
      </c>
      <c r="P498" s="215">
        <f t="shared" si="35"/>
        <v>669.36597628321385</v>
      </c>
      <c r="Q498" s="215" cm="1">
        <f t="array" ref="Q498">IF(P498="-",0,P498/(1+'General inputs'!$H$32)^IFERROR(INDEX('MP Calculations'!$C$40:$C$130,MATCH(F498,'MP Calculations'!$D$40:$D$130,0),0),-1))</f>
        <v>930.262223308952</v>
      </c>
      <c r="R498" s="207">
        <f t="shared" si="37"/>
        <v>2014</v>
      </c>
      <c r="S498" s="215">
        <f>IF(P498="-",0,P498/(1+'General inputs'!$H$32)^(R498-2023))</f>
        <v>969.33323668792798</v>
      </c>
    </row>
    <row r="499" spans="3:19">
      <c r="C499" s="159"/>
      <c r="D499" s="165" t="s">
        <v>284</v>
      </c>
      <c r="E499" s="161">
        <v>41977</v>
      </c>
      <c r="F499" s="172" t="str">
        <f t="shared" si="34"/>
        <v>2014-15</v>
      </c>
      <c r="G499" s="68"/>
      <c r="H499" s="167" t="s">
        <v>280</v>
      </c>
      <c r="I499" s="173">
        <v>21853.086195380012</v>
      </c>
      <c r="J499" s="168">
        <f>IFERROR(MIN('MP Calculations'!$E$30/I499,1),"-")</f>
        <v>0.32927792945511891</v>
      </c>
      <c r="K499" s="12"/>
      <c r="L499" s="159">
        <v>172.73312000000001</v>
      </c>
      <c r="M499" s="159" t="s">
        <v>293</v>
      </c>
      <c r="N499" s="159">
        <v>726</v>
      </c>
      <c r="O499" s="185">
        <f t="shared" si="36"/>
        <v>125404.24512000001</v>
      </c>
      <c r="P499" s="215">
        <f t="shared" si="35"/>
        <v>41292.850177995802</v>
      </c>
      <c r="Q499" s="215" cm="1">
        <f t="array" ref="Q499">IF(P499="-",0,P499/(1+'General inputs'!$H$32)^IFERROR(INDEX('MP Calculations'!$C$40:$C$130,MATCH(F499,'MP Calculations'!$D$40:$D$130,0),0),-1))</f>
        <v>57387.408345196374</v>
      </c>
      <c r="R499" s="207">
        <f t="shared" si="37"/>
        <v>2014</v>
      </c>
      <c r="S499" s="215">
        <f>IF(P499="-",0,P499/(1+'General inputs'!$H$32)^(R499-2023))</f>
        <v>59797.679495694625</v>
      </c>
    </row>
    <row r="500" spans="3:19">
      <c r="C500" s="159"/>
      <c r="D500" s="165" t="s">
        <v>284</v>
      </c>
      <c r="E500" s="161">
        <v>41977</v>
      </c>
      <c r="F500" s="172" t="str">
        <f t="shared" si="34"/>
        <v>2014-15</v>
      </c>
      <c r="G500" s="68"/>
      <c r="H500" s="167" t="s">
        <v>280</v>
      </c>
      <c r="I500" s="173">
        <v>21853.086195380012</v>
      </c>
      <c r="J500" s="168">
        <f>IFERROR(MIN('MP Calculations'!$E$30/I500,1),"-")</f>
        <v>0.32927792945511891</v>
      </c>
      <c r="K500" s="12"/>
      <c r="L500" s="159">
        <v>96.362731999999994</v>
      </c>
      <c r="M500" s="159" t="s">
        <v>293</v>
      </c>
      <c r="N500" s="159">
        <v>726</v>
      </c>
      <c r="O500" s="185">
        <f t="shared" si="36"/>
        <v>69959.343431999994</v>
      </c>
      <c r="P500" s="215">
        <f t="shared" si="35"/>
        <v>23036.06775132853</v>
      </c>
      <c r="Q500" s="215" cm="1">
        <f t="array" ref="Q500">IF(P500="-",0,P500/(1+'General inputs'!$H$32)^IFERROR(INDEX('MP Calculations'!$C$40:$C$130,MATCH(F500,'MP Calculations'!$D$40:$D$130,0),0),-1))</f>
        <v>32014.748824908165</v>
      </c>
      <c r="R500" s="207">
        <f t="shared" si="37"/>
        <v>2014</v>
      </c>
      <c r="S500" s="215">
        <f>IF(P500="-",0,P500/(1+'General inputs'!$H$32)^(R500-2023))</f>
        <v>33359.368275554312</v>
      </c>
    </row>
    <row r="501" spans="3:19">
      <c r="C501" s="159"/>
      <c r="D501" s="165" t="s">
        <v>284</v>
      </c>
      <c r="E501" s="161">
        <v>41977</v>
      </c>
      <c r="F501" s="172" t="str">
        <f t="shared" si="34"/>
        <v>2014-15</v>
      </c>
      <c r="G501" s="68"/>
      <c r="H501" s="167" t="s">
        <v>280</v>
      </c>
      <c r="I501" s="173">
        <v>21853.086195380012</v>
      </c>
      <c r="J501" s="168">
        <f>IFERROR(MIN('MP Calculations'!$E$30/I501,1),"-")</f>
        <v>0.32927792945511891</v>
      </c>
      <c r="K501" s="12"/>
      <c r="L501" s="159">
        <v>2.428369</v>
      </c>
      <c r="M501" s="159" t="s">
        <v>293</v>
      </c>
      <c r="N501" s="159">
        <v>726</v>
      </c>
      <c r="O501" s="185">
        <f t="shared" si="27"/>
        <v>1762.9958939999999</v>
      </c>
      <c r="P501" s="215">
        <f t="shared" si="35"/>
        <v>580.51563761419629</v>
      </c>
      <c r="Q501" s="215" cm="1">
        <f t="array" ref="Q501">IF(P501="-",0,P501/(1+'General inputs'!$H$32)^IFERROR(INDEX('MP Calculations'!$C$40:$C$130,MATCH(F501,'MP Calculations'!$D$40:$D$130,0),0),-1))</f>
        <v>806.78102390448441</v>
      </c>
      <c r="R501" s="207">
        <f t="shared" si="37"/>
        <v>2014</v>
      </c>
      <c r="S501" s="215">
        <f>IF(P501="-",0,P501/(1+'General inputs'!$H$32)^(R501-2023))</f>
        <v>840.66582690847281</v>
      </c>
    </row>
    <row r="502" spans="3:19">
      <c r="C502" s="159"/>
      <c r="D502" s="165" t="s">
        <v>284</v>
      </c>
      <c r="E502" s="161">
        <v>41977</v>
      </c>
      <c r="F502" s="172" t="str">
        <f t="shared" si="34"/>
        <v>2014-15</v>
      </c>
      <c r="G502" s="68"/>
      <c r="H502" s="167" t="s">
        <v>280</v>
      </c>
      <c r="I502" s="173">
        <v>21853.086195380012</v>
      </c>
      <c r="J502" s="168">
        <f>IFERROR(MIN('MP Calculations'!$E$30/I502,1),"-")</f>
        <v>0.32927792945511891</v>
      </c>
      <c r="K502" s="12"/>
      <c r="L502" s="159">
        <v>3.7306560000000002</v>
      </c>
      <c r="M502" s="159" t="s">
        <v>293</v>
      </c>
      <c r="N502" s="159">
        <v>726</v>
      </c>
      <c r="O502" s="185">
        <f t="shared" si="27"/>
        <v>2708.4562559999999</v>
      </c>
      <c r="P502" s="215">
        <f t="shared" si="35"/>
        <v>891.83486799544346</v>
      </c>
      <c r="Q502" s="215" cm="1">
        <f t="array" ref="Q502">IF(P502="-",0,P502/(1+'General inputs'!$H$32)^IFERROR(INDEX('MP Calculations'!$C$40:$C$130,MATCH(F502,'MP Calculations'!$D$40:$D$130,0),0),-1))</f>
        <v>1239.4419742285493</v>
      </c>
      <c r="R502" s="207">
        <f t="shared" si="37"/>
        <v>2014</v>
      </c>
      <c r="S502" s="215">
        <f>IF(P502="-",0,P502/(1+'General inputs'!$H$32)^(R502-2023))</f>
        <v>1291.4985371461485</v>
      </c>
    </row>
    <row r="503" spans="3:19">
      <c r="C503" s="159"/>
      <c r="D503" s="165" t="s">
        <v>284</v>
      </c>
      <c r="E503" s="161">
        <v>41977</v>
      </c>
      <c r="F503" s="172" t="str">
        <f t="shared" si="34"/>
        <v>2014-15</v>
      </c>
      <c r="G503" s="68"/>
      <c r="H503" s="167" t="s">
        <v>280</v>
      </c>
      <c r="I503" s="173">
        <v>21853.086195380012</v>
      </c>
      <c r="J503" s="168">
        <f>IFERROR(MIN('MP Calculations'!$E$30/I503,1),"-")</f>
        <v>0.32927792945511891</v>
      </c>
      <c r="K503" s="12"/>
      <c r="L503" s="159">
        <v>8.0411439999999992</v>
      </c>
      <c r="M503" s="159" t="s">
        <v>293</v>
      </c>
      <c r="N503" s="159">
        <v>726</v>
      </c>
      <c r="O503" s="185">
        <f t="shared" si="27"/>
        <v>5837.8705439999994</v>
      </c>
      <c r="P503" s="215">
        <f t="shared" si="35"/>
        <v>1922.2819251553485</v>
      </c>
      <c r="Q503" s="215" cm="1">
        <f t="array" ref="Q503">IF(P503="-",0,P503/(1+'General inputs'!$H$32)^IFERROR(INDEX('MP Calculations'!$C$40:$C$130,MATCH(F503,'MP Calculations'!$D$40:$D$130,0),0),-1))</f>
        <v>2671.5224867733859</v>
      </c>
      <c r="R503" s="207">
        <f t="shared" si="37"/>
        <v>2014</v>
      </c>
      <c r="S503" s="215">
        <f>IF(P503="-",0,P503/(1+'General inputs'!$H$32)^(R503-2023))</f>
        <v>2783.7264312178686</v>
      </c>
    </row>
    <row r="504" spans="3:19">
      <c r="C504" s="159"/>
      <c r="D504" s="165" t="s">
        <v>284</v>
      </c>
      <c r="E504" s="161">
        <v>41977</v>
      </c>
      <c r="F504" s="172" t="str">
        <f t="shared" si="34"/>
        <v>2014-15</v>
      </c>
      <c r="G504" s="68"/>
      <c r="H504" s="167" t="s">
        <v>280</v>
      </c>
      <c r="I504" s="173">
        <v>21853.086195380012</v>
      </c>
      <c r="J504" s="168">
        <f>IFERROR(MIN('MP Calculations'!$E$30/I504,1),"-")</f>
        <v>0.32927792945511891</v>
      </c>
      <c r="K504" s="12"/>
      <c r="L504" s="159">
        <v>5.0348420000000003</v>
      </c>
      <c r="M504" s="159" t="s">
        <v>293</v>
      </c>
      <c r="N504" s="159">
        <v>726</v>
      </c>
      <c r="O504" s="185">
        <f t="shared" si="27"/>
        <v>3655.2952920000002</v>
      </c>
      <c r="P504" s="215">
        <f t="shared" si="35"/>
        <v>1203.6080652968044</v>
      </c>
      <c r="Q504" s="215" cm="1">
        <f t="array" ref="Q504">IF(P504="-",0,P504/(1+'General inputs'!$H$32)^IFERROR(INDEX('MP Calculations'!$C$40:$C$130,MATCH(F504,'MP Calculations'!$D$40:$D$130,0),0),-1))</f>
        <v>1672.7338324436289</v>
      </c>
      <c r="R504" s="207">
        <f t="shared" si="37"/>
        <v>2014</v>
      </c>
      <c r="S504" s="215">
        <f>IF(P504="-",0,P504/(1+'General inputs'!$H$32)^(R504-2023))</f>
        <v>1742.9886534062614</v>
      </c>
    </row>
    <row r="505" spans="3:19">
      <c r="C505" s="159"/>
      <c r="D505" s="165" t="s">
        <v>284</v>
      </c>
      <c r="E505" s="161">
        <v>41977</v>
      </c>
      <c r="F505" s="172" t="str">
        <f t="shared" si="34"/>
        <v>2014-15</v>
      </c>
      <c r="G505" s="68"/>
      <c r="H505" s="167" t="s">
        <v>280</v>
      </c>
      <c r="I505" s="173">
        <v>21853.086195380012</v>
      </c>
      <c r="J505" s="168">
        <f>IFERROR(MIN('MP Calculations'!$E$30/I505,1),"-")</f>
        <v>0.32927792945511891</v>
      </c>
      <c r="K505" s="12"/>
      <c r="L505" s="159">
        <v>5.0348420000000003</v>
      </c>
      <c r="M505" s="159" t="s">
        <v>293</v>
      </c>
      <c r="N505" s="159">
        <v>726</v>
      </c>
      <c r="O505" s="185">
        <f t="shared" si="27"/>
        <v>3655.2952920000002</v>
      </c>
      <c r="P505" s="215">
        <f t="shared" si="35"/>
        <v>1203.6080652968044</v>
      </c>
      <c r="Q505" s="215" cm="1">
        <f t="array" ref="Q505">IF(P505="-",0,P505/(1+'General inputs'!$H$32)^IFERROR(INDEX('MP Calculations'!$C$40:$C$130,MATCH(F505,'MP Calculations'!$D$40:$D$130,0),0),-1))</f>
        <v>1672.7338324436289</v>
      </c>
      <c r="R505" s="207">
        <f t="shared" si="37"/>
        <v>2014</v>
      </c>
      <c r="S505" s="215">
        <f>IF(P505="-",0,P505/(1+'General inputs'!$H$32)^(R505-2023))</f>
        <v>1742.9886534062614</v>
      </c>
    </row>
    <row r="506" spans="3:19">
      <c r="C506" s="159"/>
      <c r="D506" s="165" t="s">
        <v>339</v>
      </c>
      <c r="E506" s="161">
        <v>42001</v>
      </c>
      <c r="F506" s="172" t="str">
        <f t="shared" si="34"/>
        <v>2014-15</v>
      </c>
      <c r="G506" s="68"/>
      <c r="H506" s="167" t="s">
        <v>280</v>
      </c>
      <c r="I506" s="173">
        <v>21853.086195380012</v>
      </c>
      <c r="J506" s="168">
        <f>IFERROR(MIN('MP Calculations'!$E$30/I506,1),"-")</f>
        <v>0.32927792945511891</v>
      </c>
      <c r="K506" s="12"/>
      <c r="L506" s="159">
        <v>1</v>
      </c>
      <c r="M506" s="159" t="s">
        <v>294</v>
      </c>
      <c r="N506" s="159">
        <v>16222.47</v>
      </c>
      <c r="O506" s="185">
        <f t="shared" si="27"/>
        <v>16222.47</v>
      </c>
      <c r="P506" s="215">
        <f t="shared" si="35"/>
        <v>5341.7013322477824</v>
      </c>
      <c r="Q506" s="215" cm="1">
        <f t="array" ref="Q506">IF(P506="-",0,P506/(1+'General inputs'!$H$32)^IFERROR(INDEX('MP Calculations'!$C$40:$C$130,MATCH(F506,'MP Calculations'!$D$40:$D$130,0),0),-1))</f>
        <v>7423.7160740998188</v>
      </c>
      <c r="R506" s="207">
        <f t="shared" si="37"/>
        <v>2014</v>
      </c>
      <c r="S506" s="215">
        <f>IF(P506="-",0,P506/(1+'General inputs'!$H$32)^(R506-2023))</f>
        <v>7735.5121492120115</v>
      </c>
    </row>
    <row r="507" spans="3:19">
      <c r="C507" s="159"/>
      <c r="D507" s="165" t="s">
        <v>340</v>
      </c>
      <c r="E507" s="161">
        <v>42351</v>
      </c>
      <c r="F507" s="172" t="str">
        <f t="shared" si="34"/>
        <v>2015-16</v>
      </c>
      <c r="G507" s="68"/>
      <c r="H507" s="167" t="s">
        <v>280</v>
      </c>
      <c r="I507" s="173">
        <v>21853.086195380012</v>
      </c>
      <c r="J507" s="168">
        <f>IFERROR(MIN('MP Calculations'!$E$30/I507,1),"-")</f>
        <v>0.32927792945511891</v>
      </c>
      <c r="K507" s="12"/>
      <c r="L507" s="159">
        <v>1</v>
      </c>
      <c r="M507" s="159" t="s">
        <v>294</v>
      </c>
      <c r="N507" s="159">
        <v>98.11</v>
      </c>
      <c r="O507" s="185">
        <f t="shared" si="27"/>
        <v>98.11</v>
      </c>
      <c r="P507" s="215">
        <f t="shared" si="35"/>
        <v>32.305457658841718</v>
      </c>
      <c r="Q507" s="215" cm="1">
        <f t="array" ref="Q507">IF(P507="-",0,P507/(1+'General inputs'!$H$32)^IFERROR(INDEX('MP Calculations'!$C$40:$C$130,MATCH(F507,'MP Calculations'!$D$40:$D$130,0),0),-1))</f>
        <v>43.087364498488213</v>
      </c>
      <c r="R507" s="207">
        <f t="shared" si="37"/>
        <v>2015</v>
      </c>
      <c r="S507" s="215">
        <f>IF(P507="-",0,P507/(1+'General inputs'!$H$32)^(R507-2023))</f>
        <v>44.897033807424719</v>
      </c>
    </row>
    <row r="508" spans="3:19">
      <c r="C508" s="159"/>
      <c r="D508" s="165" t="s">
        <v>341</v>
      </c>
      <c r="E508" s="161">
        <v>42383</v>
      </c>
      <c r="F508" s="172" t="str">
        <f t="shared" si="34"/>
        <v>2015-16</v>
      </c>
      <c r="G508" s="68"/>
      <c r="H508" s="167" t="s">
        <v>280</v>
      </c>
      <c r="I508" s="173">
        <v>21853.086195380012</v>
      </c>
      <c r="J508" s="168">
        <f>IFERROR(MIN('MP Calculations'!$E$30/I508,1),"-")</f>
        <v>0.32927792945511891</v>
      </c>
      <c r="K508" s="12"/>
      <c r="L508" s="159">
        <v>1</v>
      </c>
      <c r="M508" s="159" t="s">
        <v>294</v>
      </c>
      <c r="N508" s="159">
        <v>196.24</v>
      </c>
      <c r="O508" s="185">
        <f t="shared" si="27"/>
        <v>196.24</v>
      </c>
      <c r="P508" s="215">
        <f t="shared" si="35"/>
        <v>64.617500876272544</v>
      </c>
      <c r="Q508" s="215" cm="1">
        <f t="array" ref="Q508">IF(P508="-",0,P508/(1+'General inputs'!$H$32)^IFERROR(INDEX('MP Calculations'!$C$40:$C$130,MATCH(F508,'MP Calculations'!$D$40:$D$130,0),0),-1))</f>
        <v>86.183512477661068</v>
      </c>
      <c r="R508" s="207">
        <f t="shared" si="37"/>
        <v>2016</v>
      </c>
      <c r="S508" s="215">
        <f>IF(P508="-",0,P508/(1+'General inputs'!$H$32)^(R508-2023))</f>
        <v>86.183512477661068</v>
      </c>
    </row>
    <row r="509" spans="3:19">
      <c r="C509" s="159"/>
      <c r="D509" s="165" t="s">
        <v>283</v>
      </c>
      <c r="E509" s="161">
        <v>42535</v>
      </c>
      <c r="F509" s="172" t="str">
        <f t="shared" si="34"/>
        <v>2015-16</v>
      </c>
      <c r="G509" s="68"/>
      <c r="H509" s="167" t="s">
        <v>280</v>
      </c>
      <c r="I509" s="173">
        <v>21853.086195380012</v>
      </c>
      <c r="J509" s="168">
        <f>IFERROR(MIN('MP Calculations'!$E$30/I509,1),"-")</f>
        <v>0.32927792945511891</v>
      </c>
      <c r="K509" s="12"/>
      <c r="L509" s="159">
        <v>16.996908000000001</v>
      </c>
      <c r="M509" s="159" t="s">
        <v>293</v>
      </c>
      <c r="N509" s="159">
        <v>350</v>
      </c>
      <c r="O509" s="185">
        <f t="shared" si="27"/>
        <v>5948.9178000000002</v>
      </c>
      <c r="P509" s="215">
        <f t="shared" si="35"/>
        <v>1958.8473356827012</v>
      </c>
      <c r="Q509" s="215" cm="1">
        <f t="array" ref="Q509">IF(P509="-",0,P509/(1+'General inputs'!$H$32)^IFERROR(INDEX('MP Calculations'!$C$40:$C$130,MATCH(F509,'MP Calculations'!$D$40:$D$130,0),0),-1))</f>
        <v>2612.6102295397473</v>
      </c>
      <c r="R509" s="207">
        <f t="shared" si="37"/>
        <v>2016</v>
      </c>
      <c r="S509" s="215">
        <f>IF(P509="-",0,P509/(1+'General inputs'!$H$32)^(R509-2023))</f>
        <v>2612.6102295397473</v>
      </c>
    </row>
    <row r="510" spans="3:19">
      <c r="C510" s="159"/>
      <c r="D510" s="165" t="s">
        <v>342</v>
      </c>
      <c r="E510" s="161">
        <v>42758</v>
      </c>
      <c r="F510" s="172" t="str">
        <f t="shared" si="34"/>
        <v>2016-17</v>
      </c>
      <c r="G510" s="68"/>
      <c r="H510" s="167" t="s">
        <v>280</v>
      </c>
      <c r="I510" s="173">
        <v>21853.086195380012</v>
      </c>
      <c r="J510" s="168">
        <f>IFERROR(MIN('MP Calculations'!$E$30/I510,1),"-")</f>
        <v>0.32927792945511891</v>
      </c>
      <c r="K510" s="12"/>
      <c r="L510" s="159">
        <v>1</v>
      </c>
      <c r="M510" s="159" t="s">
        <v>294</v>
      </c>
      <c r="N510" s="159">
        <v>349.71</v>
      </c>
      <c r="O510" s="185">
        <f t="shared" si="27"/>
        <v>349.71</v>
      </c>
      <c r="P510" s="215">
        <f t="shared" si="35"/>
        <v>115.15178470974963</v>
      </c>
      <c r="Q510" s="215" cm="1">
        <f t="array" ref="Q510">IF(P510="-",0,P510/(1+'General inputs'!$H$32)^IFERROR(INDEX('MP Calculations'!$C$40:$C$130,MATCH(F510,'MP Calculations'!$D$40:$D$130,0),0),-1))</f>
        <v>147.39304367679969</v>
      </c>
      <c r="R510" s="207">
        <f t="shared" si="37"/>
        <v>2017</v>
      </c>
      <c r="S510" s="215">
        <f>IF(P510="-",0,P510/(1+'General inputs'!$H$32)^(R510-2023))</f>
        <v>147.39304367679969</v>
      </c>
    </row>
    <row r="511" spans="3:19">
      <c r="C511" s="159"/>
      <c r="D511" s="165" t="s">
        <v>343</v>
      </c>
      <c r="E511" s="161">
        <v>42887</v>
      </c>
      <c r="F511" s="172" t="str">
        <f t="shared" si="34"/>
        <v>2016-17</v>
      </c>
      <c r="G511" s="68"/>
      <c r="H511" s="167" t="s">
        <v>280</v>
      </c>
      <c r="I511" s="173">
        <v>21853.086195380012</v>
      </c>
      <c r="J511" s="168">
        <f>IFERROR(MIN('MP Calculations'!$E$30/I511,1),"-")</f>
        <v>0.32927792945511891</v>
      </c>
      <c r="K511" s="12"/>
      <c r="L511" s="159">
        <v>1</v>
      </c>
      <c r="M511" s="159" t="s">
        <v>294</v>
      </c>
      <c r="N511" s="159">
        <v>4819.3500000000004</v>
      </c>
      <c r="O511" s="185">
        <f t="shared" si="27"/>
        <v>4819.3500000000004</v>
      </c>
      <c r="P511" s="215">
        <f t="shared" si="35"/>
        <v>1586.9055893195275</v>
      </c>
      <c r="Q511" s="215" cm="1">
        <f t="array" ref="Q511">IF(P511="-",0,P511/(1+'General inputs'!$H$32)^IFERROR(INDEX('MP Calculations'!$C$40:$C$130,MATCH(F511,'MP Calculations'!$D$40:$D$130,0),0),-1))</f>
        <v>2031.2220555425488</v>
      </c>
      <c r="R511" s="207">
        <f t="shared" si="37"/>
        <v>2017</v>
      </c>
      <c r="S511" s="215">
        <f>IF(P511="-",0,P511/(1+'General inputs'!$H$32)^(R511-2023))</f>
        <v>2031.2220555425488</v>
      </c>
    </row>
    <row r="512" spans="3:19">
      <c r="C512" s="159"/>
      <c r="D512" s="165" t="s">
        <v>344</v>
      </c>
      <c r="E512" s="161">
        <v>43019</v>
      </c>
      <c r="F512" s="172" t="str">
        <f t="shared" si="34"/>
        <v>2017-18</v>
      </c>
      <c r="G512" s="68"/>
      <c r="H512" s="167" t="s">
        <v>280</v>
      </c>
      <c r="I512" s="173">
        <v>21853.086195380012</v>
      </c>
      <c r="J512" s="168">
        <f>IFERROR(MIN('MP Calculations'!$E$30/I512,1),"-")</f>
        <v>0.32927792945511891</v>
      </c>
      <c r="K512" s="12"/>
      <c r="L512" s="159">
        <v>1</v>
      </c>
      <c r="M512" s="159" t="s">
        <v>294</v>
      </c>
      <c r="N512" s="159">
        <v>348.39</v>
      </c>
      <c r="O512" s="185">
        <f t="shared" si="27"/>
        <v>348.39</v>
      </c>
      <c r="P512" s="215">
        <f t="shared" si="35"/>
        <v>114.71713784286888</v>
      </c>
      <c r="Q512" s="215" cm="1">
        <f t="array" ref="Q512">IF(P512="-",0,P512/(1+'General inputs'!$H$32)^IFERROR(INDEX('MP Calculations'!$C$40:$C$130,MATCH(F512,'MP Calculations'!$D$40:$D$130,0),0),-1))</f>
        <v>140.91813855132349</v>
      </c>
      <c r="R512" s="207">
        <f t="shared" si="37"/>
        <v>2017</v>
      </c>
      <c r="S512" s="215">
        <f>IF(P512="-",0,P512/(1+'General inputs'!$H$32)^(R512-2023))</f>
        <v>146.83670037047909</v>
      </c>
    </row>
    <row r="513" spans="3:19">
      <c r="C513" s="159"/>
      <c r="D513" s="165" t="s">
        <v>283</v>
      </c>
      <c r="E513" s="161">
        <v>43276</v>
      </c>
      <c r="F513" s="172" t="str">
        <f t="shared" si="34"/>
        <v>2017-18</v>
      </c>
      <c r="G513" s="68"/>
      <c r="H513" s="167" t="s">
        <v>280</v>
      </c>
      <c r="I513" s="173">
        <v>21853.086195380012</v>
      </c>
      <c r="J513" s="168">
        <f>IFERROR(MIN('MP Calculations'!$E$30/I513,1),"-")</f>
        <v>0.32927792945511891</v>
      </c>
      <c r="K513" s="12"/>
      <c r="L513" s="159">
        <v>3.0000249999999999</v>
      </c>
      <c r="M513" s="159" t="s">
        <v>293</v>
      </c>
      <c r="N513" s="159">
        <v>350</v>
      </c>
      <c r="O513" s="185">
        <f t="shared" si="27"/>
        <v>1050.00875</v>
      </c>
      <c r="P513" s="215">
        <f t="shared" si="35"/>
        <v>345.7447071097576</v>
      </c>
      <c r="Q513" s="215" cm="1">
        <f t="array" ref="Q513">IF(P513="-",0,P513/(1+'General inputs'!$H$32)^IFERROR(INDEX('MP Calculations'!$C$40:$C$130,MATCH(F513,'MP Calculations'!$D$40:$D$130,0),0),-1))</f>
        <v>424.71161202273885</v>
      </c>
      <c r="R513" s="207">
        <f t="shared" si="37"/>
        <v>2018</v>
      </c>
      <c r="S513" s="215">
        <f>IF(P513="-",0,P513/(1+'General inputs'!$H$32)^(R513-2023))</f>
        <v>424.71161202273885</v>
      </c>
    </row>
    <row r="514" spans="3:19">
      <c r="C514" s="159"/>
      <c r="D514" s="165" t="s">
        <v>345</v>
      </c>
      <c r="E514" s="161">
        <v>43300</v>
      </c>
      <c r="F514" s="172" t="str">
        <f t="shared" si="34"/>
        <v>2018-19</v>
      </c>
      <c r="G514" s="68"/>
      <c r="H514" s="167" t="s">
        <v>280</v>
      </c>
      <c r="I514" s="173">
        <v>21853.086195380012</v>
      </c>
      <c r="J514" s="168">
        <f>IFERROR(MIN('MP Calculations'!$E$30/I514,1),"-")</f>
        <v>0.32927792945511891</v>
      </c>
      <c r="K514" s="12"/>
      <c r="L514" s="159">
        <v>1</v>
      </c>
      <c r="M514" s="159" t="s">
        <v>294</v>
      </c>
      <c r="N514" s="159">
        <v>23729.14</v>
      </c>
      <c r="O514" s="185">
        <f t="shared" si="27"/>
        <v>23729.14</v>
      </c>
      <c r="P514" s="215">
        <f t="shared" si="35"/>
        <v>7813.4820869506402</v>
      </c>
      <c r="Q514" s="215" cm="1">
        <f t="array" ref="Q514">IF(P514="-",0,P514/(1+'General inputs'!$H$32)^IFERROR(INDEX('MP Calculations'!$C$40:$C$130,MATCH(F514,'MP Calculations'!$D$40:$D$130,0),0),-1))</f>
        <v>9211.1848261910254</v>
      </c>
      <c r="R514" s="207">
        <f t="shared" si="37"/>
        <v>2018</v>
      </c>
      <c r="S514" s="215">
        <f>IF(P514="-",0,P514/(1+'General inputs'!$H$32)^(R514-2023))</f>
        <v>9598.0545888910474</v>
      </c>
    </row>
    <row r="515" spans="3:19">
      <c r="C515" s="159"/>
      <c r="D515" s="165" t="s">
        <v>282</v>
      </c>
      <c r="E515" s="161">
        <v>43343</v>
      </c>
      <c r="F515" s="172" t="str">
        <f t="shared" si="34"/>
        <v>2018-19</v>
      </c>
      <c r="G515" s="68"/>
      <c r="H515" s="167" t="s">
        <v>280</v>
      </c>
      <c r="I515" s="173">
        <v>21853.086195380012</v>
      </c>
      <c r="J515" s="168">
        <f>IFERROR(MIN('MP Calculations'!$E$30/I515,1),"-")</f>
        <v>0.32927792945511891</v>
      </c>
      <c r="K515" s="12"/>
      <c r="L515" s="159">
        <v>24.993141000000001</v>
      </c>
      <c r="M515" s="159" t="s">
        <v>293</v>
      </c>
      <c r="N515" s="159">
        <v>511</v>
      </c>
      <c r="O515" s="185">
        <f t="shared" si="27"/>
        <v>12771.495051</v>
      </c>
      <c r="P515" s="215">
        <f t="shared" si="35"/>
        <v>4205.371446439578</v>
      </c>
      <c r="Q515" s="215" cm="1">
        <f t="array" ref="Q515">IF(P515="-",0,P515/(1+'General inputs'!$H$32)^IFERROR(INDEX('MP Calculations'!$C$40:$C$130,MATCH(F515,'MP Calculations'!$D$40:$D$130,0),0),-1))</f>
        <v>4957.6428569069494</v>
      </c>
      <c r="R515" s="207">
        <f t="shared" si="37"/>
        <v>2018</v>
      </c>
      <c r="S515" s="215">
        <f>IF(P515="-",0,P515/(1+'General inputs'!$H$32)^(R515-2023))</f>
        <v>5165.8638568970409</v>
      </c>
    </row>
    <row r="516" spans="3:19">
      <c r="C516" s="159"/>
      <c r="D516" s="165" t="s">
        <v>346</v>
      </c>
      <c r="E516" s="161">
        <v>43374</v>
      </c>
      <c r="F516" s="172" t="str">
        <f t="shared" si="34"/>
        <v>2018-19</v>
      </c>
      <c r="G516" s="68"/>
      <c r="H516" s="167" t="s">
        <v>280</v>
      </c>
      <c r="I516" s="173">
        <v>21853.086195380012</v>
      </c>
      <c r="J516" s="168">
        <f>IFERROR(MIN('MP Calculations'!$E$30/I516,1),"-")</f>
        <v>0.32927792945511891</v>
      </c>
      <c r="K516" s="12"/>
      <c r="L516" s="159">
        <v>1</v>
      </c>
      <c r="M516" s="159" t="s">
        <v>294</v>
      </c>
      <c r="N516" s="159">
        <v>24072.61</v>
      </c>
      <c r="O516" s="185">
        <f t="shared" si="27"/>
        <v>24072.61</v>
      </c>
      <c r="P516" s="215">
        <f t="shared" si="35"/>
        <v>7926.5791773805904</v>
      </c>
      <c r="Q516" s="215" cm="1">
        <f t="array" ref="Q516">IF(P516="-",0,P516/(1+'General inputs'!$H$32)^IFERROR(INDEX('MP Calculations'!$C$40:$C$130,MATCH(F516,'MP Calculations'!$D$40:$D$130,0),0),-1))</f>
        <v>9344.5131158910244</v>
      </c>
      <c r="R516" s="207">
        <f t="shared" si="37"/>
        <v>2018</v>
      </c>
      <c r="S516" s="215">
        <f>IF(P516="-",0,P516/(1+'General inputs'!$H$32)^(R516-2023))</f>
        <v>9736.9826667584475</v>
      </c>
    </row>
    <row r="517" spans="3:19">
      <c r="C517" s="159"/>
      <c r="D517" s="165" t="s">
        <v>283</v>
      </c>
      <c r="E517" s="161">
        <v>43434</v>
      </c>
      <c r="F517" s="172" t="str">
        <f t="shared" si="34"/>
        <v>2018-19</v>
      </c>
      <c r="G517" s="68"/>
      <c r="H517" s="167" t="s">
        <v>280</v>
      </c>
      <c r="I517" s="173">
        <v>21853.086195380012</v>
      </c>
      <c r="J517" s="168">
        <f>IFERROR(MIN('MP Calculations'!$E$30/I517,1),"-")</f>
        <v>0.32927792945511891</v>
      </c>
      <c r="K517" s="12"/>
      <c r="L517" s="159">
        <v>4.4821010000000001</v>
      </c>
      <c r="M517" s="159" t="s">
        <v>293</v>
      </c>
      <c r="N517" s="159">
        <v>350</v>
      </c>
      <c r="O517" s="185">
        <f t="shared" si="27"/>
        <v>1568.7353499999999</v>
      </c>
      <c r="P517" s="215">
        <f t="shared" si="35"/>
        <v>516.54992791105121</v>
      </c>
      <c r="Q517" s="215" cm="1">
        <f t="array" ref="Q517">IF(P517="-",0,P517/(1+'General inputs'!$H$32)^IFERROR(INDEX('MP Calculations'!$C$40:$C$130,MATCH(F517,'MP Calculations'!$D$40:$D$130,0),0),-1))</f>
        <v>608.95216818769939</v>
      </c>
      <c r="R517" s="207">
        <f t="shared" si="37"/>
        <v>2018</v>
      </c>
      <c r="S517" s="215">
        <f>IF(P517="-",0,P517/(1+'General inputs'!$H$32)^(R517-2023))</f>
        <v>634.52815925158279</v>
      </c>
    </row>
    <row r="518" spans="3:19">
      <c r="C518" s="159"/>
      <c r="D518" s="165" t="s">
        <v>283</v>
      </c>
      <c r="E518" s="161">
        <v>43434</v>
      </c>
      <c r="F518" s="172" t="str">
        <f t="shared" si="34"/>
        <v>2018-19</v>
      </c>
      <c r="G518" s="68"/>
      <c r="H518" s="167" t="s">
        <v>280</v>
      </c>
      <c r="I518" s="173">
        <v>21853.086195380012</v>
      </c>
      <c r="J518" s="168">
        <f>IFERROR(MIN('MP Calculations'!$E$30/I518,1),"-")</f>
        <v>0.32927792945511891</v>
      </c>
      <c r="K518" s="12"/>
      <c r="L518" s="159">
        <v>0.50001099999999998</v>
      </c>
      <c r="M518" s="159" t="s">
        <v>293</v>
      </c>
      <c r="N518" s="159">
        <v>350</v>
      </c>
      <c r="O518" s="185">
        <f t="shared" si="27"/>
        <v>175.00385</v>
      </c>
      <c r="P518" s="215">
        <f t="shared" si="35"/>
        <v>57.624905374674213</v>
      </c>
      <c r="Q518" s="215" cm="1">
        <f t="array" ref="Q518">IF(P518="-",0,P518/(1+'General inputs'!$H$32)^IFERROR(INDEX('MP Calculations'!$C$40:$C$130,MATCH(F518,'MP Calculations'!$D$40:$D$130,0),0),-1))</f>
        <v>67.93304804325021</v>
      </c>
      <c r="R518" s="207">
        <f t="shared" si="37"/>
        <v>2018</v>
      </c>
      <c r="S518" s="215">
        <f>IF(P518="-",0,P518/(1+'General inputs'!$H$32)^(R518-2023))</f>
        <v>70.786236061066717</v>
      </c>
    </row>
    <row r="519" spans="3:19">
      <c r="C519" s="159"/>
      <c r="D519" s="165" t="s">
        <v>283</v>
      </c>
      <c r="E519" s="161">
        <v>43434</v>
      </c>
      <c r="F519" s="172" t="str">
        <f t="shared" si="34"/>
        <v>2018-19</v>
      </c>
      <c r="G519" s="68"/>
      <c r="H519" s="167" t="s">
        <v>280</v>
      </c>
      <c r="I519" s="173">
        <v>21853.086195380012</v>
      </c>
      <c r="J519" s="168">
        <f>IFERROR(MIN('MP Calculations'!$E$30/I519,1),"-")</f>
        <v>0.32927792945511891</v>
      </c>
      <c r="K519" s="12"/>
      <c r="L519" s="159">
        <v>0.50001200000000001</v>
      </c>
      <c r="M519" s="159" t="s">
        <v>293</v>
      </c>
      <c r="N519" s="159">
        <v>350</v>
      </c>
      <c r="O519" s="185">
        <f t="shared" si="27"/>
        <v>175.0042</v>
      </c>
      <c r="P519" s="215">
        <f t="shared" si="35"/>
        <v>57.625020621949517</v>
      </c>
      <c r="Q519" s="215" cm="1">
        <f t="array" ref="Q519">IF(P519="-",0,P519/(1+'General inputs'!$H$32)^IFERROR(INDEX('MP Calculations'!$C$40:$C$130,MATCH(F519,'MP Calculations'!$D$40:$D$130,0),0),-1))</f>
        <v>67.9331839063573</v>
      </c>
      <c r="R519" s="207">
        <f t="shared" si="37"/>
        <v>2018</v>
      </c>
      <c r="S519" s="215">
        <f>IF(P519="-",0,P519/(1+'General inputs'!$H$32)^(R519-2023))</f>
        <v>70.786377630424312</v>
      </c>
    </row>
    <row r="520" spans="3:19">
      <c r="C520" s="159"/>
      <c r="D520" s="165" t="s">
        <v>282</v>
      </c>
      <c r="E520" s="161">
        <v>43507</v>
      </c>
      <c r="F520" s="172" t="str">
        <f t="shared" si="34"/>
        <v>2018-19</v>
      </c>
      <c r="G520" s="68"/>
      <c r="H520" s="167" t="s">
        <v>280</v>
      </c>
      <c r="I520" s="173">
        <v>21853.086195380012</v>
      </c>
      <c r="J520" s="168">
        <f>IFERROR(MIN('MP Calculations'!$E$30/I520,1),"-")</f>
        <v>0.32927792945511891</v>
      </c>
      <c r="K520" s="12"/>
      <c r="L520" s="159">
        <v>6.0000080000000002</v>
      </c>
      <c r="M520" s="159" t="s">
        <v>293</v>
      </c>
      <c r="N520" s="159">
        <v>511</v>
      </c>
      <c r="O520" s="185">
        <f t="shared" si="27"/>
        <v>3066.0040880000001</v>
      </c>
      <c r="P520" s="215">
        <f t="shared" si="35"/>
        <v>1009.5674777975703</v>
      </c>
      <c r="Q520" s="215" cm="1">
        <f t="array" ref="Q520">IF(P520="-",0,P520/(1+'General inputs'!$H$32)^IFERROR(INDEX('MP Calculations'!$C$40:$C$130,MATCH(F520,'MP Calculations'!$D$40:$D$130,0),0),-1))</f>
        <v>1190.1624050608348</v>
      </c>
      <c r="R520" s="207">
        <f t="shared" si="37"/>
        <v>2019</v>
      </c>
      <c r="S520" s="215">
        <f>IF(P520="-",0,P520/(1+'General inputs'!$H$32)^(R520-2023))</f>
        <v>1190.1624050608348</v>
      </c>
    </row>
    <row r="521" spans="3:19">
      <c r="C521" s="159"/>
      <c r="D521" s="165" t="s">
        <v>347</v>
      </c>
      <c r="E521" s="161">
        <v>43738</v>
      </c>
      <c r="F521" s="172" t="str">
        <f t="shared" si="34"/>
        <v>2019-20</v>
      </c>
      <c r="G521" s="68"/>
      <c r="H521" s="167" t="s">
        <v>280</v>
      </c>
      <c r="I521" s="173">
        <v>21853.086195380012</v>
      </c>
      <c r="J521" s="168">
        <f>IFERROR(MIN('MP Calculations'!$E$30/I521,1),"-")</f>
        <v>0.32927792945511891</v>
      </c>
      <c r="K521" s="12"/>
      <c r="L521" s="159">
        <v>1</v>
      </c>
      <c r="M521" s="159" t="s">
        <v>294</v>
      </c>
      <c r="N521" s="159">
        <v>6722</v>
      </c>
      <c r="O521" s="185">
        <f t="shared" si="27"/>
        <v>6722</v>
      </c>
      <c r="P521" s="215">
        <f t="shared" si="35"/>
        <v>2213.4062417973091</v>
      </c>
      <c r="Q521" s="215" cm="1">
        <f t="array" ref="Q521">IF(P521="-",0,P521/(1+'General inputs'!$H$32)^IFERROR(INDEX('MP Calculations'!$C$40:$C$130,MATCH(F521,'MP Calculations'!$D$40:$D$130,0),0),-1))</f>
        <v>2504.1727609370041</v>
      </c>
      <c r="R521" s="207">
        <f t="shared" si="37"/>
        <v>2019</v>
      </c>
      <c r="S521" s="215">
        <f>IF(P521="-",0,P521/(1+'General inputs'!$H$32)^(R521-2023))</f>
        <v>2609.3480168963588</v>
      </c>
    </row>
    <row r="522" spans="3:19">
      <c r="C522" s="159"/>
      <c r="D522" s="165" t="s">
        <v>348</v>
      </c>
      <c r="E522" s="161">
        <v>43782</v>
      </c>
      <c r="F522" s="172" t="str">
        <f t="shared" si="34"/>
        <v>2019-20</v>
      </c>
      <c r="G522" s="68"/>
      <c r="H522" s="167" t="s">
        <v>280</v>
      </c>
      <c r="I522" s="173">
        <v>21853.086195380012</v>
      </c>
      <c r="J522" s="168">
        <f>IFERROR(MIN('MP Calculations'!$E$30/I522,1),"-")</f>
        <v>0.32927792945511891</v>
      </c>
      <c r="K522" s="12"/>
      <c r="L522" s="159">
        <v>1</v>
      </c>
      <c r="M522" s="159" t="s">
        <v>294</v>
      </c>
      <c r="N522" s="159">
        <v>1918.38</v>
      </c>
      <c r="O522" s="185">
        <f t="shared" si="27"/>
        <v>1918.38</v>
      </c>
      <c r="P522" s="215">
        <f t="shared" si="35"/>
        <v>631.68019430811103</v>
      </c>
      <c r="Q522" s="215" cm="1">
        <f t="array" ref="Q522">IF(P522="-",0,P522/(1+'General inputs'!$H$32)^IFERROR(INDEX('MP Calculations'!$C$40:$C$130,MATCH(F522,'MP Calculations'!$D$40:$D$130,0),0),-1))</f>
        <v>714.66155030144762</v>
      </c>
      <c r="R522" s="207">
        <f t="shared" si="37"/>
        <v>2019</v>
      </c>
      <c r="S522" s="215">
        <f>IF(P522="-",0,P522/(1+'General inputs'!$H$32)^(R522-2023))</f>
        <v>744.67733541410848</v>
      </c>
    </row>
    <row r="523" spans="3:19">
      <c r="C523" s="159"/>
      <c r="D523" s="165" t="s">
        <v>303</v>
      </c>
      <c r="E523" s="161">
        <v>43865</v>
      </c>
      <c r="F523" s="172" t="str">
        <f t="shared" si="34"/>
        <v>2019-20</v>
      </c>
      <c r="G523" s="68"/>
      <c r="H523" s="167" t="s">
        <v>280</v>
      </c>
      <c r="I523" s="173">
        <v>21853.086195380012</v>
      </c>
      <c r="J523" s="168">
        <f>IFERROR(MIN('MP Calculations'!$E$30/I523,1),"-")</f>
        <v>0.32927792945511891</v>
      </c>
      <c r="K523" s="12"/>
      <c r="L523" s="159">
        <v>1</v>
      </c>
      <c r="M523" s="159" t="s">
        <v>294</v>
      </c>
      <c r="N523" s="159">
        <v>31457.95</v>
      </c>
      <c r="O523" s="185">
        <f t="shared" si="27"/>
        <v>31457.95</v>
      </c>
      <c r="P523" s="215">
        <f t="shared" si="35"/>
        <v>10358.408640902659</v>
      </c>
      <c r="Q523" s="215" cm="1">
        <f t="array" ref="Q523">IF(P523="-",0,P523/(1+'General inputs'!$H$32)^IFERROR(INDEX('MP Calculations'!$C$40:$C$130,MATCH(F523,'MP Calculations'!$D$40:$D$130,0),0),-1))</f>
        <v>11719.15226196344</v>
      </c>
      <c r="R523" s="207">
        <f t="shared" si="37"/>
        <v>2020</v>
      </c>
      <c r="S523" s="215">
        <f>IF(P523="-",0,P523/(1+'General inputs'!$H$32)^(R523-2023))</f>
        <v>11719.15226196344</v>
      </c>
    </row>
    <row r="524" spans="3:19">
      <c r="C524" s="159"/>
      <c r="D524" s="165" t="s">
        <v>283</v>
      </c>
      <c r="E524" s="161">
        <v>44004</v>
      </c>
      <c r="F524" s="172" t="str">
        <f t="shared" si="34"/>
        <v>2019-20</v>
      </c>
      <c r="G524" s="68"/>
      <c r="H524" s="167" t="s">
        <v>280</v>
      </c>
      <c r="I524" s="173">
        <v>21853.086195380012</v>
      </c>
      <c r="J524" s="168">
        <f>IFERROR(MIN('MP Calculations'!$E$30/I524,1),"-")</f>
        <v>0.32927792945511891</v>
      </c>
      <c r="K524" s="12"/>
      <c r="L524" s="159">
        <v>3.6427239999999999</v>
      </c>
      <c r="M524" s="159" t="s">
        <v>293</v>
      </c>
      <c r="N524" s="159">
        <v>350</v>
      </c>
      <c r="O524" s="185">
        <f t="shared" si="27"/>
        <v>1274.9533999999999</v>
      </c>
      <c r="P524" s="215">
        <f t="shared" si="35"/>
        <v>419.81401570376397</v>
      </c>
      <c r="Q524" s="215" cm="1">
        <f t="array" ref="Q524">IF(P524="-",0,P524/(1+'General inputs'!$H$32)^IFERROR(INDEX('MP Calculations'!$C$40:$C$130,MATCH(F524,'MP Calculations'!$D$40:$D$130,0),0),-1))</f>
        <v>474.96334063433812</v>
      </c>
      <c r="R524" s="207">
        <f t="shared" si="37"/>
        <v>2020</v>
      </c>
      <c r="S524" s="215">
        <f>IF(P524="-",0,P524/(1+'General inputs'!$H$32)^(R524-2023))</f>
        <v>474.96334063433812</v>
      </c>
    </row>
    <row r="525" spans="3:19">
      <c r="C525" s="159"/>
      <c r="D525" s="165" t="s">
        <v>283</v>
      </c>
      <c r="E525" s="161">
        <v>44004</v>
      </c>
      <c r="F525" s="172" t="str">
        <f t="shared" si="34"/>
        <v>2019-20</v>
      </c>
      <c r="G525" s="68"/>
      <c r="H525" s="167" t="s">
        <v>280</v>
      </c>
      <c r="I525" s="173">
        <v>21853.086195380012</v>
      </c>
      <c r="J525" s="168">
        <f>IFERROR(MIN('MP Calculations'!$E$30/I525,1),"-")</f>
        <v>0.32927792945511891</v>
      </c>
      <c r="K525" s="12"/>
      <c r="L525" s="159">
        <v>0.75054299999999996</v>
      </c>
      <c r="M525" s="159" t="s">
        <v>293</v>
      </c>
      <c r="N525" s="159">
        <v>350</v>
      </c>
      <c r="O525" s="185">
        <f t="shared" si="27"/>
        <v>262.69004999999999</v>
      </c>
      <c r="P525" s="215">
        <f t="shared" si="35"/>
        <v>86.498035752461661</v>
      </c>
      <c r="Q525" s="215" cm="1">
        <f t="array" ref="Q525">IF(P525="-",0,P525/(1+'General inputs'!$H$32)^IFERROR(INDEX('MP Calculations'!$C$40:$C$130,MATCH(F525,'MP Calculations'!$D$40:$D$130,0),0),-1))</f>
        <v>97.860944328946715</v>
      </c>
      <c r="R525" s="207">
        <f t="shared" si="37"/>
        <v>2020</v>
      </c>
      <c r="S525" s="215">
        <f>IF(P525="-",0,P525/(1+'General inputs'!$H$32)^(R525-2023))</f>
        <v>97.860944328946715</v>
      </c>
    </row>
    <row r="526" spans="3:19">
      <c r="C526" s="159"/>
      <c r="D526" s="165" t="s">
        <v>283</v>
      </c>
      <c r="E526" s="161">
        <v>44004</v>
      </c>
      <c r="F526" s="172" t="str">
        <f t="shared" si="34"/>
        <v>2019-20</v>
      </c>
      <c r="G526" s="68"/>
      <c r="H526" s="167" t="s">
        <v>280</v>
      </c>
      <c r="I526" s="173">
        <v>21853.086195380012</v>
      </c>
      <c r="J526" s="168">
        <f>IFERROR(MIN('MP Calculations'!$E$30/I526,1),"-")</f>
        <v>0.32927792945511891</v>
      </c>
      <c r="K526" s="12"/>
      <c r="L526" s="159">
        <v>0.59408700000000003</v>
      </c>
      <c r="M526" s="159" t="s">
        <v>293</v>
      </c>
      <c r="N526" s="159">
        <v>350</v>
      </c>
      <c r="O526" s="185">
        <f t="shared" si="27"/>
        <v>207.93045000000001</v>
      </c>
      <c r="P526" s="215">
        <f t="shared" si="35"/>
        <v>68.466908046671136</v>
      </c>
      <c r="Q526" s="215" cm="1">
        <f t="array" ref="Q526">IF(P526="-",0,P526/(1+'General inputs'!$H$32)^IFERROR(INDEX('MP Calculations'!$C$40:$C$130,MATCH(F526,'MP Calculations'!$D$40:$D$130,0),0),-1))</f>
        <v>77.461137914218071</v>
      </c>
      <c r="R526" s="207">
        <f t="shared" si="37"/>
        <v>2020</v>
      </c>
      <c r="S526" s="215">
        <f>IF(P526="-",0,P526/(1+'General inputs'!$H$32)^(R526-2023))</f>
        <v>77.461137914218071</v>
      </c>
    </row>
    <row r="527" spans="3:19">
      <c r="C527" s="159"/>
      <c r="D527" s="165" t="s">
        <v>283</v>
      </c>
      <c r="E527" s="161">
        <v>44004</v>
      </c>
      <c r="F527" s="172" t="str">
        <f t="shared" si="34"/>
        <v>2019-20</v>
      </c>
      <c r="G527" s="68"/>
      <c r="H527" s="167" t="s">
        <v>280</v>
      </c>
      <c r="I527" s="173">
        <v>21853.086195380012</v>
      </c>
      <c r="J527" s="168">
        <f>IFERROR(MIN('MP Calculations'!$E$30/I527,1),"-")</f>
        <v>0.32927792945511891</v>
      </c>
      <c r="K527" s="12"/>
      <c r="L527" s="159">
        <v>3.9729239999999999</v>
      </c>
      <c r="M527" s="159" t="s">
        <v>293</v>
      </c>
      <c r="N527" s="159">
        <v>350</v>
      </c>
      <c r="O527" s="185">
        <f t="shared" si="27"/>
        <v>1390.5234</v>
      </c>
      <c r="P527" s="215">
        <f t="shared" si="35"/>
        <v>457.86866601089213</v>
      </c>
      <c r="Q527" s="215" cm="1">
        <f t="array" ref="Q527">IF(P527="-",0,P527/(1+'General inputs'!$H$32)^IFERROR(INDEX('MP Calculations'!$C$40:$C$130,MATCH(F527,'MP Calculations'!$D$40:$D$130,0),0),-1))</f>
        <v>518.01708148252169</v>
      </c>
      <c r="R527" s="207">
        <f t="shared" si="37"/>
        <v>2020</v>
      </c>
      <c r="S527" s="215">
        <f>IF(P527="-",0,P527/(1+'General inputs'!$H$32)^(R527-2023))</f>
        <v>518.01708148252169</v>
      </c>
    </row>
    <row r="528" spans="3:19">
      <c r="C528" s="159"/>
      <c r="D528" s="165" t="s">
        <v>292</v>
      </c>
      <c r="E528" s="161">
        <v>44384</v>
      </c>
      <c r="F528" s="172" t="str">
        <f t="shared" si="34"/>
        <v>2021-22</v>
      </c>
      <c r="G528" s="68"/>
      <c r="H528" s="167" t="s">
        <v>280</v>
      </c>
      <c r="I528" s="173">
        <v>21853.086195380012</v>
      </c>
      <c r="J528" s="168">
        <f>IFERROR(MIN('MP Calculations'!$E$30/I528,1),"-")</f>
        <v>0.32927792945511891</v>
      </c>
      <c r="K528" s="12"/>
      <c r="L528" s="159">
        <v>2.200024</v>
      </c>
      <c r="M528" s="159" t="s">
        <v>293</v>
      </c>
      <c r="N528" s="159">
        <v>589</v>
      </c>
      <c r="O528" s="185">
        <f t="shared" si="27"/>
        <v>1295.814136</v>
      </c>
      <c r="P528" s="215">
        <f t="shared" si="35"/>
        <v>426.68299566075387</v>
      </c>
      <c r="Q528" s="215" cm="1">
        <f t="array" ref="Q528">IF(P528="-",0,P528/(1+'General inputs'!$H$32)^IFERROR(INDEX('MP Calculations'!$C$40:$C$130,MATCH(F528,'MP Calculations'!$D$40:$D$130,0),0),-1))</f>
        <v>444.60368147850556</v>
      </c>
      <c r="R528" s="207">
        <f t="shared" si="37"/>
        <v>2021</v>
      </c>
      <c r="S528" s="215">
        <f>IF(P528="-",0,P528/(1+'General inputs'!$H$32)^(R528-2023))</f>
        <v>463.27703610060286</v>
      </c>
    </row>
    <row r="529" spans="3:19">
      <c r="C529" s="159"/>
      <c r="D529" s="165" t="s">
        <v>292</v>
      </c>
      <c r="E529" s="161">
        <v>44384</v>
      </c>
      <c r="F529" s="172" t="str">
        <f t="shared" si="34"/>
        <v>2021-22</v>
      </c>
      <c r="G529" s="68"/>
      <c r="H529" s="167" t="s">
        <v>280</v>
      </c>
      <c r="I529" s="173">
        <v>21853.086195380012</v>
      </c>
      <c r="J529" s="168">
        <f>IFERROR(MIN('MP Calculations'!$E$30/I529,1),"-")</f>
        <v>0.32927792945511891</v>
      </c>
      <c r="K529" s="12"/>
      <c r="L529" s="159">
        <v>0.87329299999999999</v>
      </c>
      <c r="M529" s="159" t="s">
        <v>293</v>
      </c>
      <c r="N529" s="159">
        <v>589</v>
      </c>
      <c r="O529" s="185">
        <f t="shared" si="27"/>
        <v>514.36957699999994</v>
      </c>
      <c r="P529" s="215">
        <f t="shared" si="35"/>
        <v>169.37054928926534</v>
      </c>
      <c r="Q529" s="215" cm="1">
        <f t="array" ref="Q529">IF(P529="-",0,P529/(1+'General inputs'!$H$32)^IFERROR(INDEX('MP Calculations'!$C$40:$C$130,MATCH(F529,'MP Calculations'!$D$40:$D$130,0),0),-1))</f>
        <v>176.4841123594145</v>
      </c>
      <c r="R529" s="207">
        <f t="shared" si="37"/>
        <v>2021</v>
      </c>
      <c r="S529" s="215">
        <f>IF(P529="-",0,P529/(1+'General inputs'!$H$32)^(R529-2023))</f>
        <v>183.89644507850991</v>
      </c>
    </row>
    <row r="530" spans="3:19">
      <c r="C530" s="159"/>
      <c r="D530" s="165" t="s">
        <v>292</v>
      </c>
      <c r="E530" s="161">
        <v>44384</v>
      </c>
      <c r="F530" s="172" t="str">
        <f t="shared" si="34"/>
        <v>2021-22</v>
      </c>
      <c r="G530" s="68"/>
      <c r="H530" s="167" t="s">
        <v>280</v>
      </c>
      <c r="I530" s="173">
        <v>21853.086195380012</v>
      </c>
      <c r="J530" s="168">
        <f>IFERROR(MIN('MP Calculations'!$E$30/I530,1),"-")</f>
        <v>0.32927792945511891</v>
      </c>
      <c r="K530" s="12"/>
      <c r="L530" s="159">
        <v>0.41240399999999999</v>
      </c>
      <c r="M530" s="159" t="s">
        <v>293</v>
      </c>
      <c r="N530" s="159">
        <v>589</v>
      </c>
      <c r="O530" s="185">
        <f t="shared" si="27"/>
        <v>242.905956</v>
      </c>
      <c r="P530" s="215">
        <f t="shared" si="35"/>
        <v>79.983570243996226</v>
      </c>
      <c r="Q530" s="215" cm="1">
        <f t="array" ref="Q530">IF(P530="-",0,P530/(1+'General inputs'!$H$32)^IFERROR(INDEX('MP Calculations'!$C$40:$C$130,MATCH(F530,'MP Calculations'!$D$40:$D$130,0),0),-1))</f>
        <v>83.342880194244074</v>
      </c>
      <c r="R530" s="207">
        <f t="shared" si="37"/>
        <v>2021</v>
      </c>
      <c r="S530" s="215">
        <f>IF(P530="-",0,P530/(1+'General inputs'!$H$32)^(R530-2023))</f>
        <v>86.843281162402334</v>
      </c>
    </row>
    <row r="531" spans="3:19">
      <c r="C531" s="159"/>
      <c r="D531" s="165" t="s">
        <v>292</v>
      </c>
      <c r="E531" s="161">
        <v>44384</v>
      </c>
      <c r="F531" s="172" t="str">
        <f t="shared" si="34"/>
        <v>2021-22</v>
      </c>
      <c r="G531" s="68"/>
      <c r="H531" s="167" t="s">
        <v>280</v>
      </c>
      <c r="I531" s="173">
        <v>21853.086195380012</v>
      </c>
      <c r="J531" s="168">
        <f>IFERROR(MIN('MP Calculations'!$E$30/I531,1),"-")</f>
        <v>0.32927792945511891</v>
      </c>
      <c r="K531" s="12"/>
      <c r="L531" s="159">
        <v>58.886718000000002</v>
      </c>
      <c r="M531" s="159" t="s">
        <v>293</v>
      </c>
      <c r="N531" s="159">
        <v>589</v>
      </c>
      <c r="O531" s="185">
        <f t="shared" si="27"/>
        <v>34684.276901999998</v>
      </c>
      <c r="P531" s="215">
        <f t="shared" si="35"/>
        <v>11420.766882938566</v>
      </c>
      <c r="Q531" s="215" cm="1">
        <f t="array" ref="Q531">IF(P531="-",0,P531/(1+'General inputs'!$H$32)^IFERROR(INDEX('MP Calculations'!$C$40:$C$130,MATCH(F531,'MP Calculations'!$D$40:$D$130,0),0),-1))</f>
        <v>11900.439092021985</v>
      </c>
      <c r="R531" s="207">
        <f t="shared" si="37"/>
        <v>2021</v>
      </c>
      <c r="S531" s="215">
        <f>IF(P531="-",0,P531/(1+'General inputs'!$H$32)^(R531-2023))</f>
        <v>12400.25753388691</v>
      </c>
    </row>
    <row r="532" spans="3:19">
      <c r="C532" s="159"/>
      <c r="D532" s="165" t="s">
        <v>292</v>
      </c>
      <c r="E532" s="161">
        <v>44384</v>
      </c>
      <c r="F532" s="172" t="str">
        <f t="shared" si="34"/>
        <v>2021-22</v>
      </c>
      <c r="G532" s="68"/>
      <c r="H532" s="167" t="s">
        <v>280</v>
      </c>
      <c r="I532" s="173">
        <v>21853.086195380012</v>
      </c>
      <c r="J532" s="168">
        <f>IFERROR(MIN('MP Calculations'!$E$30/I532,1),"-")</f>
        <v>0.32927792945511891</v>
      </c>
      <c r="K532" s="12"/>
      <c r="L532" s="159">
        <v>0.39173599999999997</v>
      </c>
      <c r="M532" s="159" t="s">
        <v>293</v>
      </c>
      <c r="N532" s="159">
        <v>589</v>
      </c>
      <c r="O532" s="185">
        <f t="shared" si="27"/>
        <v>230.73250399999998</v>
      </c>
      <c r="P532" s="215">
        <f t="shared" si="35"/>
        <v>75.975121175114936</v>
      </c>
      <c r="Q532" s="215" cm="1">
        <f t="array" ref="Q532">IF(P532="-",0,P532/(1+'General inputs'!$H$32)^IFERROR(INDEX('MP Calculations'!$C$40:$C$130,MATCH(F532,'MP Calculations'!$D$40:$D$130,0),0),-1))</f>
        <v>79.166076264469766</v>
      </c>
      <c r="R532" s="207">
        <f t="shared" si="37"/>
        <v>2021</v>
      </c>
      <c r="S532" s="215">
        <f>IF(P532="-",0,P532/(1+'General inputs'!$H$32)^(R532-2023))</f>
        <v>82.491051467577506</v>
      </c>
    </row>
    <row r="533" spans="3:19">
      <c r="C533" s="159"/>
      <c r="D533" s="165" t="s">
        <v>292</v>
      </c>
      <c r="E533" s="161">
        <v>44384</v>
      </c>
      <c r="F533" s="172" t="str">
        <f t="shared" si="34"/>
        <v>2021-22</v>
      </c>
      <c r="G533" s="68"/>
      <c r="H533" s="167" t="s">
        <v>280</v>
      </c>
      <c r="I533" s="173">
        <v>21853.086195380012</v>
      </c>
      <c r="J533" s="168">
        <f>IFERROR(MIN('MP Calculations'!$E$30/I533,1),"-")</f>
        <v>0.32927792945511891</v>
      </c>
      <c r="K533" s="12"/>
      <c r="L533" s="159">
        <v>0.39972099999999999</v>
      </c>
      <c r="M533" s="159" t="s">
        <v>293</v>
      </c>
      <c r="N533" s="159">
        <v>589</v>
      </c>
      <c r="O533" s="185">
        <f t="shared" si="27"/>
        <v>235.43566899999999</v>
      </c>
      <c r="P533" s="215">
        <f t="shared" si="35"/>
        <v>77.523769608200723</v>
      </c>
      <c r="Q533" s="215" cm="1">
        <f t="array" ref="Q533">IF(P533="-",0,P533/(1+'General inputs'!$H$32)^IFERROR(INDEX('MP Calculations'!$C$40:$C$130,MATCH(F533,'MP Calculations'!$D$40:$D$130,0),0),-1))</f>
        <v>80.779767931745155</v>
      </c>
      <c r="R533" s="207">
        <f t="shared" si="37"/>
        <v>2021</v>
      </c>
      <c r="S533" s="215">
        <f>IF(P533="-",0,P533/(1+'General inputs'!$H$32)^(R533-2023))</f>
        <v>84.17251818487847</v>
      </c>
    </row>
    <row r="534" spans="3:19">
      <c r="C534" s="159"/>
      <c r="D534" s="165" t="s">
        <v>292</v>
      </c>
      <c r="E534" s="161">
        <v>44384</v>
      </c>
      <c r="F534" s="172" t="str">
        <f t="shared" ref="F534:F567" si="38">IF(E534="","-",IF(OR(E534&lt;$E$15,E534&gt;$E$16),"ERROR - date outside of range",IF(MONTH(E534)&gt;=7,YEAR(E534)&amp;"-"&amp;IF(YEAR(E534)=1999,"00",IF(AND(YEAR(E534)&gt;=2000,YEAR(E534)&lt;2009),"0","")&amp;RIGHT(YEAR(E534),2)+1),RIGHT(YEAR(E534),4)-1&amp;"-"&amp;RIGHT(YEAR(E534),2))))</f>
        <v>2021-22</v>
      </c>
      <c r="G534" s="68"/>
      <c r="H534" s="167" t="s">
        <v>280</v>
      </c>
      <c r="I534" s="173">
        <v>21853.086195380012</v>
      </c>
      <c r="J534" s="168">
        <f>IFERROR(MIN('MP Calculations'!$E$30/I534,1),"-")</f>
        <v>0.32927792945511891</v>
      </c>
      <c r="K534" s="12"/>
      <c r="L534" s="159">
        <v>1.450888</v>
      </c>
      <c r="M534" s="159" t="s">
        <v>293</v>
      </c>
      <c r="N534" s="159">
        <v>589</v>
      </c>
      <c r="O534" s="185">
        <f t="shared" si="27"/>
        <v>854.57303200000001</v>
      </c>
      <c r="P534" s="215">
        <f t="shared" si="35"/>
        <v>281.39203854514307</v>
      </c>
      <c r="Q534" s="215" cm="1">
        <f t="array" ref="Q534">IF(P534="-",0,P534/(1+'General inputs'!$H$32)^IFERROR(INDEX('MP Calculations'!$C$40:$C$130,MATCH(F534,'MP Calculations'!$D$40:$D$130,0),0),-1))</f>
        <v>293.21050416403909</v>
      </c>
      <c r="R534" s="207">
        <f t="shared" si="37"/>
        <v>2021</v>
      </c>
      <c r="S534" s="215">
        <f>IF(P534="-",0,P534/(1+'General inputs'!$H$32)^(R534-2023))</f>
        <v>305.52534533892879</v>
      </c>
    </row>
    <row r="535" spans="3:19">
      <c r="C535" s="159"/>
      <c r="D535" s="165" t="s">
        <v>292</v>
      </c>
      <c r="E535" s="161">
        <v>44384</v>
      </c>
      <c r="F535" s="172" t="str">
        <f t="shared" si="38"/>
        <v>2021-22</v>
      </c>
      <c r="G535" s="68"/>
      <c r="H535" s="167" t="s">
        <v>280</v>
      </c>
      <c r="I535" s="173">
        <v>21853.086195380012</v>
      </c>
      <c r="J535" s="168">
        <f>IFERROR(MIN('MP Calculations'!$E$30/I535,1),"-")</f>
        <v>0.32927792945511891</v>
      </c>
      <c r="K535" s="12"/>
      <c r="L535" s="159">
        <v>49.892620000000001</v>
      </c>
      <c r="M535" s="159" t="s">
        <v>293</v>
      </c>
      <c r="N535" s="159">
        <v>589</v>
      </c>
      <c r="O535" s="185">
        <f t="shared" si="27"/>
        <v>29386.75318</v>
      </c>
      <c r="P535" s="215">
        <f t="shared" ref="P535:P567" si="39">IF(O535="-","-",IF(OR(E535&lt;$E$15,E535&gt;$E$16),0,O535*J535))</f>
        <v>9676.4092405190313</v>
      </c>
      <c r="Q535" s="215" cm="1">
        <f t="array" ref="Q535">IF(P535="-",0,P535/(1+'General inputs'!$H$32)^IFERROR(INDEX('MP Calculations'!$C$40:$C$130,MATCH(F535,'MP Calculations'!$D$40:$D$130,0),0),-1))</f>
        <v>10082.818428620831</v>
      </c>
      <c r="R535" s="207">
        <f t="shared" si="37"/>
        <v>2021</v>
      </c>
      <c r="S535" s="215">
        <f>IF(P535="-",0,P535/(1+'General inputs'!$H$32)^(R535-2023))</f>
        <v>10506.296802622908</v>
      </c>
    </row>
    <row r="536" spans="3:19">
      <c r="C536" s="159"/>
      <c r="D536" s="165" t="s">
        <v>292</v>
      </c>
      <c r="E536" s="161">
        <v>44384</v>
      </c>
      <c r="F536" s="172" t="str">
        <f t="shared" si="38"/>
        <v>2021-22</v>
      </c>
      <c r="G536" s="68"/>
      <c r="H536" s="167" t="s">
        <v>280</v>
      </c>
      <c r="I536" s="173">
        <v>21853.086195380012</v>
      </c>
      <c r="J536" s="168">
        <f>IFERROR(MIN('MP Calculations'!$E$30/I536,1),"-")</f>
        <v>0.32927792945511891</v>
      </c>
      <c r="K536" s="12"/>
      <c r="L536" s="159">
        <v>10.295463</v>
      </c>
      <c r="M536" s="159" t="s">
        <v>293</v>
      </c>
      <c r="N536" s="159">
        <v>589</v>
      </c>
      <c r="O536" s="185">
        <f t="shared" si="27"/>
        <v>6064.0277070000002</v>
      </c>
      <c r="P536" s="215">
        <f t="shared" si="39"/>
        <v>1996.7504875194325</v>
      </c>
      <c r="Q536" s="215" cm="1">
        <f t="array" ref="Q536">IF(P536="-",0,P536/(1+'General inputs'!$H$32)^IFERROR(INDEX('MP Calculations'!$C$40:$C$130,MATCH(F536,'MP Calculations'!$D$40:$D$130,0),0),-1))</f>
        <v>2080.6140079952488</v>
      </c>
      <c r="R536" s="207">
        <f t="shared" si="37"/>
        <v>2021</v>
      </c>
      <c r="S536" s="215">
        <f>IF(P536="-",0,P536/(1+'General inputs'!$H$32)^(R536-2023))</f>
        <v>2167.9997963310493</v>
      </c>
    </row>
    <row r="537" spans="3:19">
      <c r="C537" s="159"/>
      <c r="D537" s="165" t="s">
        <v>349</v>
      </c>
      <c r="E537" s="161">
        <v>44721</v>
      </c>
      <c r="F537" s="172" t="str">
        <f t="shared" si="38"/>
        <v>2021-22</v>
      </c>
      <c r="G537" s="68"/>
      <c r="H537" s="167" t="s">
        <v>280</v>
      </c>
      <c r="I537" s="173">
        <v>21853.086195380012</v>
      </c>
      <c r="J537" s="168">
        <f>IFERROR(MIN('MP Calculations'!$E$30/I537,1),"-")</f>
        <v>0.32927792945511891</v>
      </c>
      <c r="K537" s="12"/>
      <c r="L537" s="159">
        <v>158.40831600000001</v>
      </c>
      <c r="M537" s="159" t="s">
        <v>293</v>
      </c>
      <c r="N537" s="159">
        <v>1201</v>
      </c>
      <c r="O537" s="185">
        <f t="shared" si="27"/>
        <v>190248.38751600002</v>
      </c>
      <c r="P537" s="215">
        <f t="shared" si="39"/>
        <v>62644.595123443578</v>
      </c>
      <c r="Q537" s="215" cm="1">
        <f t="array" ref="Q537">IF(P537="-",0,P537/(1+'General inputs'!$H$32)^IFERROR(INDEX('MP Calculations'!$C$40:$C$130,MATCH(F537,'MP Calculations'!$D$40:$D$130,0),0),-1))</f>
        <v>65275.668118628208</v>
      </c>
      <c r="R537" s="207">
        <f t="shared" ref="R537:R567" si="40">YEAR(E537)</f>
        <v>2022</v>
      </c>
      <c r="S537" s="215">
        <f>IF(P537="-",0,P537/(1+'General inputs'!$H$32)^(R537-2023))</f>
        <v>65275.668118628208</v>
      </c>
    </row>
    <row r="538" spans="3:19">
      <c r="C538" s="159"/>
      <c r="D538" s="165" t="s">
        <v>349</v>
      </c>
      <c r="E538" s="161">
        <v>44721</v>
      </c>
      <c r="F538" s="172" t="str">
        <f t="shared" si="38"/>
        <v>2021-22</v>
      </c>
      <c r="G538" s="68"/>
      <c r="H538" s="167" t="s">
        <v>280</v>
      </c>
      <c r="I538" s="173">
        <v>21853.086195380012</v>
      </c>
      <c r="J538" s="168">
        <f>IFERROR(MIN('MP Calculations'!$E$30/I538,1),"-")</f>
        <v>0.32927792945511891</v>
      </c>
      <c r="K538" s="12"/>
      <c r="L538" s="159">
        <v>100.000005</v>
      </c>
      <c r="M538" s="159" t="s">
        <v>293</v>
      </c>
      <c r="N538" s="159">
        <v>1201</v>
      </c>
      <c r="O538" s="185">
        <f t="shared" si="27"/>
        <v>120100.006005</v>
      </c>
      <c r="P538" s="215">
        <f t="shared" si="39"/>
        <v>39546.281304873752</v>
      </c>
      <c r="Q538" s="215" cm="1">
        <f t="array" ref="Q538">IF(P538="-",0,P538/(1+'General inputs'!$H$32)^IFERROR(INDEX('MP Calculations'!$C$40:$C$130,MATCH(F538,'MP Calculations'!$D$40:$D$130,0),0),-1))</f>
        <v>41207.225119678449</v>
      </c>
      <c r="R538" s="207">
        <f t="shared" si="40"/>
        <v>2022</v>
      </c>
      <c r="S538" s="215">
        <f>IF(P538="-",0,P538/(1+'General inputs'!$H$32)^(R538-2023))</f>
        <v>41207.225119678449</v>
      </c>
    </row>
    <row r="539" spans="3:19">
      <c r="C539" s="159"/>
      <c r="D539" s="165"/>
      <c r="E539" s="161"/>
      <c r="F539" s="172" t="str">
        <f t="shared" si="38"/>
        <v>-</v>
      </c>
      <c r="G539" s="68"/>
      <c r="H539" s="167"/>
      <c r="I539" s="173"/>
      <c r="J539" s="168" t="str">
        <f>IFERROR(MIN('MP Calculations'!$E$30/I539,1),"-")</f>
        <v>-</v>
      </c>
      <c r="K539" s="12"/>
      <c r="L539" s="159"/>
      <c r="M539" s="159"/>
      <c r="N539" s="159"/>
      <c r="O539" s="185" t="str">
        <f t="shared" si="27"/>
        <v>-</v>
      </c>
      <c r="P539" s="215" t="str">
        <f t="shared" si="39"/>
        <v>-</v>
      </c>
      <c r="Q539" s="215" cm="1">
        <f t="array" ref="Q539">IF(P539="-",0,P539/(1+'General inputs'!$H$32)^IFERROR(INDEX('MP Calculations'!$C$40:$C$130,MATCH(F539,'MP Calculations'!$D$40:$D$130,0),0),-1))</f>
        <v>0</v>
      </c>
      <c r="R539" s="207">
        <f t="shared" si="40"/>
        <v>1900</v>
      </c>
      <c r="S539" s="215">
        <f>IF(P539="-",0,P539/(1+'General inputs'!$H$32)^(R539-2023))</f>
        <v>0</v>
      </c>
    </row>
    <row r="540" spans="3:19">
      <c r="C540" s="159"/>
      <c r="D540" s="165"/>
      <c r="E540" s="161"/>
      <c r="F540" s="172" t="str">
        <f t="shared" si="38"/>
        <v>-</v>
      </c>
      <c r="G540" s="68"/>
      <c r="H540" s="167"/>
      <c r="I540" s="173"/>
      <c r="J540" s="168" t="str">
        <f>IFERROR(MIN('MP Calculations'!$E$30/I540,1),"-")</f>
        <v>-</v>
      </c>
      <c r="K540" s="12"/>
      <c r="L540" s="159"/>
      <c r="M540" s="159"/>
      <c r="N540" s="159"/>
      <c r="O540" s="185" t="str">
        <f t="shared" si="27"/>
        <v>-</v>
      </c>
      <c r="P540" s="215" t="str">
        <f t="shared" si="39"/>
        <v>-</v>
      </c>
      <c r="Q540" s="215" cm="1">
        <f t="array" ref="Q540">IF(P540="-",0,P540/(1+'General inputs'!$H$32)^IFERROR(INDEX('MP Calculations'!$C$40:$C$130,MATCH(F540,'MP Calculations'!$D$40:$D$130,0),0),-1))</f>
        <v>0</v>
      </c>
      <c r="R540" s="207">
        <f t="shared" si="40"/>
        <v>1900</v>
      </c>
      <c r="S540" s="215">
        <f>IF(P540="-",0,P540/(1+'General inputs'!$H$32)^(R540-2023))</f>
        <v>0</v>
      </c>
    </row>
    <row r="541" spans="3:19">
      <c r="C541" s="159"/>
      <c r="D541" s="165"/>
      <c r="E541" s="161"/>
      <c r="F541" s="172" t="str">
        <f t="shared" si="38"/>
        <v>-</v>
      </c>
      <c r="G541" s="68"/>
      <c r="H541" s="167"/>
      <c r="I541" s="173"/>
      <c r="J541" s="168" t="str">
        <f>IFERROR(MIN('MP Calculations'!$E$30/I541,1),"-")</f>
        <v>-</v>
      </c>
      <c r="K541" s="12"/>
      <c r="L541" s="159"/>
      <c r="M541" s="159"/>
      <c r="N541" s="159"/>
      <c r="O541" s="185" t="str">
        <f t="shared" si="27"/>
        <v>-</v>
      </c>
      <c r="P541" s="215" t="str">
        <f t="shared" si="39"/>
        <v>-</v>
      </c>
      <c r="Q541" s="215" cm="1">
        <f t="array" ref="Q541">IF(P541="-",0,P541/(1+'General inputs'!$H$32)^IFERROR(INDEX('MP Calculations'!$C$40:$C$130,MATCH(F541,'MP Calculations'!$D$40:$D$130,0),0),-1))</f>
        <v>0</v>
      </c>
      <c r="R541" s="207">
        <f t="shared" si="40"/>
        <v>1900</v>
      </c>
      <c r="S541" s="215">
        <f>IF(P541="-",0,P541/(1+'General inputs'!$H$32)^(R541-2023))</f>
        <v>0</v>
      </c>
    </row>
    <row r="542" spans="3:19">
      <c r="C542" s="159"/>
      <c r="D542" s="165"/>
      <c r="E542" s="161"/>
      <c r="F542" s="172" t="str">
        <f t="shared" si="38"/>
        <v>-</v>
      </c>
      <c r="G542" s="68"/>
      <c r="H542" s="167"/>
      <c r="I542" s="173"/>
      <c r="J542" s="168" t="str">
        <f>IFERROR(MIN('MP Calculations'!$E$30/I542,1),"-")</f>
        <v>-</v>
      </c>
      <c r="K542" s="12"/>
      <c r="L542" s="159"/>
      <c r="M542" s="159"/>
      <c r="N542" s="159"/>
      <c r="O542" s="185" t="str">
        <f t="shared" ref="O542:O567" si="41">IF(N542="","-",L542*N542)</f>
        <v>-</v>
      </c>
      <c r="P542" s="215" t="str">
        <f t="shared" si="39"/>
        <v>-</v>
      </c>
      <c r="Q542" s="215" cm="1">
        <f t="array" ref="Q542">IF(P542="-",0,P542/(1+'General inputs'!$H$32)^IFERROR(INDEX('MP Calculations'!$C$40:$C$130,MATCH(F542,'MP Calculations'!$D$40:$D$130,0),0),-1))</f>
        <v>0</v>
      </c>
      <c r="R542" s="207">
        <f t="shared" si="40"/>
        <v>1900</v>
      </c>
      <c r="S542" s="215">
        <f>IF(P542="-",0,P542/(1+'General inputs'!$H$32)^(R542-2023))</f>
        <v>0</v>
      </c>
    </row>
    <row r="543" spans="3:19">
      <c r="C543" s="159"/>
      <c r="D543" s="165"/>
      <c r="E543" s="161"/>
      <c r="F543" s="172" t="str">
        <f t="shared" si="38"/>
        <v>-</v>
      </c>
      <c r="G543" s="68"/>
      <c r="H543" s="167"/>
      <c r="I543" s="173"/>
      <c r="J543" s="168" t="str">
        <f>IFERROR(MIN('MP Calculations'!$E$30/I543,1),"-")</f>
        <v>-</v>
      </c>
      <c r="K543" s="12"/>
      <c r="L543" s="159"/>
      <c r="M543" s="159"/>
      <c r="N543" s="159"/>
      <c r="O543" s="185" t="str">
        <f t="shared" si="41"/>
        <v>-</v>
      </c>
      <c r="P543" s="215" t="str">
        <f t="shared" si="39"/>
        <v>-</v>
      </c>
      <c r="Q543" s="215" cm="1">
        <f t="array" ref="Q543">IF(P543="-",0,P543/(1+'General inputs'!$H$32)^IFERROR(INDEX('MP Calculations'!$C$40:$C$130,MATCH(F543,'MP Calculations'!$D$40:$D$130,0),0),-1))</f>
        <v>0</v>
      </c>
      <c r="R543" s="207">
        <f t="shared" si="40"/>
        <v>1900</v>
      </c>
      <c r="S543" s="215">
        <f>IF(P543="-",0,P543/(1+'General inputs'!$H$32)^(R543-2023))</f>
        <v>0</v>
      </c>
    </row>
    <row r="544" spans="3:19">
      <c r="C544" s="159"/>
      <c r="D544" s="165"/>
      <c r="E544" s="161"/>
      <c r="F544" s="172" t="str">
        <f t="shared" si="38"/>
        <v>-</v>
      </c>
      <c r="G544" s="68"/>
      <c r="H544" s="167"/>
      <c r="I544" s="173"/>
      <c r="J544" s="168" t="str">
        <f>IFERROR(MIN('MP Calculations'!$E$30/I544,1),"-")</f>
        <v>-</v>
      </c>
      <c r="K544" s="12"/>
      <c r="L544" s="159"/>
      <c r="M544" s="159"/>
      <c r="N544" s="159"/>
      <c r="O544" s="185" t="str">
        <f t="shared" si="41"/>
        <v>-</v>
      </c>
      <c r="P544" s="215" t="str">
        <f t="shared" si="39"/>
        <v>-</v>
      </c>
      <c r="Q544" s="215" cm="1">
        <f t="array" ref="Q544">IF(P544="-",0,P544/(1+'General inputs'!$H$32)^IFERROR(INDEX('MP Calculations'!$C$40:$C$130,MATCH(F544,'MP Calculations'!$D$40:$D$130,0),0),-1))</f>
        <v>0</v>
      </c>
      <c r="R544" s="207">
        <f t="shared" si="40"/>
        <v>1900</v>
      </c>
      <c r="S544" s="215">
        <f>IF(P544="-",0,P544/(1+'General inputs'!$H$32)^(R544-2023))</f>
        <v>0</v>
      </c>
    </row>
    <row r="545" spans="3:19">
      <c r="C545" s="159"/>
      <c r="D545" s="165"/>
      <c r="E545" s="161"/>
      <c r="F545" s="172" t="str">
        <f t="shared" si="38"/>
        <v>-</v>
      </c>
      <c r="G545" s="68"/>
      <c r="H545" s="167"/>
      <c r="I545" s="173"/>
      <c r="J545" s="168" t="str">
        <f>IFERROR(MIN('MP Calculations'!$E$30/I545,1),"-")</f>
        <v>-</v>
      </c>
      <c r="K545" s="12"/>
      <c r="L545" s="159"/>
      <c r="M545" s="159"/>
      <c r="N545" s="159"/>
      <c r="O545" s="185" t="str">
        <f t="shared" si="41"/>
        <v>-</v>
      </c>
      <c r="P545" s="215" t="str">
        <f t="shared" si="39"/>
        <v>-</v>
      </c>
      <c r="Q545" s="215" cm="1">
        <f t="array" ref="Q545">IF(P545="-",0,P545/(1+'General inputs'!$H$32)^IFERROR(INDEX('MP Calculations'!$C$40:$C$130,MATCH(F545,'MP Calculations'!$D$40:$D$130,0),0),-1))</f>
        <v>0</v>
      </c>
      <c r="R545" s="207">
        <f t="shared" si="40"/>
        <v>1900</v>
      </c>
      <c r="S545" s="215">
        <f>IF(P545="-",0,P545/(1+'General inputs'!$H$32)^(R545-2023))</f>
        <v>0</v>
      </c>
    </row>
    <row r="546" spans="3:19">
      <c r="C546" s="159"/>
      <c r="D546" s="165"/>
      <c r="E546" s="161"/>
      <c r="F546" s="172" t="str">
        <f t="shared" si="38"/>
        <v>-</v>
      </c>
      <c r="G546" s="68"/>
      <c r="H546" s="167"/>
      <c r="I546" s="173"/>
      <c r="J546" s="168" t="str">
        <f>IFERROR(MIN('MP Calculations'!$E$30/I546,1),"-")</f>
        <v>-</v>
      </c>
      <c r="K546" s="12"/>
      <c r="L546" s="159"/>
      <c r="M546" s="159"/>
      <c r="N546" s="159"/>
      <c r="O546" s="185" t="str">
        <f t="shared" si="41"/>
        <v>-</v>
      </c>
      <c r="P546" s="215" t="str">
        <f t="shared" si="39"/>
        <v>-</v>
      </c>
      <c r="Q546" s="215" cm="1">
        <f t="array" ref="Q546">IF(P546="-",0,P546/(1+'General inputs'!$H$32)^IFERROR(INDEX('MP Calculations'!$C$40:$C$130,MATCH(F546,'MP Calculations'!$D$40:$D$130,0),0),-1))</f>
        <v>0</v>
      </c>
      <c r="R546" s="207">
        <f t="shared" si="40"/>
        <v>1900</v>
      </c>
      <c r="S546" s="215">
        <f>IF(P546="-",0,P546/(1+'General inputs'!$H$32)^(R546-2023))</f>
        <v>0</v>
      </c>
    </row>
    <row r="547" spans="3:19">
      <c r="C547" s="159"/>
      <c r="D547" s="165"/>
      <c r="E547" s="161"/>
      <c r="F547" s="172" t="str">
        <f t="shared" si="38"/>
        <v>-</v>
      </c>
      <c r="G547" s="68"/>
      <c r="H547" s="167"/>
      <c r="I547" s="173"/>
      <c r="J547" s="168" t="str">
        <f>IFERROR(MIN('MP Calculations'!$E$30/I547,1),"-")</f>
        <v>-</v>
      </c>
      <c r="K547" s="12"/>
      <c r="L547" s="159"/>
      <c r="M547" s="159"/>
      <c r="N547" s="159"/>
      <c r="O547" s="185" t="str">
        <f t="shared" si="41"/>
        <v>-</v>
      </c>
      <c r="P547" s="215" t="str">
        <f t="shared" si="39"/>
        <v>-</v>
      </c>
      <c r="Q547" s="215" cm="1">
        <f t="array" ref="Q547">IF(P547="-",0,P547/(1+'General inputs'!$H$32)^IFERROR(INDEX('MP Calculations'!$C$40:$C$130,MATCH(F547,'MP Calculations'!$D$40:$D$130,0),0),-1))</f>
        <v>0</v>
      </c>
      <c r="R547" s="207">
        <f t="shared" si="40"/>
        <v>1900</v>
      </c>
      <c r="S547" s="215">
        <f>IF(P547="-",0,P547/(1+'General inputs'!$H$32)^(R547-2023))</f>
        <v>0</v>
      </c>
    </row>
    <row r="548" spans="3:19">
      <c r="C548" s="159"/>
      <c r="D548" s="165"/>
      <c r="E548" s="161"/>
      <c r="F548" s="172" t="str">
        <f t="shared" si="38"/>
        <v>-</v>
      </c>
      <c r="G548" s="68"/>
      <c r="H548" s="167"/>
      <c r="I548" s="173"/>
      <c r="J548" s="168" t="str">
        <f>IFERROR(MIN('MP Calculations'!$E$30/I548,1),"-")</f>
        <v>-</v>
      </c>
      <c r="K548" s="12"/>
      <c r="L548" s="159"/>
      <c r="M548" s="159"/>
      <c r="N548" s="159"/>
      <c r="O548" s="185" t="str">
        <f t="shared" si="41"/>
        <v>-</v>
      </c>
      <c r="P548" s="215" t="str">
        <f t="shared" si="39"/>
        <v>-</v>
      </c>
      <c r="Q548" s="215" cm="1">
        <f t="array" ref="Q548">IF(P548="-",0,P548/(1+'General inputs'!$H$32)^IFERROR(INDEX('MP Calculations'!$C$40:$C$130,MATCH(F548,'MP Calculations'!$D$40:$D$130,0),0),-1))</f>
        <v>0</v>
      </c>
      <c r="R548" s="207">
        <f t="shared" si="40"/>
        <v>1900</v>
      </c>
      <c r="S548" s="215">
        <f>IF(P548="-",0,P548/(1+'General inputs'!$H$32)^(R548-2023))</f>
        <v>0</v>
      </c>
    </row>
    <row r="549" spans="3:19">
      <c r="C549" s="159"/>
      <c r="D549" s="165"/>
      <c r="E549" s="161"/>
      <c r="F549" s="172" t="str">
        <f t="shared" si="38"/>
        <v>-</v>
      </c>
      <c r="G549" s="68"/>
      <c r="H549" s="167"/>
      <c r="I549" s="173"/>
      <c r="J549" s="168" t="str">
        <f>IFERROR(MIN('MP Calculations'!$E$30/I549,1),"-")</f>
        <v>-</v>
      </c>
      <c r="K549" s="12"/>
      <c r="L549" s="159"/>
      <c r="M549" s="159"/>
      <c r="N549" s="159"/>
      <c r="O549" s="185" t="str">
        <f t="shared" si="41"/>
        <v>-</v>
      </c>
      <c r="P549" s="215" t="str">
        <f t="shared" si="39"/>
        <v>-</v>
      </c>
      <c r="Q549" s="215" cm="1">
        <f t="array" ref="Q549">IF(P549="-",0,P549/(1+'General inputs'!$H$32)^IFERROR(INDEX('MP Calculations'!$C$40:$C$130,MATCH(F549,'MP Calculations'!$D$40:$D$130,0),0),-1))</f>
        <v>0</v>
      </c>
      <c r="R549" s="207">
        <f t="shared" si="40"/>
        <v>1900</v>
      </c>
      <c r="S549" s="215">
        <f>IF(P549="-",0,P549/(1+'General inputs'!$H$32)^(R549-2023))</f>
        <v>0</v>
      </c>
    </row>
    <row r="550" spans="3:19">
      <c r="C550" s="159"/>
      <c r="D550" s="165"/>
      <c r="E550" s="161"/>
      <c r="F550" s="172" t="str">
        <f t="shared" si="38"/>
        <v>-</v>
      </c>
      <c r="G550" s="68"/>
      <c r="H550" s="167"/>
      <c r="I550" s="173"/>
      <c r="J550" s="168" t="str">
        <f>IFERROR(MIN('MP Calculations'!$E$30/I550,1),"-")</f>
        <v>-</v>
      </c>
      <c r="K550" s="12"/>
      <c r="L550" s="159"/>
      <c r="M550" s="159"/>
      <c r="N550" s="159"/>
      <c r="O550" s="185" t="str">
        <f t="shared" si="41"/>
        <v>-</v>
      </c>
      <c r="P550" s="215" t="str">
        <f t="shared" si="39"/>
        <v>-</v>
      </c>
      <c r="Q550" s="215" cm="1">
        <f t="array" ref="Q550">IF(P550="-",0,P550/(1+'General inputs'!$H$32)^IFERROR(INDEX('MP Calculations'!$C$40:$C$130,MATCH(F550,'MP Calculations'!$D$40:$D$130,0),0),-1))</f>
        <v>0</v>
      </c>
      <c r="R550" s="207">
        <f t="shared" si="40"/>
        <v>1900</v>
      </c>
      <c r="S550" s="215">
        <f>IF(P550="-",0,P550/(1+'General inputs'!$H$32)^(R550-2023))</f>
        <v>0</v>
      </c>
    </row>
    <row r="551" spans="3:19">
      <c r="C551" s="159"/>
      <c r="D551" s="165"/>
      <c r="E551" s="161"/>
      <c r="F551" s="172" t="str">
        <f t="shared" si="38"/>
        <v>-</v>
      </c>
      <c r="G551" s="68"/>
      <c r="H551" s="167"/>
      <c r="I551" s="173"/>
      <c r="J551" s="168" t="str">
        <f>IFERROR(MIN('MP Calculations'!$E$30/I551,1),"-")</f>
        <v>-</v>
      </c>
      <c r="K551" s="12"/>
      <c r="L551" s="159"/>
      <c r="M551" s="159"/>
      <c r="N551" s="159"/>
      <c r="O551" s="185" t="str">
        <f t="shared" si="41"/>
        <v>-</v>
      </c>
      <c r="P551" s="215" t="str">
        <f t="shared" si="39"/>
        <v>-</v>
      </c>
      <c r="Q551" s="215" cm="1">
        <f t="array" ref="Q551">IF(P551="-",0,P551/(1+'General inputs'!$H$32)^IFERROR(INDEX('MP Calculations'!$C$40:$C$130,MATCH(F551,'MP Calculations'!$D$40:$D$130,0),0),-1))</f>
        <v>0</v>
      </c>
      <c r="R551" s="207">
        <f t="shared" si="40"/>
        <v>1900</v>
      </c>
      <c r="S551" s="215">
        <f>IF(P551="-",0,P551/(1+'General inputs'!$H$32)^(R551-2023))</f>
        <v>0</v>
      </c>
    </row>
    <row r="552" spans="3:19">
      <c r="C552" s="159"/>
      <c r="D552" s="165"/>
      <c r="E552" s="161"/>
      <c r="F552" s="172" t="str">
        <f t="shared" si="38"/>
        <v>-</v>
      </c>
      <c r="G552" s="68"/>
      <c r="H552" s="167"/>
      <c r="I552" s="173"/>
      <c r="J552" s="168" t="str">
        <f>IFERROR(MIN('MP Calculations'!$E$30/I552,1),"-")</f>
        <v>-</v>
      </c>
      <c r="K552" s="12"/>
      <c r="L552" s="159"/>
      <c r="M552" s="159"/>
      <c r="N552" s="159"/>
      <c r="O552" s="185" t="str">
        <f t="shared" si="41"/>
        <v>-</v>
      </c>
      <c r="P552" s="215" t="str">
        <f t="shared" si="39"/>
        <v>-</v>
      </c>
      <c r="Q552" s="215" cm="1">
        <f t="array" ref="Q552">IF(P552="-",0,P552/(1+'General inputs'!$H$32)^IFERROR(INDEX('MP Calculations'!$C$40:$C$130,MATCH(F552,'MP Calculations'!$D$40:$D$130,0),0),-1))</f>
        <v>0</v>
      </c>
      <c r="R552" s="207">
        <f t="shared" si="40"/>
        <v>1900</v>
      </c>
      <c r="S552" s="215">
        <f>IF(P552="-",0,P552/(1+'General inputs'!$H$32)^(R552-2023))</f>
        <v>0</v>
      </c>
    </row>
    <row r="553" spans="3:19">
      <c r="C553" s="159"/>
      <c r="D553" s="165"/>
      <c r="E553" s="161"/>
      <c r="F553" s="172" t="str">
        <f t="shared" si="38"/>
        <v>-</v>
      </c>
      <c r="G553" s="68"/>
      <c r="H553" s="167"/>
      <c r="I553" s="173"/>
      <c r="J553" s="168" t="str">
        <f>IFERROR(MIN('MP Calculations'!$E$30/I553,1),"-")</f>
        <v>-</v>
      </c>
      <c r="K553" s="12"/>
      <c r="L553" s="159"/>
      <c r="M553" s="159"/>
      <c r="N553" s="159"/>
      <c r="O553" s="185" t="str">
        <f t="shared" si="41"/>
        <v>-</v>
      </c>
      <c r="P553" s="215" t="str">
        <f t="shared" si="39"/>
        <v>-</v>
      </c>
      <c r="Q553" s="215" cm="1">
        <f t="array" ref="Q553">IF(P553="-",0,P553/(1+'General inputs'!$H$32)^IFERROR(INDEX('MP Calculations'!$C$40:$C$130,MATCH(F553,'MP Calculations'!$D$40:$D$130,0),0),-1))</f>
        <v>0</v>
      </c>
      <c r="R553" s="207">
        <f t="shared" si="40"/>
        <v>1900</v>
      </c>
      <c r="S553" s="215">
        <f>IF(P553="-",0,P553/(1+'General inputs'!$H$32)^(R553-2023))</f>
        <v>0</v>
      </c>
    </row>
    <row r="554" spans="3:19">
      <c r="C554" s="159"/>
      <c r="D554" s="165"/>
      <c r="E554" s="161"/>
      <c r="F554" s="172" t="str">
        <f t="shared" si="38"/>
        <v>-</v>
      </c>
      <c r="G554" s="68"/>
      <c r="H554" s="167"/>
      <c r="I554" s="173"/>
      <c r="J554" s="168" t="str">
        <f>IFERROR(MIN('MP Calculations'!$E$30/I554,1),"-")</f>
        <v>-</v>
      </c>
      <c r="K554" s="12"/>
      <c r="L554" s="159"/>
      <c r="M554" s="159"/>
      <c r="N554" s="159"/>
      <c r="O554" s="185" t="str">
        <f t="shared" si="41"/>
        <v>-</v>
      </c>
      <c r="P554" s="215" t="str">
        <f t="shared" si="39"/>
        <v>-</v>
      </c>
      <c r="Q554" s="215" cm="1">
        <f t="array" ref="Q554">IF(P554="-",0,P554/(1+'General inputs'!$H$32)^IFERROR(INDEX('MP Calculations'!$C$40:$C$130,MATCH(F554,'MP Calculations'!$D$40:$D$130,0),0),-1))</f>
        <v>0</v>
      </c>
      <c r="R554" s="207">
        <f t="shared" si="40"/>
        <v>1900</v>
      </c>
      <c r="S554" s="215">
        <f>IF(P554="-",0,P554/(1+'General inputs'!$H$32)^(R554-2023))</f>
        <v>0</v>
      </c>
    </row>
    <row r="555" spans="3:19">
      <c r="C555" s="159"/>
      <c r="D555" s="165"/>
      <c r="E555" s="161"/>
      <c r="F555" s="172" t="str">
        <f t="shared" si="38"/>
        <v>-</v>
      </c>
      <c r="G555" s="68"/>
      <c r="H555" s="167"/>
      <c r="I555" s="173"/>
      <c r="J555" s="168" t="str">
        <f>IFERROR(MIN('MP Calculations'!$E$30/I555,1),"-")</f>
        <v>-</v>
      </c>
      <c r="K555" s="12"/>
      <c r="L555" s="159"/>
      <c r="M555" s="159"/>
      <c r="N555" s="159"/>
      <c r="O555" s="185" t="str">
        <f t="shared" si="41"/>
        <v>-</v>
      </c>
      <c r="P555" s="215" t="str">
        <f t="shared" si="39"/>
        <v>-</v>
      </c>
      <c r="Q555" s="215" cm="1">
        <f t="array" ref="Q555">IF(P555="-",0,P555/(1+'General inputs'!$H$32)^IFERROR(INDEX('MP Calculations'!$C$40:$C$130,MATCH(F555,'MP Calculations'!$D$40:$D$130,0),0),-1))</f>
        <v>0</v>
      </c>
      <c r="R555" s="207">
        <f t="shared" si="40"/>
        <v>1900</v>
      </c>
      <c r="S555" s="215">
        <f>IF(P555="-",0,P555/(1+'General inputs'!$H$32)^(R555-2023))</f>
        <v>0</v>
      </c>
    </row>
    <row r="556" spans="3:19">
      <c r="C556" s="159"/>
      <c r="D556" s="165"/>
      <c r="E556" s="161"/>
      <c r="F556" s="172" t="str">
        <f t="shared" si="38"/>
        <v>-</v>
      </c>
      <c r="G556" s="68"/>
      <c r="H556" s="167"/>
      <c r="I556" s="173"/>
      <c r="J556" s="168" t="str">
        <f>IFERROR(MIN('MP Calculations'!$E$30/I556,1),"-")</f>
        <v>-</v>
      </c>
      <c r="K556" s="12"/>
      <c r="L556" s="159"/>
      <c r="M556" s="159"/>
      <c r="N556" s="159"/>
      <c r="O556" s="185" t="str">
        <f t="shared" si="41"/>
        <v>-</v>
      </c>
      <c r="P556" s="215" t="str">
        <f t="shared" si="39"/>
        <v>-</v>
      </c>
      <c r="Q556" s="215" cm="1">
        <f t="array" ref="Q556">IF(P556="-",0,P556/(1+'General inputs'!$H$32)^IFERROR(INDEX('MP Calculations'!$C$40:$C$130,MATCH(F556,'MP Calculations'!$D$40:$D$130,0),0),-1))</f>
        <v>0</v>
      </c>
      <c r="R556" s="207">
        <f t="shared" si="40"/>
        <v>1900</v>
      </c>
      <c r="S556" s="215">
        <f>IF(P556="-",0,P556/(1+'General inputs'!$H$32)^(R556-2023))</f>
        <v>0</v>
      </c>
    </row>
    <row r="557" spans="3:19">
      <c r="C557" s="159"/>
      <c r="D557" s="165"/>
      <c r="E557" s="161"/>
      <c r="F557" s="172" t="str">
        <f t="shared" si="38"/>
        <v>-</v>
      </c>
      <c r="G557" s="68"/>
      <c r="H557" s="167"/>
      <c r="I557" s="173"/>
      <c r="J557" s="168" t="str">
        <f>IFERROR(MIN('MP Calculations'!$E$30/I557,1),"-")</f>
        <v>-</v>
      </c>
      <c r="K557" s="12"/>
      <c r="L557" s="159"/>
      <c r="M557" s="159"/>
      <c r="N557" s="159"/>
      <c r="O557" s="185" t="str">
        <f t="shared" si="41"/>
        <v>-</v>
      </c>
      <c r="P557" s="215" t="str">
        <f t="shared" si="39"/>
        <v>-</v>
      </c>
      <c r="Q557" s="215" cm="1">
        <f t="array" ref="Q557">IF(P557="-",0,P557/(1+'General inputs'!$H$32)^IFERROR(INDEX('MP Calculations'!$C$40:$C$130,MATCH(F557,'MP Calculations'!$D$40:$D$130,0),0),-1))</f>
        <v>0</v>
      </c>
      <c r="R557" s="207">
        <f t="shared" si="40"/>
        <v>1900</v>
      </c>
      <c r="S557" s="215">
        <f>IF(P557="-",0,P557/(1+'General inputs'!$H$32)^(R557-2023))</f>
        <v>0</v>
      </c>
    </row>
    <row r="558" spans="3:19">
      <c r="C558" s="159"/>
      <c r="D558" s="165"/>
      <c r="E558" s="161"/>
      <c r="F558" s="172" t="str">
        <f t="shared" si="38"/>
        <v>-</v>
      </c>
      <c r="G558" s="68"/>
      <c r="H558" s="167"/>
      <c r="I558" s="173"/>
      <c r="J558" s="168" t="str">
        <f>IFERROR(MIN('MP Calculations'!$E$30/I558,1),"-")</f>
        <v>-</v>
      </c>
      <c r="K558" s="12"/>
      <c r="L558" s="159"/>
      <c r="M558" s="159"/>
      <c r="N558" s="159"/>
      <c r="O558" s="185" t="str">
        <f t="shared" si="41"/>
        <v>-</v>
      </c>
      <c r="P558" s="215" t="str">
        <f t="shared" si="39"/>
        <v>-</v>
      </c>
      <c r="Q558" s="215" cm="1">
        <f t="array" ref="Q558">IF(P558="-",0,P558/(1+'General inputs'!$H$32)^IFERROR(INDEX('MP Calculations'!$C$40:$C$130,MATCH(F558,'MP Calculations'!$D$40:$D$130,0),0),-1))</f>
        <v>0</v>
      </c>
      <c r="R558" s="207">
        <f t="shared" si="40"/>
        <v>1900</v>
      </c>
      <c r="S558" s="215">
        <f>IF(P558="-",0,P558/(1+'General inputs'!$H$32)^(R558-2023))</f>
        <v>0</v>
      </c>
    </row>
    <row r="559" spans="3:19">
      <c r="C559" s="159"/>
      <c r="D559" s="165"/>
      <c r="E559" s="161"/>
      <c r="F559" s="172" t="str">
        <f t="shared" si="38"/>
        <v>-</v>
      </c>
      <c r="G559" s="68"/>
      <c r="H559" s="167"/>
      <c r="I559" s="173"/>
      <c r="J559" s="168" t="str">
        <f>IFERROR(MIN('MP Calculations'!$E$30/I559,1),"-")</f>
        <v>-</v>
      </c>
      <c r="K559" s="12"/>
      <c r="L559" s="159"/>
      <c r="M559" s="159"/>
      <c r="N559" s="159"/>
      <c r="O559" s="185" t="str">
        <f t="shared" si="41"/>
        <v>-</v>
      </c>
      <c r="P559" s="215" t="str">
        <f t="shared" si="39"/>
        <v>-</v>
      </c>
      <c r="Q559" s="215" cm="1">
        <f t="array" ref="Q559">IF(P559="-",0,P559/(1+'General inputs'!$H$32)^IFERROR(INDEX('MP Calculations'!$C$40:$C$130,MATCH(F559,'MP Calculations'!$D$40:$D$130,0),0),-1))</f>
        <v>0</v>
      </c>
      <c r="R559" s="207">
        <f t="shared" si="40"/>
        <v>1900</v>
      </c>
      <c r="S559" s="215">
        <f>IF(P559="-",0,P559/(1+'General inputs'!$H$32)^(R559-2023))</f>
        <v>0</v>
      </c>
    </row>
    <row r="560" spans="3:19">
      <c r="C560" s="159"/>
      <c r="D560" s="165"/>
      <c r="E560" s="161"/>
      <c r="F560" s="172" t="str">
        <f t="shared" si="38"/>
        <v>-</v>
      </c>
      <c r="G560" s="68"/>
      <c r="H560" s="167"/>
      <c r="I560" s="173"/>
      <c r="J560" s="168" t="str">
        <f>IFERROR(MIN('MP Calculations'!$E$30/I560,1),"-")</f>
        <v>-</v>
      </c>
      <c r="K560" s="12"/>
      <c r="L560" s="159"/>
      <c r="M560" s="159"/>
      <c r="N560" s="159"/>
      <c r="O560" s="185" t="str">
        <f t="shared" si="41"/>
        <v>-</v>
      </c>
      <c r="P560" s="215" t="str">
        <f t="shared" si="39"/>
        <v>-</v>
      </c>
      <c r="Q560" s="215" cm="1">
        <f t="array" ref="Q560">IF(P560="-",0,P560/(1+'General inputs'!$H$32)^IFERROR(INDEX('MP Calculations'!$C$40:$C$130,MATCH(F560,'MP Calculations'!$D$40:$D$130,0),0),-1))</f>
        <v>0</v>
      </c>
      <c r="R560" s="207">
        <f t="shared" si="40"/>
        <v>1900</v>
      </c>
      <c r="S560" s="215">
        <f>IF(P560="-",0,P560/(1+'General inputs'!$H$32)^(R560-2023))</f>
        <v>0</v>
      </c>
    </row>
    <row r="561" spans="3:19">
      <c r="C561" s="159"/>
      <c r="D561" s="165"/>
      <c r="E561" s="161"/>
      <c r="F561" s="172" t="str">
        <f t="shared" si="38"/>
        <v>-</v>
      </c>
      <c r="G561" s="68"/>
      <c r="H561" s="167"/>
      <c r="I561" s="173"/>
      <c r="J561" s="168" t="str">
        <f>IFERROR(MIN('MP Calculations'!$E$30/I561,1),"-")</f>
        <v>-</v>
      </c>
      <c r="K561" s="12"/>
      <c r="L561" s="159"/>
      <c r="M561" s="159"/>
      <c r="N561" s="159"/>
      <c r="O561" s="185" t="str">
        <f t="shared" si="41"/>
        <v>-</v>
      </c>
      <c r="P561" s="215" t="str">
        <f t="shared" si="39"/>
        <v>-</v>
      </c>
      <c r="Q561" s="215" cm="1">
        <f t="array" ref="Q561">IF(P561="-",0,P561/(1+'General inputs'!$H$32)^IFERROR(INDEX('MP Calculations'!$C$40:$C$130,MATCH(F561,'MP Calculations'!$D$40:$D$130,0),0),-1))</f>
        <v>0</v>
      </c>
      <c r="R561" s="207">
        <f t="shared" si="40"/>
        <v>1900</v>
      </c>
      <c r="S561" s="215">
        <f>IF(P561="-",0,P561/(1+'General inputs'!$H$32)^(R561-2023))</f>
        <v>0</v>
      </c>
    </row>
    <row r="562" spans="3:19">
      <c r="C562" s="159"/>
      <c r="D562" s="165"/>
      <c r="E562" s="161"/>
      <c r="F562" s="172" t="str">
        <f t="shared" si="38"/>
        <v>-</v>
      </c>
      <c r="G562" s="68"/>
      <c r="H562" s="167"/>
      <c r="I562" s="173"/>
      <c r="J562" s="168" t="str">
        <f>IFERROR(MIN('MP Calculations'!$E$30/I562,1),"-")</f>
        <v>-</v>
      </c>
      <c r="K562" s="12"/>
      <c r="L562" s="159"/>
      <c r="M562" s="159"/>
      <c r="N562" s="159"/>
      <c r="O562" s="185" t="str">
        <f t="shared" si="41"/>
        <v>-</v>
      </c>
      <c r="P562" s="215" t="str">
        <f t="shared" si="39"/>
        <v>-</v>
      </c>
      <c r="Q562" s="215" cm="1">
        <f t="array" ref="Q562">IF(P562="-",0,P562/(1+'General inputs'!$H$32)^IFERROR(INDEX('MP Calculations'!$C$40:$C$130,MATCH(F562,'MP Calculations'!$D$40:$D$130,0),0),-1))</f>
        <v>0</v>
      </c>
      <c r="R562" s="207">
        <f t="shared" si="40"/>
        <v>1900</v>
      </c>
      <c r="S562" s="215">
        <f>IF(P562="-",0,P562/(1+'General inputs'!$H$32)^(R562-2023))</f>
        <v>0</v>
      </c>
    </row>
    <row r="563" spans="3:19">
      <c r="C563" s="159"/>
      <c r="D563" s="165"/>
      <c r="E563" s="161"/>
      <c r="F563" s="172" t="str">
        <f t="shared" si="38"/>
        <v>-</v>
      </c>
      <c r="G563" s="68"/>
      <c r="H563" s="167"/>
      <c r="I563" s="173"/>
      <c r="J563" s="168" t="str">
        <f>IFERROR(MIN('MP Calculations'!$E$30/I563,1),"-")</f>
        <v>-</v>
      </c>
      <c r="K563" s="12"/>
      <c r="L563" s="159"/>
      <c r="M563" s="159"/>
      <c r="N563" s="159"/>
      <c r="O563" s="185" t="str">
        <f t="shared" si="41"/>
        <v>-</v>
      </c>
      <c r="P563" s="215" t="str">
        <f t="shared" si="39"/>
        <v>-</v>
      </c>
      <c r="Q563" s="215" cm="1">
        <f t="array" ref="Q563">IF(P563="-",0,P563/(1+'General inputs'!$H$32)^IFERROR(INDEX('MP Calculations'!$C$40:$C$130,MATCH(F563,'MP Calculations'!$D$40:$D$130,0),0),-1))</f>
        <v>0</v>
      </c>
      <c r="R563" s="207">
        <f t="shared" si="40"/>
        <v>1900</v>
      </c>
      <c r="S563" s="215">
        <f>IF(P563="-",0,P563/(1+'General inputs'!$H$32)^(R563-2023))</f>
        <v>0</v>
      </c>
    </row>
    <row r="564" spans="3:19">
      <c r="C564" s="159"/>
      <c r="D564" s="165"/>
      <c r="E564" s="161"/>
      <c r="F564" s="172" t="str">
        <f t="shared" si="38"/>
        <v>-</v>
      </c>
      <c r="G564" s="68"/>
      <c r="H564" s="167"/>
      <c r="I564" s="173"/>
      <c r="J564" s="168" t="str">
        <f>IFERROR(MIN('MP Calculations'!$E$30/I564,1),"-")</f>
        <v>-</v>
      </c>
      <c r="K564" s="12"/>
      <c r="L564" s="159"/>
      <c r="M564" s="159"/>
      <c r="N564" s="159"/>
      <c r="O564" s="185" t="str">
        <f t="shared" si="41"/>
        <v>-</v>
      </c>
      <c r="P564" s="215" t="str">
        <f t="shared" si="39"/>
        <v>-</v>
      </c>
      <c r="Q564" s="215" cm="1">
        <f t="array" ref="Q564">IF(P564="-",0,P564/(1+'General inputs'!$H$32)^IFERROR(INDEX('MP Calculations'!$C$40:$C$130,MATCH(F564,'MP Calculations'!$D$40:$D$130,0),0),-1))</f>
        <v>0</v>
      </c>
      <c r="R564" s="207">
        <f t="shared" si="40"/>
        <v>1900</v>
      </c>
      <c r="S564" s="215">
        <f>IF(P564="-",0,P564/(1+'General inputs'!$H$32)^(R564-2023))</f>
        <v>0</v>
      </c>
    </row>
    <row r="565" spans="3:19">
      <c r="C565" s="159"/>
      <c r="D565" s="165"/>
      <c r="E565" s="161"/>
      <c r="F565" s="172" t="str">
        <f t="shared" si="38"/>
        <v>-</v>
      </c>
      <c r="G565" s="68"/>
      <c r="H565" s="167"/>
      <c r="I565" s="173"/>
      <c r="J565" s="168" t="str">
        <f>IFERROR(MIN('MP Calculations'!$E$30/I565,1),"-")</f>
        <v>-</v>
      </c>
      <c r="K565" s="12"/>
      <c r="L565" s="159"/>
      <c r="M565" s="159"/>
      <c r="N565" s="159"/>
      <c r="O565" s="185" t="str">
        <f t="shared" si="41"/>
        <v>-</v>
      </c>
      <c r="P565" s="215" t="str">
        <f t="shared" si="39"/>
        <v>-</v>
      </c>
      <c r="Q565" s="215" cm="1">
        <f t="array" ref="Q565">IF(P565="-",0,P565/(1+'General inputs'!$H$32)^IFERROR(INDEX('MP Calculations'!$C$40:$C$130,MATCH(F565,'MP Calculations'!$D$40:$D$130,0),0),-1))</f>
        <v>0</v>
      </c>
      <c r="R565" s="207">
        <f t="shared" si="40"/>
        <v>1900</v>
      </c>
      <c r="S565" s="215">
        <f>IF(P565="-",0,P565/(1+'General inputs'!$H$32)^(R565-2023))</f>
        <v>0</v>
      </c>
    </row>
    <row r="566" spans="3:19">
      <c r="C566" s="159"/>
      <c r="D566" s="165"/>
      <c r="E566" s="161"/>
      <c r="F566" s="172" t="str">
        <f t="shared" si="38"/>
        <v>-</v>
      </c>
      <c r="G566" s="68"/>
      <c r="H566" s="167"/>
      <c r="I566" s="173"/>
      <c r="J566" s="168" t="str">
        <f>IFERROR(MIN('MP Calculations'!$E$30/I566,1),"-")</f>
        <v>-</v>
      </c>
      <c r="K566" s="12"/>
      <c r="L566" s="159"/>
      <c r="M566" s="159"/>
      <c r="N566" s="159"/>
      <c r="O566" s="185" t="str">
        <f t="shared" si="41"/>
        <v>-</v>
      </c>
      <c r="P566" s="215" t="str">
        <f t="shared" si="39"/>
        <v>-</v>
      </c>
      <c r="Q566" s="215" cm="1">
        <f t="array" ref="Q566">IF(P566="-",0,P566/(1+'General inputs'!$H$32)^IFERROR(INDEX('MP Calculations'!$C$40:$C$130,MATCH(F566,'MP Calculations'!$D$40:$D$130,0),0),-1))</f>
        <v>0</v>
      </c>
      <c r="R566" s="207">
        <f t="shared" si="40"/>
        <v>1900</v>
      </c>
      <c r="S566" s="215">
        <f>IF(P566="-",0,P566/(1+'General inputs'!$H$32)^(R566-2023))</f>
        <v>0</v>
      </c>
    </row>
    <row r="567" spans="3:19">
      <c r="C567" s="160"/>
      <c r="D567" s="211"/>
      <c r="E567" s="203"/>
      <c r="F567" s="222" t="str">
        <f t="shared" si="38"/>
        <v>-</v>
      </c>
      <c r="G567" s="217"/>
      <c r="H567" s="196"/>
      <c r="I567" s="204"/>
      <c r="J567" s="171" t="str">
        <f>IFERROR(MIN('MP Calculations'!$E$30/I567,1),"-")</f>
        <v>-</v>
      </c>
      <c r="K567" s="218"/>
      <c r="L567" s="160"/>
      <c r="M567" s="160"/>
      <c r="N567" s="160"/>
      <c r="O567" s="205" t="str">
        <f t="shared" si="41"/>
        <v>-</v>
      </c>
      <c r="P567" s="216" t="str">
        <f t="shared" si="39"/>
        <v>-</v>
      </c>
      <c r="Q567" s="216" cm="1">
        <f t="array" ref="Q567">IF(P567="-",0,P567/(1+'General inputs'!$H$32)^IFERROR(INDEX('MP Calculations'!$C$40:$C$130,MATCH(F567,'MP Calculations'!$D$40:$D$130,0),0),-1))</f>
        <v>0</v>
      </c>
      <c r="R567" s="236">
        <f t="shared" si="40"/>
        <v>1900</v>
      </c>
      <c r="S567" s="216">
        <f>IF(P567="-",0,P567/(1+'General inputs'!$H$32)^(R567-2023))</f>
        <v>0</v>
      </c>
    </row>
    <row r="568" spans="3:19">
      <c r="D568" s="94"/>
      <c r="O568" s="6" t="s">
        <v>19</v>
      </c>
      <c r="P568" s="234">
        <f>SUM(P22:P567)</f>
        <v>8562472.061395742</v>
      </c>
      <c r="Q568" s="234">
        <f>SUM(Q22:Q567)</f>
        <v>17664204.753761772</v>
      </c>
      <c r="R568" s="234"/>
      <c r="S568" s="234">
        <f>SUM(S22:S567)</f>
        <v>18164978.802051768</v>
      </c>
    </row>
    <row r="570" spans="3:19">
      <c r="R570" s="233" t="s">
        <v>279</v>
      </c>
      <c r="S570" s="232">
        <f>S568/$J$22</f>
        <v>55166098.839696698</v>
      </c>
    </row>
  </sheetData>
  <mergeCells count="1">
    <mergeCell ref="Q20:S20"/>
  </mergeCells>
  <conditionalFormatting sqref="F22:F567">
    <cfRule type="containsText" dxfId="3" priority="2" operator="containsText" text="ERROR">
      <formula>NOT(ISERROR(SEARCH("ERROR",F22)))</formula>
    </cfRule>
  </conditionalFormatting>
  <conditionalFormatting sqref="J22:J567">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I11" sqref="I11"/>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c r="E1" s="27"/>
    </row>
    <row r="2" spans="3:6">
      <c r="E2" s="27"/>
      <c r="F2" s="27"/>
    </row>
    <row r="3" spans="3:6" ht="20">
      <c r="C3" s="50" t="s">
        <v>203</v>
      </c>
    </row>
    <row r="6" spans="3:6"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c r="C7" s="104" t="str">
        <f ca="1">"Hyperlink to the '"&amp;MID(CELL("filename",'Asset exclusions'!A1),FIND("]",CELL("filename",'Asset exclusions'!A1))+1,255)&amp;"' worksheet:"</f>
        <v>Hyperlink to the 'Asset exclusions' worksheet:</v>
      </c>
      <c r="E7" s="134" t="s">
        <v>187</v>
      </c>
    </row>
    <row r="8" spans="3:6">
      <c r="C8" s="104"/>
      <c r="E8" s="134"/>
    </row>
    <row r="9" spans="3:6">
      <c r="C9" s="104" t="s">
        <v>242</v>
      </c>
      <c r="E9" s="134"/>
    </row>
    <row r="10" spans="3:6">
      <c r="C10" s="104" t="s">
        <v>245</v>
      </c>
      <c r="E10" s="134"/>
    </row>
    <row r="11" spans="3:6">
      <c r="C11" s="104" t="s">
        <v>244</v>
      </c>
      <c r="E11" s="134"/>
    </row>
    <row r="12" spans="3:6">
      <c r="C12" s="104" t="s">
        <v>243</v>
      </c>
      <c r="E12" s="134"/>
    </row>
    <row r="14" spans="3:6">
      <c r="C14" s="6" t="s">
        <v>54</v>
      </c>
    </row>
    <row r="15" spans="3:6">
      <c r="C15" s="57" t="s">
        <v>58</v>
      </c>
      <c r="E15" s="231">
        <f>'General inputs'!$H$18+1-365</f>
        <v>44378</v>
      </c>
      <c r="F15" s="57" t="s">
        <v>351</v>
      </c>
    </row>
    <row r="16" spans="3:6">
      <c r="C16" s="57"/>
      <c r="F16" s="241" t="s">
        <v>352</v>
      </c>
    </row>
    <row r="17" spans="3:18">
      <c r="F17" s="241" t="s">
        <v>353</v>
      </c>
    </row>
    <row r="18" spans="3:18" ht="15.5">
      <c r="C18" s="2" t="s">
        <v>209</v>
      </c>
      <c r="I18" s="188"/>
    </row>
    <row r="20" spans="3:18">
      <c r="C20" s="6" t="s">
        <v>16</v>
      </c>
      <c r="H20" s="6" t="s">
        <v>17</v>
      </c>
      <c r="L20" s="6" t="s">
        <v>18</v>
      </c>
      <c r="M20" s="6"/>
    </row>
    <row r="21" spans="3:18" ht="46">
      <c r="C21" s="24" t="s">
        <v>13</v>
      </c>
      <c r="D21" s="24" t="s">
        <v>12</v>
      </c>
      <c r="E21" s="24" t="s">
        <v>14</v>
      </c>
      <c r="F21" s="24" t="s">
        <v>25</v>
      </c>
      <c r="H21" s="24" t="s">
        <v>30</v>
      </c>
      <c r="I21" s="24" t="s">
        <v>90</v>
      </c>
      <c r="J21" s="24" t="s">
        <v>88</v>
      </c>
      <c r="L21" s="24" t="s">
        <v>89</v>
      </c>
      <c r="M21" s="24" t="s">
        <v>115</v>
      </c>
      <c r="N21" s="2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c r="E22" s="161"/>
      <c r="F22" s="164" t="str">
        <f>IF(E22="","-",IF(E22&lt;$E$15,"ERROR - date outside of range",IF(MONTH(E22)&gt;=7,YEAR(E22)&amp;"-"&amp;RIGHT(YEAR(E22),2)+1,YEAR(E22)-1&amp;"-"&amp;RIGHT(YEAR(E22),2))))</f>
        <v>-</v>
      </c>
      <c r="G22" s="68"/>
      <c r="H22" s="167"/>
      <c r="I22" s="192"/>
      <c r="J22" s="189"/>
      <c r="K22" s="12"/>
      <c r="L22" s="158"/>
      <c r="M22" s="158"/>
      <c r="N22" s="173"/>
      <c r="O22" s="225" t="str">
        <f>IF(N22="","-",L22*N22)</f>
        <v>-</v>
      </c>
      <c r="P22" s="226" t="str">
        <f>IF(O22="-","-",IF(E22&lt;$E$15,0,O22*J22))</f>
        <v>-</v>
      </c>
      <c r="Q22" s="215" cm="1">
        <f t="array" ref="Q22">IF(P22="-",0,P22/(1+'General inputs'!$H$32)^IFERROR(INDEX('MP Calculations'!$C$40:$C$130,MATCH(F22,'MP Calculations'!$D$40:$D$130,0),0),-1))</f>
        <v>0</v>
      </c>
    </row>
    <row r="23" spans="3:18">
      <c r="C23" s="159"/>
      <c r="D23" s="165"/>
      <c r="E23" s="161"/>
      <c r="F23" s="169" t="str">
        <f t="shared" ref="F23:F27" si="0">IF(E23="","-",IF(E23&lt;$E$15,"ERROR - date outside of range",IF(MONTH(E23)&gt;=7,YEAR(E23)&amp;"-"&amp;RIGHT(YEAR(E23),2)+1,YEAR(E23)-1&amp;"-"&amp;RIGHT(YEAR(E23),2))))</f>
        <v>-</v>
      </c>
      <c r="G23" s="68"/>
      <c r="H23" s="167"/>
      <c r="I23" s="193"/>
      <c r="J23" s="190"/>
      <c r="K23" s="12"/>
      <c r="L23" s="174"/>
      <c r="M23" s="159"/>
      <c r="N23" s="173"/>
      <c r="O23" s="227" t="str">
        <f t="shared" ref="O23:O28" si="1">IF(N23="","-",L23*N23)</f>
        <v>-</v>
      </c>
      <c r="P23" s="228" t="str">
        <f t="shared" ref="P23:P28" si="2">IF(O23="-","-",IF(E23&lt;$E$15,0,O23*J23))</f>
        <v>-</v>
      </c>
      <c r="Q23" s="215" cm="1">
        <f t="array" ref="Q23">IF(P23="-",0,P23/(1+'General inputs'!$H$32)^IFERROR(INDEX('MP Calculations'!$C$40:$C$130,MATCH(F23,'MP Calculations'!$D$40:$D$130,0),0),-1))</f>
        <v>0</v>
      </c>
      <c r="R23" s="84"/>
    </row>
    <row r="24" spans="3:18">
      <c r="C24" s="159"/>
      <c r="D24" s="165"/>
      <c r="E24" s="161"/>
      <c r="F24" s="169" t="str">
        <f t="shared" si="0"/>
        <v>-</v>
      </c>
      <c r="G24" s="68"/>
      <c r="H24" s="167"/>
      <c r="I24" s="194"/>
      <c r="J24" s="191"/>
      <c r="K24" s="12"/>
      <c r="L24" s="159"/>
      <c r="M24" s="159"/>
      <c r="N24" s="173"/>
      <c r="O24" s="227" t="str">
        <f t="shared" si="1"/>
        <v>-</v>
      </c>
      <c r="P24" s="228" t="str">
        <f t="shared" si="2"/>
        <v>-</v>
      </c>
      <c r="Q24" s="215" cm="1">
        <f t="array" ref="Q24">IF(P24="-",0,P24/(1+'General inputs'!$H$32)^IFERROR(INDEX('MP Calculations'!$C$40:$C$130,MATCH(F24,'MP Calculations'!$D$40:$D$130,0),0),-1))</f>
        <v>0</v>
      </c>
    </row>
    <row r="25" spans="3:18">
      <c r="C25" s="159"/>
      <c r="D25" s="165"/>
      <c r="E25" s="161"/>
      <c r="F25" s="169" t="str">
        <f t="shared" si="0"/>
        <v>-</v>
      </c>
      <c r="G25" s="68"/>
      <c r="H25" s="167"/>
      <c r="I25" s="194"/>
      <c r="J25" s="191"/>
      <c r="K25" s="12"/>
      <c r="L25" s="159"/>
      <c r="M25" s="230"/>
      <c r="N25" s="173"/>
      <c r="O25" s="227" t="str">
        <f t="shared" si="1"/>
        <v>-</v>
      </c>
      <c r="P25" s="228" t="str">
        <f t="shared" si="2"/>
        <v>-</v>
      </c>
      <c r="Q25" s="215" cm="1">
        <f t="array" ref="Q25">IF(P25="-",0,P25/(1+'General inputs'!$H$32)^IFERROR(INDEX('MP Calculations'!$C$40:$C$130,MATCH(F25,'MP Calculations'!$D$40:$D$130,0),0),-1))</f>
        <v>0</v>
      </c>
      <c r="R25" s="188"/>
    </row>
    <row r="26" spans="3:18">
      <c r="C26" s="159"/>
      <c r="D26" s="165"/>
      <c r="E26" s="161"/>
      <c r="F26" s="169" t="str">
        <f t="shared" si="0"/>
        <v>-</v>
      </c>
      <c r="G26" s="68"/>
      <c r="H26" s="167"/>
      <c r="I26" s="194"/>
      <c r="J26" s="191"/>
      <c r="K26" s="12"/>
      <c r="L26" s="159"/>
      <c r="M26" s="230"/>
      <c r="N26" s="173"/>
      <c r="O26" s="227" t="str">
        <f t="shared" si="1"/>
        <v>-</v>
      </c>
      <c r="P26" s="228" t="str">
        <f t="shared" si="2"/>
        <v>-</v>
      </c>
      <c r="Q26" s="215" cm="1">
        <f t="array" ref="Q26">IF(P26="-",0,P26/(1+'General inputs'!$H$32)^IFERROR(INDEX('MP Calculations'!$C$40:$C$130,MATCH(F26,'MP Calculations'!$D$40:$D$130,0),0),-1))</f>
        <v>0</v>
      </c>
    </row>
    <row r="27" spans="3:18">
      <c r="C27" s="159"/>
      <c r="D27" s="165"/>
      <c r="E27" s="161"/>
      <c r="F27" s="169" t="str">
        <f t="shared" si="0"/>
        <v>-</v>
      </c>
      <c r="G27" s="68"/>
      <c r="H27" s="175"/>
      <c r="I27" s="194"/>
      <c r="J27" s="191"/>
      <c r="K27" s="12"/>
      <c r="L27" s="159"/>
      <c r="M27" s="159"/>
      <c r="N27" s="159"/>
      <c r="O27" s="227" t="str">
        <f t="shared" si="1"/>
        <v>-</v>
      </c>
      <c r="P27" s="228" t="str">
        <f t="shared" si="2"/>
        <v>-</v>
      </c>
      <c r="Q27" s="215" cm="1">
        <f t="array" ref="Q27">IF(P27="-",0,P27/(1+'General inputs'!$H$32)^IFERROR(INDEX('MP Calculations'!$C$40:$C$130,MATCH(F27,'MP Calculations'!$D$40:$D$130,0),0),-1))</f>
        <v>0</v>
      </c>
    </row>
    <row r="28" spans="3:18">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29" t="str">
        <f t="shared" si="1"/>
        <v>-</v>
      </c>
      <c r="P28" s="228" t="str">
        <f t="shared" si="2"/>
        <v>-</v>
      </c>
      <c r="Q28" s="215" cm="1">
        <f t="array" ref="Q28">IF(P28="-",0,P28/(1+'General inputs'!$H$32)^IFERROR(INDEX('MP Calculations'!$C$40:$C$130,MATCH(F28,'MP Calculations'!$D$40:$D$130,0),0),-1))</f>
        <v>0</v>
      </c>
    </row>
    <row r="29" spans="3:18">
      <c r="O29" s="6" t="s">
        <v>19</v>
      </c>
      <c r="P29" s="219">
        <f>SUM(P22:P28)</f>
        <v>0</v>
      </c>
      <c r="Q29" s="219">
        <f>SUM(Q22:Q28)</f>
        <v>0</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2" zoomScaleNormal="100" workbookViewId="0">
      <selection activeCell="AY38" sqref="AY38"/>
    </sheetView>
  </sheetViews>
  <sheetFormatPr defaultRowHeight="11.5" outlineLevelCol="1"/>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c r="C3" s="50" t="s">
        <v>117</v>
      </c>
    </row>
    <row r="6" spans="3:40">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c r="F8" s="39" t="s">
        <v>273</v>
      </c>
      <c r="G8" s="39"/>
      <c r="H8" s="40"/>
      <c r="I8" s="39" t="s">
        <v>20</v>
      </c>
      <c r="J8" s="39"/>
      <c r="K8" s="40"/>
      <c r="L8" s="260" t="s">
        <v>93</v>
      </c>
      <c r="M8" s="261"/>
      <c r="N8" s="40"/>
      <c r="O8" s="260" t="s">
        <v>95</v>
      </c>
      <c r="P8" s="261"/>
      <c r="Q8" s="40"/>
      <c r="R8" s="260" t="s">
        <v>94</v>
      </c>
      <c r="S8" s="261"/>
      <c r="T8" s="40"/>
      <c r="U8" s="260" t="s">
        <v>119</v>
      </c>
      <c r="V8" s="261"/>
      <c r="W8" s="40"/>
      <c r="X8" s="260" t="s">
        <v>120</v>
      </c>
      <c r="Y8" s="261"/>
      <c r="Z8" s="40"/>
      <c r="AA8" s="260" t="s">
        <v>121</v>
      </c>
      <c r="AB8" s="261"/>
      <c r="AC8" s="40"/>
      <c r="AD8" s="260" t="s">
        <v>122</v>
      </c>
      <c r="AE8" s="261"/>
      <c r="AF8" s="40"/>
      <c r="AG8" s="260" t="s">
        <v>123</v>
      </c>
      <c r="AH8" s="261"/>
    </row>
    <row r="9" spans="3:40">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c r="C12" s="26" t="str">
        <f>'MP Calculations'!D40</f>
        <v>1995-96</v>
      </c>
      <c r="D12" s="176">
        <f>IF(LEFT($C12,4)*1&lt;LEFT('General inputs'!$I$16,4)+'General inputs'!$H$38,SUM(G12,J12,M12,P12,S12,V12,Y12,AB12,AE12,AH12),"")</f>
        <v>50.831971638306641</v>
      </c>
      <c r="F12" s="41">
        <v>50.831971638306641</v>
      </c>
      <c r="G12" s="176">
        <f>F12*$G$9/$F$6</f>
        <v>50.831971638306641</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c r="C13" s="26" t="str">
        <f>'MP Calculations'!D41</f>
        <v>1996-97</v>
      </c>
      <c r="D13" s="177">
        <f>IF(LEFT($C13,4)*1&lt;LEFT('General inputs'!$I$16,4)+'General inputs'!$H$38,SUM(G13,J13,M13,P13,S13,V13,Y13,AB13,AE13,AH13),"")</f>
        <v>102.44960223025191</v>
      </c>
      <c r="F13" s="32">
        <v>102.44960223025191</v>
      </c>
      <c r="G13" s="177">
        <f t="shared" ref="G13:G43" si="9">F13*$G$9/$F$6</f>
        <v>102.44960223025191</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c r="C14" s="26" t="str">
        <f>'MP Calculations'!D42</f>
        <v>1997-98</v>
      </c>
      <c r="D14" s="177">
        <f>IF(LEFT($C14,4)*1&lt;LEFT('General inputs'!$I$16,4)+'General inputs'!$H$38,SUM(G14,J14,M14,P14,S14,V14,Y14,AB14,AE14,AH14),"")</f>
        <v>103.24133275629173</v>
      </c>
      <c r="F14" s="32">
        <v>103.24133275629174</v>
      </c>
      <c r="G14" s="177">
        <f t="shared" si="9"/>
        <v>103.24133275629173</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c r="C15" s="26" t="str">
        <f>'MP Calculations'!D43</f>
        <v>1998-99</v>
      </c>
      <c r="D15" s="177">
        <f>IF(LEFT($C15,4)*1&lt;LEFT('General inputs'!$I$16,4)+'General inputs'!$H$38,SUM(G15,J15,M15,P15,S15,V15,Y15,AB15,AE15,AH15),"")</f>
        <v>104.03918177582818</v>
      </c>
      <c r="F15" s="32">
        <v>104.03918177582818</v>
      </c>
      <c r="G15" s="177">
        <f t="shared" si="9"/>
        <v>104.03918177582818</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c r="C16" s="26" t="str">
        <f>'MP Calculations'!D44</f>
        <v>1999-00</v>
      </c>
      <c r="D16" s="177">
        <f>IF(LEFT($C16,4)*1&lt;LEFT('General inputs'!$I$16,4)+'General inputs'!$H$38,SUM(G16,J16,M16,P16,S16,V16,Y16,AB16,AE16,AH16),"")</f>
        <v>104.84319657259219</v>
      </c>
      <c r="F16" s="32">
        <v>104.84319657259221</v>
      </c>
      <c r="G16" s="177">
        <f t="shared" si="9"/>
        <v>104.84319657259219</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c r="C17" s="26" t="str">
        <f>'MP Calculations'!D45</f>
        <v>2000-01</v>
      </c>
      <c r="D17" s="177">
        <f>IF(LEFT($C17,4)*1&lt;LEFT('General inputs'!$I$16,4)+'General inputs'!$H$38,SUM(G17,J17,M17,P17,S17,V17,Y17,AB17,AE17,AH17),"")</f>
        <v>105.65342479570609</v>
      </c>
      <c r="F17" s="32">
        <v>105.65342479570609</v>
      </c>
      <c r="G17" s="177">
        <f t="shared" si="9"/>
        <v>105.65342479570609</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c r="C18" s="26" t="str">
        <f>'MP Calculations'!D46</f>
        <v>2001-02</v>
      </c>
      <c r="D18" s="177">
        <f>IF(LEFT($C18,4)*1&lt;LEFT('General inputs'!$I$16,4)+'General inputs'!$H$38,SUM(G18,J18,M18,P18,S18,V18,Y18,AB18,AE18,AH18),"")</f>
        <v>106.46991446252831</v>
      </c>
      <c r="F18" s="32">
        <v>106.46991446252832</v>
      </c>
      <c r="G18" s="177">
        <f t="shared" si="9"/>
        <v>106.46991446252831</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c r="C19" s="26" t="str">
        <f>'MP Calculations'!D47</f>
        <v>2002-03</v>
      </c>
      <c r="D19" s="177">
        <f>IF(LEFT($C19,4)*1&lt;LEFT('General inputs'!$I$16,4)+'General inputs'!$H$38,SUM(G19,J19,M19,P19,S19,V19,Y19,AB19,AE19,AH19),"")</f>
        <v>107.29271396149305</v>
      </c>
      <c r="F19" s="32">
        <v>107.29271396149306</v>
      </c>
      <c r="G19" s="177">
        <f t="shared" si="9"/>
        <v>107.29271396149305</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c r="C20" s="26" t="str">
        <f>'MP Calculations'!D48</f>
        <v>2003-04</v>
      </c>
      <c r="D20" s="177">
        <f>IF(LEFT($C20,4)*1&lt;LEFT('General inputs'!$I$16,4)+'General inputs'!$H$38,SUM(G20,J20,M20,P20,S20,V20,Y20,AB20,AE20,AH20),"")</f>
        <v>108.12187205498776</v>
      </c>
      <c r="F20" s="32">
        <v>108.12187205498776</v>
      </c>
      <c r="G20" s="177">
        <f t="shared" si="9"/>
        <v>108.12187205498776</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c r="C21" s="26" t="str">
        <f>'MP Calculations'!D49</f>
        <v>2004-05</v>
      </c>
      <c r="D21" s="177">
        <f>IF(LEFT($C21,4)*1&lt;LEFT('General inputs'!$I$16,4)+'General inputs'!$H$38,SUM(G21,J21,M21,P21,S21,V21,Y21,AB21,AE21,AH21),"")</f>
        <v>108.95743788222899</v>
      </c>
      <c r="F21" s="32">
        <v>108.95743788222899</v>
      </c>
      <c r="G21" s="177">
        <f t="shared" si="9"/>
        <v>108.95743788222899</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c r="C22" s="26" t="str">
        <f>'MP Calculations'!D50</f>
        <v>2005-06</v>
      </c>
      <c r="D22" s="177">
        <f>IF(LEFT($C22,4)*1&lt;LEFT('General inputs'!$I$16,4)+'General inputs'!$H$38,SUM(G22,J22,M22,P22,S22,V22,Y22,AB22,AE22,AH22),"")</f>
        <v>109.79946096218372</v>
      </c>
      <c r="F22" s="32">
        <v>109.79946096218373</v>
      </c>
      <c r="G22" s="177">
        <f t="shared" si="9"/>
        <v>109.79946096218372</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c r="C23" s="26" t="str">
        <f>'MP Calculations'!D51</f>
        <v>2006-07</v>
      </c>
      <c r="D23" s="177">
        <f>IF(LEFT($C23,4)*1&lt;LEFT('General inputs'!$I$16,4)+'General inputs'!$H$38,SUM(G23,J23,M23,P23,S23,V23,Y23,AB23,AE23,AH23),"")</f>
        <v>110.64799119649798</v>
      </c>
      <c r="F23" s="32">
        <v>110.64799119649797</v>
      </c>
      <c r="G23" s="177">
        <f t="shared" si="9"/>
        <v>110.64799119649798</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c r="C24" s="26" t="str">
        <f>'MP Calculations'!D52</f>
        <v>2007-08</v>
      </c>
      <c r="D24" s="177">
        <f>IF(LEFT($C24,4)*1&lt;LEFT('General inputs'!$I$16,4)+'General inputs'!$H$38,SUM(G24,J24,M24,P24,S24,V24,Y24,AB24,AE24,AH24),"")</f>
        <v>111.50307887246527</v>
      </c>
      <c r="F24" s="32">
        <v>111.50307887246527</v>
      </c>
      <c r="G24" s="177">
        <f t="shared" si="9"/>
        <v>111.50307887246527</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c r="C25" s="26" t="str">
        <f>'MP Calculations'!D53</f>
        <v>2008-09</v>
      </c>
      <c r="D25" s="177">
        <f>IF(LEFT($C25,4)*1&lt;LEFT('General inputs'!$I$16,4)+'General inputs'!$H$38,SUM(G25,J25,M25,P25,S25,V25,Y25,AB25,AE25,AH25),"")</f>
        <v>112.36477466599172</v>
      </c>
      <c r="F25" s="32">
        <v>112.36477466599172</v>
      </c>
      <c r="G25" s="177">
        <f t="shared" si="9"/>
        <v>112.36477466599172</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c r="C26" s="26" t="str">
        <f>'MP Calculations'!D54</f>
        <v>2009-10</v>
      </c>
      <c r="D26" s="177">
        <f>IF(LEFT($C26,4)*1&lt;LEFT('General inputs'!$I$16,4)+'General inputs'!$H$38,SUM(G26,J26,M26,P26,S26,V26,Y26,AB26,AE26,AH26),"")</f>
        <v>113.23312964461185</v>
      </c>
      <c r="F26" s="32">
        <v>113.23312964461184</v>
      </c>
      <c r="G26" s="177">
        <f t="shared" si="9"/>
        <v>113.23312964461185</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c r="C27" s="26" t="str">
        <f>'MP Calculations'!D55</f>
        <v>2010-11</v>
      </c>
      <c r="D27" s="177">
        <f>IF(LEFT($C27,4)*1&lt;LEFT('General inputs'!$I$16,4)+'General inputs'!$H$38,SUM(G27,J27,M27,P27,S27,V27,Y27,AB27,AE27,AH27),"")</f>
        <v>114.10819527050445</v>
      </c>
      <c r="F27" s="32">
        <v>114.10819527050444</v>
      </c>
      <c r="G27" s="177">
        <f t="shared" si="9"/>
        <v>114.10819527050445</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c r="C28" s="26" t="str">
        <f>'MP Calculations'!D56</f>
        <v>2011-12</v>
      </c>
      <c r="D28" s="177">
        <f>IF(LEFT($C28,4)*1&lt;LEFT('General inputs'!$I$16,4)+'General inputs'!$H$38,SUM(G28,J28,M28,P28,S28,V28,Y28,AB28,AE28,AH28),"")</f>
        <v>114.99002340355038</v>
      </c>
      <c r="F28" s="32">
        <v>114.99002340355037</v>
      </c>
      <c r="G28" s="177">
        <f t="shared" si="9"/>
        <v>114.99002340355038</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c r="C29" s="26" t="str">
        <f>'MP Calculations'!D57</f>
        <v>2012-13</v>
      </c>
      <c r="D29" s="177">
        <f>IF(LEFT($C29,4)*1&lt;LEFT('General inputs'!$I$16,4)+'General inputs'!$H$38,SUM(G29,J29,M29,P29,S29,V29,Y29,AB29,AE29,AH29),"")</f>
        <v>115.87866630441567</v>
      </c>
      <c r="F29" s="32">
        <v>115.87866630441567</v>
      </c>
      <c r="G29" s="177">
        <f t="shared" si="9"/>
        <v>115.87866630441567</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c r="C30" s="26" t="str">
        <f>'MP Calculations'!D58</f>
        <v>2013-14</v>
      </c>
      <c r="D30" s="177">
        <f>IF(LEFT($C30,4)*1&lt;LEFT('General inputs'!$I$16,4)+'General inputs'!$H$38,SUM(G30,J30,M30,P30,S30,V30,Y30,AB30,AE30,AH30),"")</f>
        <v>116.77417663762026</v>
      </c>
      <c r="F30" s="32">
        <v>116.77417663762026</v>
      </c>
      <c r="G30" s="177">
        <f t="shared" si="9"/>
        <v>116.77417663762026</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c r="C31" s="26" t="str">
        <f>'MP Calculations'!D59</f>
        <v>2014-15</v>
      </c>
      <c r="D31" s="177">
        <f>IF(LEFT($C31,4)*1&lt;LEFT('General inputs'!$I$16,4)+'General inputs'!$H$38,SUM(G31,J31,M31,P31,S31,V31,Y31,AB31,AE31,AH31),"")</f>
        <v>117.6766074746738</v>
      </c>
      <c r="F31" s="32">
        <v>117.6766074746738</v>
      </c>
      <c r="G31" s="177">
        <f t="shared" si="9"/>
        <v>117.6766074746738</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c r="C32" s="26" t="str">
        <f>'MP Calculations'!D60</f>
        <v>2015-16</v>
      </c>
      <c r="D32" s="177">
        <f>IF(LEFT($C32,4)*1&lt;LEFT('General inputs'!$I$16,4)+'General inputs'!$H$38,SUM(G32,J32,M32,P32,S32,V32,Y32,AB32,AE32,AH32),"")</f>
        <v>118.58601229723354</v>
      </c>
      <c r="F32" s="32">
        <v>118.58601229723354</v>
      </c>
      <c r="G32" s="177">
        <f t="shared" si="9"/>
        <v>118.58601229723354</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c r="C33" s="26" t="str">
        <f>'MP Calculations'!D61</f>
        <v>2016-17</v>
      </c>
      <c r="D33" s="177">
        <f>IF(LEFT($C33,4)*1&lt;LEFT('General inputs'!$I$16,4)+'General inputs'!$H$38,SUM(G33,J33,M33,P33,S33,V33,Y33,AB33,AE33,AH33),"")</f>
        <v>119.50244500027111</v>
      </c>
      <c r="F33" s="32">
        <v>119.50244500027111</v>
      </c>
      <c r="G33" s="177">
        <f t="shared" si="9"/>
        <v>119.50244500027111</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c r="C34" s="26" t="str">
        <f>'MP Calculations'!D62</f>
        <v>2017-18</v>
      </c>
      <c r="D34" s="177">
        <f>IF(LEFT($C34,4)*1&lt;LEFT('General inputs'!$I$16,4)+'General inputs'!$H$38,SUM(G34,J34,M34,P34,S34,V34,Y34,AB34,AE34,AH34),"")</f>
        <v>120.42595989523397</v>
      </c>
      <c r="F34" s="32">
        <v>120.42595989523397</v>
      </c>
      <c r="G34" s="177">
        <f t="shared" si="9"/>
        <v>120.42595989523397</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c r="C35" s="26" t="str">
        <f>'MP Calculations'!D63</f>
        <v>2018-19</v>
      </c>
      <c r="D35" s="177">
        <f>IF(LEFT($C35,4)*1&lt;LEFT('General inputs'!$I$16,4)+'General inputs'!$H$38,SUM(G35,J35,M35,P35,S35,V35,Y35,AB35,AE35,AH35),"")</f>
        <v>121.35661171330139</v>
      </c>
      <c r="F35" s="32">
        <v>121.35661171330139</v>
      </c>
      <c r="G35" s="177">
        <f t="shared" si="9"/>
        <v>121.35661171330139</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c r="C36" s="26" t="str">
        <f>'MP Calculations'!D64</f>
        <v>2019-20</v>
      </c>
      <c r="D36" s="177">
        <f>IF(LEFT($C36,4)*1&lt;LEFT('General inputs'!$I$16,4)+'General inputs'!$H$38,SUM(G36,J36,M36,P36,S36,V36,Y36,AB36,AE36,AH36),"")</f>
        <v>122.29445560862223</v>
      </c>
      <c r="F36" s="32">
        <v>122.29445560862223</v>
      </c>
      <c r="G36" s="177">
        <f t="shared" si="9"/>
        <v>122.29445560862223</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c r="C37" s="26" t="str">
        <f>'MP Calculations'!D65</f>
        <v>2020-21</v>
      </c>
      <c r="D37" s="177">
        <f>IF(LEFT($C37,4)*1&lt;LEFT('General inputs'!$I$16,4)+'General inputs'!$H$38,SUM(G37,J37,M37,P37,S37,V37,Y37,AB37,AE37,AH37),"")</f>
        <v>123.23954716156732</v>
      </c>
      <c r="F37" s="32">
        <v>123.23954716156732</v>
      </c>
      <c r="G37" s="177">
        <f t="shared" si="9"/>
        <v>123.23954716156732</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c r="C38" s="26" t="str">
        <f>'MP Calculations'!D66</f>
        <v>2021-22</v>
      </c>
      <c r="D38" s="177">
        <f>IF(LEFT($C38,4)*1&lt;LEFT('General inputs'!$I$16,4)+'General inputs'!$H$38,SUM(G38,J38,M38,P38,S38,V38,Y38,AB38,AE38,AH38),"")</f>
        <v>124.19194238203272</v>
      </c>
      <c r="F38" s="32">
        <v>124.19194238203272</v>
      </c>
      <c r="G38" s="177">
        <f t="shared" si="9"/>
        <v>124.19194238203272</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c r="C39" s="26" t="str">
        <f>'MP Calculations'!D67</f>
        <v>2022-23</v>
      </c>
      <c r="D39" s="177">
        <f>IF(LEFT($C39,4)*1&lt;LEFT('General inputs'!$I$16,4)+'General inputs'!$H$38,SUM(G39,J39,M39,P39,S39,V39,Y39,AB39,AE39,AH39),"")</f>
        <v>125.1516977127576</v>
      </c>
      <c r="F39" s="32">
        <v>125.1516977127576</v>
      </c>
      <c r="G39" s="177">
        <f t="shared" si="9"/>
        <v>125.1516977127576</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c r="C40" s="26" t="str">
        <f>'MP Calculations'!D68</f>
        <v>2023-24</v>
      </c>
      <c r="D40" s="177">
        <f>IF(LEFT($C40,4)*1&lt;LEFT('General inputs'!$I$16,4)+'General inputs'!$H$38,SUM(G40,J40,M40,P40,S40,V40,Y40,AB40,AE40,AH40),"")</f>
        <v>126.11887003268203</v>
      </c>
      <c r="F40" s="32">
        <v>126.11887003268203</v>
      </c>
      <c r="G40" s="177">
        <f t="shared" si="9"/>
        <v>126.11887003268203</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c r="C41" s="26" t="str">
        <f>'MP Calculations'!D69</f>
        <v>2024-25</v>
      </c>
      <c r="D41" s="177">
        <f>IF(LEFT($C41,4)*1&lt;LEFT('General inputs'!$I$16,4)+'General inputs'!$H$38,SUM(G41,J41,M41,P41,S41,V41,Y41,AB41,AE41,AH41),"")</f>
        <v>127.09351666029761</v>
      </c>
      <c r="F41" s="32">
        <v>127.09351666029761</v>
      </c>
      <c r="G41" s="177">
        <f t="shared" si="9"/>
        <v>127.09351666029761</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c r="C42" s="26" t="str">
        <f>'MP Calculations'!D70</f>
        <v>2025-26</v>
      </c>
      <c r="D42" s="177">
        <f>IF(LEFT($C42,4)*1&lt;LEFT('General inputs'!$I$16,4)+'General inputs'!$H$38,SUM(G42,J42,M42,P42,S42,V42,Y42,AB42,AE42,AH42),"")</f>
        <v>128.07569535704533</v>
      </c>
      <c r="F42" s="32">
        <v>128.07569535704533</v>
      </c>
      <c r="G42" s="177">
        <f t="shared" si="9"/>
        <v>128.07569535704533</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c r="C43" s="26" t="str">
        <f>'MP Calculations'!D71</f>
        <v>2026-27</v>
      </c>
      <c r="D43" s="177">
        <f>IF(LEFT($C43,4)*1&lt;LEFT('General inputs'!$I$16,4)+'General inputs'!$H$38,SUM(G43,J43,M43,P43,S43,V43,Y43,AB43,AE43,AH43),"")</f>
        <v>129.06546433076801</v>
      </c>
      <c r="F43" s="32">
        <v>129.06546433076801</v>
      </c>
      <c r="G43" s="177">
        <f t="shared" si="9"/>
        <v>129.06546433076801</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c r="C44" s="26" t="str">
        <f>'MP Calculations'!D72</f>
        <v>2027-28</v>
      </c>
      <c r="D44" s="177">
        <f>IF(LEFT($C44,4)*1&lt;LEFT('General inputs'!$I$16,4)+'General inputs'!$H$38,SUM(G44,J44,M44,P44,S44,V44,Y44,AB44,AE44,AH44),"")</f>
        <v>130.06288223911179</v>
      </c>
      <c r="F44" s="32">
        <v>130.06288223911179</v>
      </c>
      <c r="G44" s="177">
        <f t="shared" ref="G44:G75" si="11">F44*$G$9/$F$6</f>
        <v>130.06288223911179</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c r="C45" s="26" t="str">
        <f>'MP Calculations'!D73</f>
        <v>2028-29</v>
      </c>
      <c r="D45" s="177">
        <f>IF(LEFT($C45,4)*1&lt;LEFT('General inputs'!$I$16,4)+'General inputs'!$H$38,SUM(G45,J45,M45,P45,S45,V45,Y45,AB45,AE45,AH45),"")</f>
        <v>131.06800819306227</v>
      </c>
      <c r="F45" s="32">
        <v>131.06800819306227</v>
      </c>
      <c r="G45" s="177">
        <f t="shared" si="11"/>
        <v>131.06800819306227</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c r="C46" s="26" t="str">
        <f>'MP Calculations'!D74</f>
        <v>2029-30</v>
      </c>
      <c r="D46" s="177">
        <f>IF(LEFT($C46,4)*1&lt;LEFT('General inputs'!$I$16,4)+'General inputs'!$H$38,SUM(G46,J46,M46,P46,S46,V46,Y46,AB46,AE46,AH46),"")</f>
        <v>132.08090176037149</v>
      </c>
      <c r="F46" s="32">
        <v>132.08090176037149</v>
      </c>
      <c r="G46" s="177">
        <f t="shared" si="11"/>
        <v>132.08090176037149</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c r="C47" s="26" t="str">
        <f>'MP Calculations'!D75</f>
        <v>2030-31</v>
      </c>
      <c r="D47" s="177">
        <f>IF(LEFT($C47,4)*1&lt;LEFT('General inputs'!$I$16,4)+'General inputs'!$H$38,SUM(G47,J47,M47,P47,S47,V47,Y47,AB47,AE47,AH47),"")</f>
        <v>133.1016229691777</v>
      </c>
      <c r="F47" s="32">
        <v>133.1016229691777</v>
      </c>
      <c r="G47" s="177">
        <f t="shared" si="11"/>
        <v>133.1016229691777</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c r="C48" s="26" t="str">
        <f>'MP Calculations'!D76</f>
        <v>2031-32</v>
      </c>
      <c r="D48" s="177">
        <f>IF(LEFT($C48,4)*1&lt;LEFT('General inputs'!$I$16,4)+'General inputs'!$H$38,SUM(G48,J48,M48,P48,S48,V48,Y48,AB48,AE48,AH48),"")</f>
        <v>134.13023231148327</v>
      </c>
      <c r="F48" s="32">
        <v>134.13023231148327</v>
      </c>
      <c r="G48" s="177">
        <f t="shared" si="11"/>
        <v>134.13023231148327</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c r="C49" s="26" t="str">
        <f>'MP Calculations'!D77</f>
        <v>2032-33</v>
      </c>
      <c r="D49" s="177">
        <f>IF(LEFT($C49,4)*1&lt;LEFT('General inputs'!$I$16,4)+'General inputs'!$H$38,SUM(G49,J49,M49,P49,S49,V49,Y49,AB49,AE49,AH49),"")</f>
        <v>135.16679074679269</v>
      </c>
      <c r="F49" s="32">
        <v>135.16679074679269</v>
      </c>
      <c r="G49" s="177">
        <f t="shared" si="11"/>
        <v>135.16679074679269</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c r="C50" s="26" t="str">
        <f>'MP Calculations'!D78</f>
        <v>2033-34</v>
      </c>
      <c r="D50" s="177">
        <f>IF(LEFT($C50,4)*1&lt;LEFT('General inputs'!$I$16,4)+'General inputs'!$H$38,SUM(G50,J50,M50,P50,S50,V50,Y50,AB50,AE50,AH50),"")</f>
        <v>136.21135970567411</v>
      </c>
      <c r="F50" s="32">
        <v>136.21135970567411</v>
      </c>
      <c r="G50" s="177">
        <f t="shared" si="11"/>
        <v>136.21135970567411</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c r="C51" s="26" t="str">
        <f>'MP Calculations'!D79</f>
        <v>2034-35</v>
      </c>
      <c r="D51" s="177">
        <f>IF(LEFT($C51,4)*1&lt;LEFT('General inputs'!$I$16,4)+'General inputs'!$H$38,SUM(G51,J51,M51,P51,S51,V51,Y51,AB51,AE51,AH51),"")</f>
        <v>137.26400109348469</v>
      </c>
      <c r="F51" s="32">
        <v>137.26400109348469</v>
      </c>
      <c r="G51" s="177">
        <f t="shared" si="11"/>
        <v>137.26400109348469</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c r="C52" s="26" t="str">
        <f>'MP Calculations'!D80</f>
        <v>2035-36</v>
      </c>
      <c r="D52" s="177">
        <f>IF(LEFT($C52,4)*1&lt;LEFT('General inputs'!$I$16,4)+'General inputs'!$H$38,SUM(G52,J52,M52,P52,S52,V52,Y52,AB52,AE52,AH52),"")</f>
        <v>138.32477729393213</v>
      </c>
      <c r="F52" s="32">
        <v>138.32477729393213</v>
      </c>
      <c r="G52" s="177">
        <f t="shared" si="11"/>
        <v>138.32477729393213</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c r="C53" s="26" t="str">
        <f>'MP Calculations'!D81</f>
        <v>2036-37</v>
      </c>
      <c r="D53" s="177">
        <f>IF(LEFT($C53,4)*1&lt;LEFT('General inputs'!$I$16,4)+'General inputs'!$H$38,SUM(G53,J53,M53,P53,S53,V53,Y53,AB53,AE53,AH53),"")</f>
        <v>139.39375117286545</v>
      </c>
      <c r="F53" s="32">
        <v>139.39375117286545</v>
      </c>
      <c r="G53" s="177">
        <f t="shared" si="11"/>
        <v>139.39375117286545</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c r="C54" s="26" t="str">
        <f>'MP Calculations'!D82</f>
        <v>2037-38</v>
      </c>
      <c r="D54" s="177">
        <f>IF(LEFT($C54,4)*1&lt;LEFT('General inputs'!$I$16,4)+'General inputs'!$H$38,SUM(G54,J54,M54,P54,S54,V54,Y54,AB54,AE54,AH54),"")</f>
        <v>140.47098608192755</v>
      </c>
      <c r="F54" s="32">
        <v>140.47098608192755</v>
      </c>
      <c r="G54" s="177">
        <f t="shared" si="11"/>
        <v>140.47098608192755</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c r="C55" s="26" t="str">
        <f>'MP Calculations'!D83</f>
        <v>2038-39</v>
      </c>
      <c r="D55" s="177">
        <f>IF(LEFT($C55,4)*1&lt;LEFT('General inputs'!$I$16,4)+'General inputs'!$H$38,SUM(G55,J55,M55,P55,S55,V55,Y55,AB55,AE55,AH55),"")</f>
        <v>141.55654586236778</v>
      </c>
      <c r="F55" s="32">
        <v>141.55654586236778</v>
      </c>
      <c r="G55" s="177">
        <f t="shared" si="11"/>
        <v>141.55654586236778</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c r="C56" s="26" t="str">
        <f>'MP Calculations'!D84</f>
        <v>2039-40</v>
      </c>
      <c r="D56" s="177">
        <f>IF(LEFT($C56,4)*1&lt;LEFT('General inputs'!$I$16,4)+'General inputs'!$H$38,SUM(G56,J56,M56,P56,S56,V56,Y56,AB56,AE56,AH56),"")</f>
        <v>142.65049484878909</v>
      </c>
      <c r="F56" s="32">
        <v>142.65049484878909</v>
      </c>
      <c r="G56" s="177">
        <f t="shared" si="11"/>
        <v>142.65049484878909</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c r="C57" s="26" t="str">
        <f>'MP Calculations'!D85</f>
        <v>2040-41</v>
      </c>
      <c r="D57" s="177">
        <f>IF(LEFT($C57,4)*1&lt;LEFT('General inputs'!$I$16,4)+'General inputs'!$H$38,SUM(G57,J57,M57,P57,S57,V57,Y57,AB57,AE57,AH57),"")</f>
        <v>143.75289787298607</v>
      </c>
      <c r="F57" s="32">
        <v>143.75289787298607</v>
      </c>
      <c r="G57" s="177">
        <f t="shared" si="11"/>
        <v>143.75289787298607</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c r="C58" s="26" t="str">
        <f>'MP Calculations'!D86</f>
        <v>2041-42</v>
      </c>
      <c r="D58" s="177">
        <f>IF(LEFT($C58,4)*1&lt;LEFT('General inputs'!$I$16,4)+'General inputs'!$H$38,SUM(G58,J58,M58,P58,S58,V58,Y58,AB58,AE58,AH58),"")</f>
        <v>144.86382026773936</v>
      </c>
      <c r="F58" s="32">
        <v>144.86382026773936</v>
      </c>
      <c r="G58" s="177">
        <f t="shared" si="11"/>
        <v>144.86382026773936</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c r="C59" s="26" t="str">
        <f>'MP Calculations'!D87</f>
        <v>2042-43</v>
      </c>
      <c r="D59" s="177">
        <f>IF(LEFT($C59,4)*1&lt;LEFT('General inputs'!$I$16,4)+'General inputs'!$H$38,SUM(G59,J59,M59,P59,S59,V59,Y59,AB59,AE59,AH59),"")</f>
        <v>145.98332787077743</v>
      </c>
      <c r="F59" s="32">
        <v>145.98332787077743</v>
      </c>
      <c r="G59" s="177">
        <f t="shared" si="11"/>
        <v>145.98332787077743</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c r="C60" s="26" t="str">
        <f>'MP Calculations'!D88</f>
        <v>2043-44</v>
      </c>
      <c r="D60" s="177">
        <f>IF(LEFT($C60,4)*1&lt;LEFT('General inputs'!$I$16,4)+'General inputs'!$H$38,SUM(G60,J60,M60,P60,S60,V60,Y60,AB60,AE60,AH60),"")</f>
        <v>147.11148702855644</v>
      </c>
      <c r="F60" s="32">
        <v>147.11148702855644</v>
      </c>
      <c r="G60" s="177">
        <f t="shared" si="11"/>
        <v>147.11148702855644</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c r="C61" s="26" t="str">
        <f>'MP Calculations'!D89</f>
        <v>2044-45</v>
      </c>
      <c r="D61" s="177">
        <f>IF(LEFT($C61,4)*1&lt;LEFT('General inputs'!$I$16,4)+'General inputs'!$H$38,SUM(G61,J61,M61,P61,S61,V61,Y61,AB61,AE61,AH61),"")</f>
        <v>148.2483646003202</v>
      </c>
      <c r="F61" s="32">
        <v>148.2483646003202</v>
      </c>
      <c r="G61" s="177">
        <f t="shared" si="11"/>
        <v>148.2483646003202</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c r="C62" s="26" t="str">
        <f>'MP Calculations'!D90</f>
        <v>2045-46</v>
      </c>
      <c r="D62" s="177">
        <f>IF(LEFT($C62,4)*1&lt;LEFT('General inputs'!$I$16,4)+'General inputs'!$H$38,SUM(G62,J62,M62,P62,S62,V62,Y62,AB62,AE62,AH62),"")</f>
        <v>149.39402796194554</v>
      </c>
      <c r="F62" s="32">
        <v>149.39402796194554</v>
      </c>
      <c r="G62" s="177">
        <f t="shared" si="11"/>
        <v>149.39402796194554</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c r="C63" s="26" t="str">
        <f>'MP Calculations'!D91</f>
        <v>2046-47</v>
      </c>
      <c r="D63" s="177">
        <f>IF(LEFT($C63,4)*1&lt;LEFT('General inputs'!$I$16,4)+'General inputs'!$H$38,SUM(G63,J63,M63,P63,S63,V63,Y63,AB63,AE63,AH63),"")</f>
        <v>150.54854501003865</v>
      </c>
      <c r="F63" s="32">
        <v>150.54854501003865</v>
      </c>
      <c r="G63" s="177">
        <f t="shared" si="11"/>
        <v>150.54854501003865</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c r="C64" s="26" t="str">
        <f>'MP Calculations'!D92</f>
        <v>2047-48</v>
      </c>
      <c r="D64" s="177">
        <f>IF(LEFT($C64,4)*1&lt;LEFT('General inputs'!$I$16,4)+'General inputs'!$H$38,SUM(G64,J64,M64,P64,S64,V64,Y64,AB64,AE64,AH64),"")</f>
        <v>151.7119841658714</v>
      </c>
      <c r="F64" s="32">
        <v>151.7119841658714</v>
      </c>
      <c r="G64" s="177">
        <f t="shared" si="11"/>
        <v>151.7119841658714</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c r="C65" s="26" t="str">
        <f>'MP Calculations'!D93</f>
        <v>2048-49</v>
      </c>
      <c r="D65" s="177">
        <f>IF(LEFT($C65,4)*1&lt;LEFT('General inputs'!$I$16,4)+'General inputs'!$H$38,SUM(G65,J65,M65,P65,S65,V65,Y65,AB65,AE65,AH65),"")</f>
        <v>152.88441437951406</v>
      </c>
      <c r="F65" s="32">
        <v>152.88441437951406</v>
      </c>
      <c r="G65" s="177">
        <f t="shared" si="11"/>
        <v>152.88441437951406</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c r="C66" s="26" t="str">
        <f>'MP Calculations'!D94</f>
        <v>2049-50</v>
      </c>
      <c r="D66" s="177">
        <f>IF(LEFT($C66,4)*1&lt;LEFT('General inputs'!$I$16,4)+'General inputs'!$H$38,SUM(G66,J66,M66,P66,S66,V66,Y66,AB66,AE66,AH66),"")</f>
        <v>154.06590513383344</v>
      </c>
      <c r="F66" s="32">
        <v>154.06590513383344</v>
      </c>
      <c r="G66" s="177">
        <f t="shared" si="11"/>
        <v>154.06590513383344</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c r="C67" s="26" t="str">
        <f>'MP Calculations'!D95</f>
        <v>2050-51</v>
      </c>
      <c r="D67" s="177">
        <f>IF(LEFT($C67,4)*1&lt;LEFT('General inputs'!$I$16,4)+'General inputs'!$H$38,SUM(G67,J67,M67,P67,S67,V67,Y67,AB67,AE67,AH67),"")</f>
        <v>155.2565264487057</v>
      </c>
      <c r="F67" s="32">
        <v>155.2565264487057</v>
      </c>
      <c r="G67" s="177">
        <f t="shared" si="11"/>
        <v>155.2565264487057</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c r="C68" s="26" t="str">
        <f>'MP Calculations'!D96</f>
        <v>2051-52</v>
      </c>
      <c r="D68" s="177">
        <f>IF(LEFT($C68,4)*1&lt;LEFT('General inputs'!$I$16,4)+'General inputs'!$H$38,SUM(G68,J68,M68,P68,S68,V68,Y68,AB68,AE68,AH68),"")</f>
        <v>156.45634888510176</v>
      </c>
      <c r="F68" s="32">
        <v>156.45634888510176</v>
      </c>
      <c r="G68" s="177">
        <f t="shared" si="11"/>
        <v>156.45634888510176</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31" zoomScaleNormal="100" workbookViewId="0">
      <selection activeCell="F40" sqref="F40:J69"/>
    </sheetView>
  </sheetViews>
  <sheetFormatPr defaultRowHeight="11.5"/>
  <cols>
    <col min="1" max="2" width="2.69921875" customWidth="1"/>
    <col min="3" max="3" width="5.69921875" customWidth="1"/>
    <col min="7" max="7" width="9.09765625" customWidth="1"/>
  </cols>
  <sheetData>
    <row r="3" spans="3:7" ht="20">
      <c r="C3" s="99" t="s">
        <v>110</v>
      </c>
    </row>
    <row r="6" spans="3:7">
      <c r="C6" t="s">
        <v>194</v>
      </c>
      <c r="G6" s="155" t="s">
        <v>268</v>
      </c>
    </row>
    <row r="8" spans="3:7" ht="13.5">
      <c r="C8" t="s">
        <v>67</v>
      </c>
    </row>
    <row r="10" spans="3:7">
      <c r="C10" t="s">
        <v>60</v>
      </c>
    </row>
    <row r="12" spans="3:7" ht="13.5">
      <c r="C12" s="26" t="s">
        <v>62</v>
      </c>
      <c r="D12" s="149" t="s">
        <v>197</v>
      </c>
    </row>
    <row r="13" spans="3:7" ht="13.5">
      <c r="C13" s="26" t="s">
        <v>63</v>
      </c>
      <c r="D13" s="149" t="s">
        <v>198</v>
      </c>
      <c r="F13" s="1"/>
    </row>
    <row r="15" spans="3:7">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c r="C19" s="26"/>
    </row>
    <row r="20" spans="1:31" ht="13.5">
      <c r="C20" t="s">
        <v>81</v>
      </c>
      <c r="G20" t="s">
        <v>82</v>
      </c>
      <c r="H20" s="132" t="str">
        <f>'General inputs'!I16</f>
        <v>2022-23</v>
      </c>
      <c r="J20" t="s">
        <v>83</v>
      </c>
      <c r="K20" s="133" t="str">
        <f>LEFT(H20,4)+'General inputs'!$H$38-1&amp;"-"&amp;RIGHT(H20,2)+'General inputs'!$H$38-1</f>
        <v>2051-52</v>
      </c>
    </row>
    <row r="21" spans="1:31">
      <c r="C21" s="26"/>
    </row>
    <row r="22" spans="1:31">
      <c r="C22" s="65" t="s">
        <v>130</v>
      </c>
    </row>
    <row r="23" spans="1:31">
      <c r="C23" s="65"/>
      <c r="D23" s="65" t="s">
        <v>131</v>
      </c>
    </row>
    <row r="24" spans="1:31">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c r="C25" s="65"/>
      <c r="D25" s="65" t="s">
        <v>246</v>
      </c>
    </row>
    <row r="26" spans="1:31">
      <c r="C26" s="65"/>
      <c r="D26" s="157" t="s">
        <v>248</v>
      </c>
    </row>
    <row r="27" spans="1:31">
      <c r="C27" s="65"/>
      <c r="D27" s="157" t="s">
        <v>247</v>
      </c>
    </row>
    <row r="28" spans="1:31">
      <c r="C28" s="65"/>
      <c r="D28" s="65" t="s">
        <v>249</v>
      </c>
    </row>
    <row r="29" spans="1:31">
      <c r="C29" s="65"/>
      <c r="D29" s="157" t="s">
        <v>250</v>
      </c>
    </row>
    <row r="30" spans="1:31">
      <c r="C30" s="65"/>
      <c r="D30" s="157" t="s">
        <v>251</v>
      </c>
    </row>
    <row r="32" spans="1:31">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4:10">
      <c r="D34" t="s">
        <v>275</v>
      </c>
    </row>
    <row r="37" spans="4:10" ht="36" customHeight="1">
      <c r="D37" s="242"/>
      <c r="E37" s="242"/>
      <c r="F37" s="243" t="s">
        <v>354</v>
      </c>
      <c r="H37" s="262" t="s">
        <v>355</v>
      </c>
      <c r="I37" s="262"/>
      <c r="J37" s="262"/>
    </row>
    <row r="38" spans="4:10" ht="46">
      <c r="D38" s="242"/>
      <c r="E38" s="242"/>
      <c r="F38" s="244" t="s">
        <v>356</v>
      </c>
      <c r="G38" s="245"/>
      <c r="H38" s="244" t="s">
        <v>357</v>
      </c>
      <c r="I38" s="244" t="s">
        <v>379</v>
      </c>
      <c r="J38" s="244" t="s">
        <v>380</v>
      </c>
    </row>
    <row r="39" spans="4:10" ht="12.5">
      <c r="E39" s="246"/>
      <c r="F39" s="246"/>
      <c r="G39" s="246"/>
      <c r="H39" s="247"/>
      <c r="I39" s="247"/>
      <c r="J39" s="247"/>
    </row>
    <row r="40" spans="4:10">
      <c r="D40" t="s">
        <v>44</v>
      </c>
      <c r="F40" s="248">
        <v>478.56999999999994</v>
      </c>
      <c r="G40" s="249"/>
      <c r="H40" s="248">
        <v>204.69</v>
      </c>
      <c r="I40" s="250">
        <v>5.83</v>
      </c>
      <c r="J40" s="248">
        <v>368.36225939102758</v>
      </c>
    </row>
    <row r="41" spans="4:10">
      <c r="D41" t="s">
        <v>45</v>
      </c>
      <c r="F41" s="248">
        <v>484</v>
      </c>
      <c r="G41" s="249"/>
      <c r="H41" s="248">
        <v>193.54</v>
      </c>
      <c r="I41" s="250">
        <v>8.17</v>
      </c>
      <c r="J41" s="248">
        <v>345.38418155877264</v>
      </c>
    </row>
    <row r="42" spans="4:10">
      <c r="D42" t="s">
        <v>46</v>
      </c>
      <c r="F42" s="248">
        <v>484</v>
      </c>
      <c r="G42" s="249"/>
      <c r="H42" s="248">
        <v>195.15</v>
      </c>
      <c r="I42" s="250">
        <v>5.39</v>
      </c>
      <c r="J42" s="248">
        <v>346.60660364563068</v>
      </c>
    </row>
    <row r="43" spans="4:10">
      <c r="D43" t="s">
        <v>47</v>
      </c>
      <c r="F43" s="248">
        <v>484</v>
      </c>
      <c r="G43" s="250"/>
      <c r="H43" s="248">
        <v>191.44</v>
      </c>
      <c r="I43" s="250">
        <v>13.85</v>
      </c>
      <c r="J43" s="248">
        <v>359.84274023143558</v>
      </c>
    </row>
    <row r="44" spans="4:10">
      <c r="D44" t="s">
        <v>48</v>
      </c>
      <c r="F44" s="248">
        <v>484</v>
      </c>
      <c r="G44" s="250"/>
      <c r="H44" s="248">
        <v>190.48</v>
      </c>
      <c r="I44" s="250">
        <v>14.82</v>
      </c>
      <c r="J44" s="248">
        <v>332.61526672296577</v>
      </c>
    </row>
    <row r="45" spans="4:10">
      <c r="D45" t="s">
        <v>49</v>
      </c>
      <c r="F45" s="248">
        <v>484</v>
      </c>
      <c r="G45" s="250"/>
      <c r="H45" s="248">
        <v>187.92</v>
      </c>
      <c r="I45" s="250">
        <v>28.43</v>
      </c>
      <c r="J45" s="248">
        <v>332.69922598577261</v>
      </c>
    </row>
    <row r="46" spans="4:10">
      <c r="D46" t="s">
        <v>50</v>
      </c>
      <c r="F46" s="248">
        <v>484</v>
      </c>
      <c r="G46" s="250"/>
      <c r="H46" s="248">
        <v>187.92</v>
      </c>
      <c r="I46" s="250">
        <v>26.69</v>
      </c>
      <c r="J46" s="248">
        <v>332.69922598577261</v>
      </c>
    </row>
    <row r="47" spans="4:10">
      <c r="D47" t="s">
        <v>51</v>
      </c>
      <c r="F47" s="248">
        <v>484</v>
      </c>
      <c r="G47" s="250"/>
      <c r="H47" s="248">
        <v>187.92</v>
      </c>
      <c r="I47" s="250">
        <v>28.27</v>
      </c>
      <c r="J47" s="248">
        <v>332.69922598577261</v>
      </c>
    </row>
    <row r="48" spans="4:10">
      <c r="D48" t="s">
        <v>52</v>
      </c>
      <c r="F48" s="248">
        <v>484</v>
      </c>
      <c r="G48" s="250"/>
      <c r="H48" s="248">
        <v>187.92</v>
      </c>
      <c r="I48" s="250">
        <v>27.83</v>
      </c>
      <c r="J48" s="248">
        <v>332.69922598577261</v>
      </c>
    </row>
    <row r="49" spans="4:10">
      <c r="D49" t="s">
        <v>358</v>
      </c>
      <c r="F49" s="248">
        <v>484</v>
      </c>
      <c r="G49" s="250"/>
      <c r="H49" s="248">
        <v>187.92</v>
      </c>
      <c r="I49" s="250">
        <v>27.48</v>
      </c>
      <c r="J49" s="248">
        <v>332.69922598577261</v>
      </c>
    </row>
    <row r="50" spans="4:10">
      <c r="D50" t="s">
        <v>359</v>
      </c>
      <c r="F50" s="248">
        <v>484</v>
      </c>
      <c r="G50" s="250"/>
      <c r="H50" s="248">
        <v>187.92</v>
      </c>
      <c r="I50" s="250">
        <v>26.87</v>
      </c>
      <c r="J50" s="248">
        <v>332.69922598577261</v>
      </c>
    </row>
    <row r="51" spans="4:10">
      <c r="D51" t="s">
        <v>360</v>
      </c>
      <c r="F51" s="248">
        <v>484</v>
      </c>
      <c r="G51" s="250"/>
      <c r="H51" s="248">
        <v>187.92</v>
      </c>
      <c r="I51" s="250">
        <v>26.52</v>
      </c>
      <c r="J51" s="248">
        <v>332.69922598577261</v>
      </c>
    </row>
    <row r="52" spans="4:10">
      <c r="D52" t="s">
        <v>361</v>
      </c>
      <c r="F52" s="248">
        <v>484</v>
      </c>
      <c r="G52" s="250"/>
      <c r="H52" s="248">
        <v>187.92</v>
      </c>
      <c r="I52" s="250">
        <v>26.18</v>
      </c>
      <c r="J52" s="248">
        <v>332.69922598577261</v>
      </c>
    </row>
    <row r="53" spans="4:10">
      <c r="D53" t="s">
        <v>362</v>
      </c>
      <c r="F53" s="248">
        <v>484</v>
      </c>
      <c r="G53" s="250"/>
      <c r="H53" s="248">
        <v>187.92</v>
      </c>
      <c r="I53" s="250">
        <v>25.59</v>
      </c>
      <c r="J53" s="248">
        <v>332.69922598577261</v>
      </c>
    </row>
    <row r="54" spans="4:10">
      <c r="D54" t="s">
        <v>363</v>
      </c>
      <c r="F54" s="248">
        <v>484</v>
      </c>
      <c r="G54" s="250"/>
      <c r="H54" s="248">
        <v>187.92</v>
      </c>
      <c r="I54" s="250">
        <v>25.25</v>
      </c>
      <c r="J54" s="248">
        <v>332.69922598577261</v>
      </c>
    </row>
    <row r="55" spans="4:10">
      <c r="D55" t="s">
        <v>364</v>
      </c>
      <c r="F55" s="248">
        <v>484</v>
      </c>
      <c r="G55" s="250"/>
      <c r="H55" s="248">
        <v>187.92</v>
      </c>
      <c r="I55" s="250">
        <v>24.92</v>
      </c>
      <c r="J55" s="248">
        <v>332.69922598577261</v>
      </c>
    </row>
    <row r="56" spans="4:10">
      <c r="D56" t="s">
        <v>365</v>
      </c>
      <c r="F56" s="248">
        <v>484</v>
      </c>
      <c r="G56" s="250"/>
      <c r="H56" s="248">
        <v>187.92</v>
      </c>
      <c r="I56" s="250">
        <v>23.62</v>
      </c>
      <c r="J56" s="248">
        <v>332.69922598577261</v>
      </c>
    </row>
    <row r="57" spans="4:10">
      <c r="D57" t="s">
        <v>366</v>
      </c>
      <c r="F57" s="248">
        <v>484</v>
      </c>
      <c r="G57" s="250"/>
      <c r="H57" s="248">
        <v>187.92</v>
      </c>
      <c r="I57" s="250">
        <v>23.31</v>
      </c>
      <c r="J57" s="248">
        <v>332.69922598577261</v>
      </c>
    </row>
    <row r="58" spans="4:10">
      <c r="D58" t="s">
        <v>367</v>
      </c>
      <c r="F58" s="248">
        <v>484</v>
      </c>
      <c r="G58" s="250"/>
      <c r="H58" s="248">
        <v>187.92</v>
      </c>
      <c r="I58" s="250">
        <v>22.99</v>
      </c>
      <c r="J58" s="248">
        <v>332.69922598577261</v>
      </c>
    </row>
    <row r="59" spans="4:10">
      <c r="D59" t="s">
        <v>368</v>
      </c>
      <c r="F59" s="248">
        <v>484</v>
      </c>
      <c r="G59" s="250"/>
      <c r="H59" s="248">
        <v>187.92</v>
      </c>
      <c r="I59" s="250">
        <v>22.68</v>
      </c>
      <c r="J59" s="248">
        <v>332.69922598577261</v>
      </c>
    </row>
    <row r="60" spans="4:10">
      <c r="D60" t="s">
        <v>369</v>
      </c>
      <c r="F60" s="248">
        <v>484</v>
      </c>
      <c r="G60" s="250"/>
      <c r="H60" s="248">
        <v>187.92</v>
      </c>
      <c r="I60" s="250">
        <v>22.38</v>
      </c>
      <c r="J60" s="248">
        <v>332.69922598577261</v>
      </c>
    </row>
    <row r="61" spans="4:10">
      <c r="D61" t="s">
        <v>370</v>
      </c>
      <c r="F61" s="248">
        <v>484</v>
      </c>
      <c r="G61" s="250"/>
      <c r="H61" s="248">
        <v>187.92</v>
      </c>
      <c r="I61" s="250">
        <v>22.07</v>
      </c>
      <c r="J61" s="248">
        <v>332.69922598577261</v>
      </c>
    </row>
    <row r="62" spans="4:10">
      <c r="D62" t="s">
        <v>371</v>
      </c>
      <c r="F62" s="248">
        <v>484</v>
      </c>
      <c r="G62" s="250"/>
      <c r="H62" s="248">
        <v>187.92</v>
      </c>
      <c r="I62" s="250">
        <v>21.77</v>
      </c>
      <c r="J62" s="248">
        <v>332.69922598577261</v>
      </c>
    </row>
    <row r="63" spans="4:10">
      <c r="D63" t="s">
        <v>372</v>
      </c>
      <c r="F63" s="248">
        <v>484</v>
      </c>
      <c r="G63" s="250"/>
      <c r="H63" s="248">
        <v>187.92</v>
      </c>
      <c r="I63" s="250">
        <v>34.700000000000003</v>
      </c>
      <c r="J63" s="248">
        <v>332.69922598577261</v>
      </c>
    </row>
    <row r="64" spans="4:10">
      <c r="D64" t="s">
        <v>373</v>
      </c>
      <c r="F64" s="248">
        <v>484</v>
      </c>
      <c r="G64" s="250"/>
      <c r="H64" s="248">
        <v>187.92</v>
      </c>
      <c r="I64" s="250">
        <v>34.22</v>
      </c>
      <c r="J64" s="248">
        <v>332.69922598577261</v>
      </c>
    </row>
    <row r="65" spans="4:10">
      <c r="D65" t="s">
        <v>374</v>
      </c>
      <c r="F65" s="248">
        <v>484</v>
      </c>
      <c r="G65" s="250"/>
      <c r="H65" s="248">
        <v>187.92</v>
      </c>
      <c r="I65" s="250">
        <v>33.74</v>
      </c>
      <c r="J65" s="248">
        <v>332.69922598577261</v>
      </c>
    </row>
    <row r="66" spans="4:10">
      <c r="D66" t="s">
        <v>375</v>
      </c>
      <c r="F66" s="248">
        <v>484</v>
      </c>
      <c r="G66" s="250"/>
      <c r="H66" s="248">
        <v>187.92</v>
      </c>
      <c r="I66" s="250">
        <v>33.270000000000003</v>
      </c>
      <c r="J66" s="248">
        <v>332.69922598577261</v>
      </c>
    </row>
    <row r="67" spans="4:10">
      <c r="D67" t="s">
        <v>376</v>
      </c>
      <c r="F67" s="248">
        <v>484</v>
      </c>
      <c r="G67" s="250"/>
      <c r="H67" s="248">
        <v>187.92</v>
      </c>
      <c r="I67" s="250">
        <v>32.799999999999997</v>
      </c>
      <c r="J67" s="248">
        <v>332.69922598577261</v>
      </c>
    </row>
    <row r="68" spans="4:10">
      <c r="D68" t="s">
        <v>377</v>
      </c>
      <c r="F68" s="248">
        <v>484</v>
      </c>
      <c r="G68" s="250"/>
      <c r="H68" s="248">
        <v>187.92</v>
      </c>
      <c r="I68" s="250">
        <v>32.33</v>
      </c>
      <c r="J68" s="248">
        <v>332.69922598577261</v>
      </c>
    </row>
    <row r="69" spans="4:10">
      <c r="D69" t="s">
        <v>378</v>
      </c>
      <c r="F69" s="248">
        <v>484</v>
      </c>
      <c r="G69" s="251"/>
      <c r="H69" s="248">
        <v>187.92</v>
      </c>
      <c r="I69" s="250">
        <v>31.87</v>
      </c>
      <c r="J69" s="248">
        <v>332.69922598577261</v>
      </c>
    </row>
  </sheetData>
  <mergeCells count="1">
    <mergeCell ref="H37:J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cols>
    <col min="1" max="2" width="2.69921875" customWidth="1"/>
    <col min="13" max="13" width="9.09765625" customWidth="1"/>
    <col min="16" max="16" width="9.09765625" customWidth="1"/>
  </cols>
  <sheetData>
    <row r="3" spans="1:30" ht="20">
      <c r="C3" s="99" t="s">
        <v>109</v>
      </c>
      <c r="M3" s="101"/>
    </row>
    <row r="6" spans="1:30">
      <c r="C6" t="s">
        <v>194</v>
      </c>
      <c r="G6" s="155" t="s">
        <v>268</v>
      </c>
    </row>
    <row r="8" spans="1:30">
      <c r="C8" t="s">
        <v>204</v>
      </c>
    </row>
    <row r="10" spans="1:30">
      <c r="C10" t="s">
        <v>167</v>
      </c>
      <c r="J10" s="133" t="str">
        <f>ADDRESS(ROW('MP Calculations'!$F$22),COLUMN('MP Calculations'!$F$22))</f>
        <v>$F$22</v>
      </c>
      <c r="K10" t="str">
        <f ca="1">"on the "&amp;MID(CELL("filename",'MP Calculations'!$A$1),FIND("]",CELL("filename",'MP Calculations'!$A$1))+1,255)&amp;" worksheet."</f>
        <v>on the MP Calculations worksheet.</v>
      </c>
    </row>
    <row r="12" spans="1:30">
      <c r="C12" s="66" t="s">
        <v>76</v>
      </c>
    </row>
    <row r="13" spans="1:30">
      <c r="D13" s="150" t="s">
        <v>188</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cols>
    <col min="1" max="2" width="2.69921875" customWidth="1"/>
    <col min="13" max="13" width="9.09765625" customWidth="1"/>
    <col min="16" max="16" width="9.09765625" customWidth="1"/>
  </cols>
  <sheetData>
    <row r="3" spans="1:30" ht="20">
      <c r="C3" s="99" t="s">
        <v>216</v>
      </c>
      <c r="M3" s="101"/>
    </row>
    <row r="6" spans="1:30">
      <c r="C6" t="s">
        <v>194</v>
      </c>
      <c r="G6" s="155" t="s">
        <v>233</v>
      </c>
    </row>
    <row r="8" spans="1:30">
      <c r="C8" t="s">
        <v>217</v>
      </c>
    </row>
    <row r="10" spans="1:30">
      <c r="C10" t="s">
        <v>167</v>
      </c>
      <c r="J10" s="133" t="str">
        <f>ADDRESS(ROW('MP Calculations'!$G$22),COLUMN('MP Calculations'!$G$22))</f>
        <v>$G$22</v>
      </c>
      <c r="K10" t="str">
        <f ca="1">"on the "&amp;MID(CELL("filename",'MP Calculations'!$A$1),FIND("]",CELL("filename",'MP Calculations'!$A$1))+1,255)&amp;" worksheet."</f>
        <v>on the MP Calculations worksheet.</v>
      </c>
    </row>
    <row r="12" spans="1:30">
      <c r="C12" s="66" t="s">
        <v>76</v>
      </c>
    </row>
    <row r="13" spans="1:30">
      <c r="D13" s="65" t="s">
        <v>234</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cols>
    <col min="1" max="2" width="2.69921875" customWidth="1"/>
    <col min="3" max="3" width="5.69921875" customWidth="1"/>
  </cols>
  <sheetData>
    <row r="3" spans="3:7" ht="20">
      <c r="C3" s="50" t="s">
        <v>176</v>
      </c>
    </row>
    <row r="6" spans="3:7">
      <c r="C6" t="s">
        <v>194</v>
      </c>
      <c r="G6" s="155" t="s">
        <v>268</v>
      </c>
    </row>
    <row r="8" spans="3:7">
      <c r="C8" s="6" t="s">
        <v>177</v>
      </c>
      <c r="G8" s="101"/>
    </row>
    <row r="10" spans="3:7">
      <c r="C10" t="s">
        <v>178</v>
      </c>
      <c r="D10" t="s">
        <v>179</v>
      </c>
    </row>
    <row r="12" spans="3:7">
      <c r="C12" t="s">
        <v>180</v>
      </c>
      <c r="D12" t="s">
        <v>181</v>
      </c>
    </row>
    <row r="14" spans="3:7">
      <c r="C14" t="s">
        <v>182</v>
      </c>
      <c r="D14" t="s">
        <v>183</v>
      </c>
    </row>
    <row r="16" spans="3:7">
      <c r="C16" t="s">
        <v>184</v>
      </c>
      <c r="D16" t="s">
        <v>252</v>
      </c>
    </row>
    <row r="18" spans="3:4">
      <c r="C18" t="s">
        <v>185</v>
      </c>
      <c r="D18" t="s">
        <v>261</v>
      </c>
    </row>
    <row r="20" spans="3:4">
      <c r="C20" t="s">
        <v>186</v>
      </c>
      <c r="D20" t="s">
        <v>253</v>
      </c>
    </row>
    <row r="22" spans="3:4">
      <c r="D22" t="s">
        <v>61</v>
      </c>
    </row>
    <row r="24" spans="3:4">
      <c r="C24" s="6" t="s">
        <v>254</v>
      </c>
    </row>
    <row r="26" spans="3:4">
      <c r="C26" t="s">
        <v>262</v>
      </c>
    </row>
    <row r="28" spans="3:4">
      <c r="C28" t="s">
        <v>255</v>
      </c>
      <c r="D28" t="s">
        <v>256</v>
      </c>
    </row>
    <row r="30" spans="3:4">
      <c r="C30" t="s">
        <v>257</v>
      </c>
      <c r="D30" t="s">
        <v>258</v>
      </c>
    </row>
    <row r="32" spans="3:4">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2023-12-01T03:43:35Z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