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7CFF5753-98BB-4E90-96EB-8B1CF4D99B71}" xr6:coauthVersionLast="47" xr6:coauthVersionMax="47" xr10:uidLastSave="{00000000-0000-0000-0000-000000000000}"/>
  <bookViews>
    <workbookView xWindow="-110" yWindow="-110" windowWidth="19420" windowHeight="10420" tabRatio="722" firstSheet="2"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assets'!$A$21:$R$3040</definedName>
    <definedName name="_xlnm._FilterDatabase" localSheetId="5" hidden="1">'Pre-1996 assets'!$A$21:$R$790</definedName>
    <definedName name="_xlnm.Print_Area" localSheetId="0">Cover!$B$1:$E$100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7" l="1"/>
  <c r="F6" i="19"/>
  <c r="P12" i="19"/>
  <c r="S12" i="19"/>
  <c r="V12" i="19"/>
  <c r="Y12" i="19"/>
  <c r="AB12" i="19"/>
  <c r="AE12" i="19"/>
  <c r="AH12" i="19"/>
  <c r="D12" i="19"/>
  <c r="P13" i="19"/>
  <c r="S13" i="19"/>
  <c r="V13" i="19"/>
  <c r="Y13" i="19"/>
  <c r="AB13" i="19"/>
  <c r="AE13" i="19"/>
  <c r="AH13" i="19"/>
  <c r="D13" i="19"/>
  <c r="P14" i="19"/>
  <c r="S14" i="19"/>
  <c r="V14" i="19"/>
  <c r="Y14" i="19"/>
  <c r="AB14" i="19"/>
  <c r="AE14" i="19"/>
  <c r="AH14" i="19"/>
  <c r="D14" i="19"/>
  <c r="P15" i="19"/>
  <c r="S15" i="19"/>
  <c r="V15" i="19"/>
  <c r="Y15" i="19"/>
  <c r="AB15" i="19"/>
  <c r="AE15" i="19"/>
  <c r="AH15" i="19"/>
  <c r="D15" i="19"/>
  <c r="P16" i="19"/>
  <c r="S16" i="19"/>
  <c r="V16" i="19"/>
  <c r="Y16" i="19"/>
  <c r="AB16" i="19"/>
  <c r="AE16" i="19"/>
  <c r="AH16" i="19"/>
  <c r="D16" i="19"/>
  <c r="P17" i="19"/>
  <c r="S17" i="19"/>
  <c r="V17" i="19"/>
  <c r="Y17" i="19"/>
  <c r="AB17" i="19"/>
  <c r="AE17" i="19"/>
  <c r="AH17" i="19"/>
  <c r="D17" i="19"/>
  <c r="P18" i="19"/>
  <c r="S18" i="19"/>
  <c r="V18" i="19"/>
  <c r="Y18" i="19"/>
  <c r="AB18" i="19"/>
  <c r="AE18" i="19"/>
  <c r="AH18" i="19"/>
  <c r="D18" i="19"/>
  <c r="P19" i="19"/>
  <c r="S19" i="19"/>
  <c r="V19" i="19"/>
  <c r="Y19" i="19"/>
  <c r="AB19" i="19"/>
  <c r="AE19" i="19"/>
  <c r="AH19" i="19"/>
  <c r="D19" i="19"/>
  <c r="P20" i="19"/>
  <c r="S20" i="19"/>
  <c r="V20" i="19"/>
  <c r="Y20" i="19"/>
  <c r="AB20" i="19"/>
  <c r="AE20" i="19"/>
  <c r="AH20" i="19"/>
  <c r="D20" i="19"/>
  <c r="P21" i="19"/>
  <c r="S21" i="19"/>
  <c r="V21" i="19"/>
  <c r="Y21" i="19"/>
  <c r="AB21" i="19"/>
  <c r="AE21" i="19"/>
  <c r="AH21" i="19"/>
  <c r="D21" i="19"/>
  <c r="P22" i="19"/>
  <c r="S22" i="19"/>
  <c r="V22" i="19"/>
  <c r="Y22" i="19"/>
  <c r="AB22" i="19"/>
  <c r="AE22" i="19"/>
  <c r="AH22" i="19"/>
  <c r="D22" i="19"/>
  <c r="P23" i="19"/>
  <c r="S23" i="19"/>
  <c r="V23" i="19"/>
  <c r="Y23" i="19"/>
  <c r="AB23" i="19"/>
  <c r="AE23" i="19"/>
  <c r="AH23" i="19"/>
  <c r="D23" i="19"/>
  <c r="P24" i="19"/>
  <c r="S24" i="19"/>
  <c r="V24" i="19"/>
  <c r="Y24" i="19"/>
  <c r="AB24" i="19"/>
  <c r="AE24" i="19"/>
  <c r="AH24" i="19"/>
  <c r="D24" i="19"/>
  <c r="P25" i="19"/>
  <c r="S25" i="19"/>
  <c r="V25" i="19"/>
  <c r="Y25" i="19"/>
  <c r="AB25" i="19"/>
  <c r="AE25" i="19"/>
  <c r="AH25" i="19"/>
  <c r="D25" i="19"/>
  <c r="P26" i="19"/>
  <c r="S26" i="19"/>
  <c r="V26" i="19"/>
  <c r="Y26" i="19"/>
  <c r="AB26" i="19"/>
  <c r="AE26" i="19"/>
  <c r="AH26" i="19"/>
  <c r="D26" i="19"/>
  <c r="P27" i="19"/>
  <c r="S27" i="19"/>
  <c r="V27" i="19"/>
  <c r="Y27" i="19"/>
  <c r="AB27" i="19"/>
  <c r="AE27" i="19"/>
  <c r="AH27" i="19"/>
  <c r="D27" i="19"/>
  <c r="P28" i="19"/>
  <c r="S28" i="19"/>
  <c r="V28" i="19"/>
  <c r="Y28" i="19"/>
  <c r="AB28" i="19"/>
  <c r="AE28" i="19"/>
  <c r="AH28" i="19"/>
  <c r="D28" i="19"/>
  <c r="P29" i="19"/>
  <c r="S29" i="19"/>
  <c r="V29" i="19"/>
  <c r="Y29" i="19"/>
  <c r="AB29" i="19"/>
  <c r="AE29" i="19"/>
  <c r="AH29" i="19"/>
  <c r="D29" i="19"/>
  <c r="P30" i="19"/>
  <c r="S30" i="19"/>
  <c r="V30" i="19"/>
  <c r="Y30" i="19"/>
  <c r="AB30" i="19"/>
  <c r="AE30" i="19"/>
  <c r="AH30" i="19"/>
  <c r="D30" i="19"/>
  <c r="P31" i="19"/>
  <c r="S31" i="19"/>
  <c r="V31" i="19"/>
  <c r="Y31" i="19"/>
  <c r="AB31" i="19"/>
  <c r="AE31" i="19"/>
  <c r="AH31" i="19"/>
  <c r="D31" i="19"/>
  <c r="P32" i="19"/>
  <c r="S32" i="19"/>
  <c r="V32" i="19"/>
  <c r="Y32" i="19"/>
  <c r="AB32" i="19"/>
  <c r="AE32" i="19"/>
  <c r="AH32" i="19"/>
  <c r="D32" i="19"/>
  <c r="P33" i="19"/>
  <c r="S33" i="19"/>
  <c r="V33" i="19"/>
  <c r="Y33" i="19"/>
  <c r="AB33" i="19"/>
  <c r="AE33" i="19"/>
  <c r="AH33" i="19"/>
  <c r="D33" i="19"/>
  <c r="P34" i="19"/>
  <c r="S34" i="19"/>
  <c r="V34" i="19"/>
  <c r="Y34" i="19"/>
  <c r="AB34" i="19"/>
  <c r="AE34" i="19"/>
  <c r="AH34" i="19"/>
  <c r="D34" i="19"/>
  <c r="P35" i="19"/>
  <c r="S35" i="19"/>
  <c r="V35" i="19"/>
  <c r="Y35" i="19"/>
  <c r="AB35" i="19"/>
  <c r="AE35" i="19"/>
  <c r="AH35" i="19"/>
  <c r="D35" i="19"/>
  <c r="P36" i="19"/>
  <c r="S36" i="19"/>
  <c r="V36" i="19"/>
  <c r="Y36" i="19"/>
  <c r="AB36" i="19"/>
  <c r="AE36" i="19"/>
  <c r="AH36" i="19"/>
  <c r="D36" i="19"/>
  <c r="P37" i="19"/>
  <c r="S37" i="19"/>
  <c r="V37" i="19"/>
  <c r="Y37" i="19"/>
  <c r="AB37" i="19"/>
  <c r="AE37" i="19"/>
  <c r="AH37" i="19"/>
  <c r="D37" i="19"/>
  <c r="P38" i="19"/>
  <c r="S38" i="19"/>
  <c r="V38" i="19"/>
  <c r="Y38" i="19"/>
  <c r="AB38" i="19"/>
  <c r="AE38" i="19"/>
  <c r="AH38" i="19"/>
  <c r="D38" i="19"/>
  <c r="AP19" i="19"/>
  <c r="P39" i="19"/>
  <c r="S39" i="19"/>
  <c r="V39" i="19"/>
  <c r="Y39" i="19"/>
  <c r="AB39" i="19"/>
  <c r="AE39" i="19"/>
  <c r="AH39" i="19"/>
  <c r="D39" i="19"/>
  <c r="P40" i="19"/>
  <c r="S40" i="19"/>
  <c r="V40" i="19"/>
  <c r="Y40" i="19"/>
  <c r="AB40" i="19"/>
  <c r="AE40" i="19"/>
  <c r="AH40" i="19"/>
  <c r="D40" i="19"/>
  <c r="P41" i="19"/>
  <c r="S41" i="19"/>
  <c r="V41" i="19"/>
  <c r="Y41" i="19"/>
  <c r="AB41" i="19"/>
  <c r="AE41" i="19"/>
  <c r="AH41" i="19"/>
  <c r="D41" i="19"/>
  <c r="P42" i="19"/>
  <c r="S42" i="19"/>
  <c r="V42" i="19"/>
  <c r="Y42" i="19"/>
  <c r="AB42" i="19"/>
  <c r="AE42" i="19"/>
  <c r="AH42" i="19"/>
  <c r="D42" i="19"/>
  <c r="P43" i="19"/>
  <c r="S43" i="19"/>
  <c r="V43" i="19"/>
  <c r="Y43" i="19"/>
  <c r="AB43" i="19"/>
  <c r="AE43" i="19"/>
  <c r="AH43" i="19"/>
  <c r="D43" i="19"/>
  <c r="P44" i="19"/>
  <c r="S44" i="19"/>
  <c r="V44" i="19"/>
  <c r="Y44" i="19"/>
  <c r="AB44" i="19"/>
  <c r="AE44" i="19"/>
  <c r="AH44" i="19"/>
  <c r="D44" i="19"/>
  <c r="P45" i="19"/>
  <c r="S45" i="19"/>
  <c r="V45" i="19"/>
  <c r="Y45" i="19"/>
  <c r="AB45" i="19"/>
  <c r="AE45" i="19"/>
  <c r="AH45" i="19"/>
  <c r="D45" i="19"/>
  <c r="P46" i="19"/>
  <c r="S46" i="19"/>
  <c r="V46" i="19"/>
  <c r="Y46" i="19"/>
  <c r="AB46" i="19"/>
  <c r="AE46" i="19"/>
  <c r="AH46" i="19"/>
  <c r="D46" i="19"/>
  <c r="P47" i="19"/>
  <c r="S47" i="19"/>
  <c r="V47" i="19"/>
  <c r="Y47" i="19"/>
  <c r="AB47" i="19"/>
  <c r="AE47" i="19"/>
  <c r="AH47" i="19"/>
  <c r="D47" i="19"/>
  <c r="P48" i="19"/>
  <c r="S48" i="19"/>
  <c r="V48" i="19"/>
  <c r="Y48" i="19"/>
  <c r="AB48" i="19"/>
  <c r="AE48" i="19"/>
  <c r="AH48" i="19"/>
  <c r="D48" i="19"/>
  <c r="P49" i="19"/>
  <c r="S49" i="19"/>
  <c r="V49" i="19"/>
  <c r="Y49" i="19"/>
  <c r="AB49" i="19"/>
  <c r="AE49" i="19"/>
  <c r="AH49" i="19"/>
  <c r="D49" i="19"/>
  <c r="P50" i="19"/>
  <c r="S50" i="19"/>
  <c r="V50" i="19"/>
  <c r="Y50" i="19"/>
  <c r="AB50" i="19"/>
  <c r="AE50" i="19"/>
  <c r="AH50" i="19"/>
  <c r="D50" i="19"/>
  <c r="P51" i="19"/>
  <c r="S51" i="19"/>
  <c r="V51" i="19"/>
  <c r="Y51" i="19"/>
  <c r="AB51" i="19"/>
  <c r="AE51" i="19"/>
  <c r="AH51" i="19"/>
  <c r="D51" i="19"/>
  <c r="P52" i="19"/>
  <c r="S52" i="19"/>
  <c r="V52" i="19"/>
  <c r="Y52" i="19"/>
  <c r="AB52" i="19"/>
  <c r="AE52" i="19"/>
  <c r="AH52" i="19"/>
  <c r="D52" i="19"/>
  <c r="P53" i="19"/>
  <c r="S53" i="19"/>
  <c r="V53" i="19"/>
  <c r="Y53" i="19"/>
  <c r="AB53" i="19"/>
  <c r="AE53" i="19"/>
  <c r="AH53" i="19"/>
  <c r="D53" i="19"/>
  <c r="P54" i="19"/>
  <c r="S54" i="19"/>
  <c r="V54" i="19"/>
  <c r="Y54" i="19"/>
  <c r="AB54" i="19"/>
  <c r="AE54" i="19"/>
  <c r="AH54" i="19"/>
  <c r="D54" i="19"/>
  <c r="P55" i="19"/>
  <c r="S55" i="19"/>
  <c r="V55" i="19"/>
  <c r="Y55" i="19"/>
  <c r="AB55" i="19"/>
  <c r="AE55" i="19"/>
  <c r="AH55" i="19"/>
  <c r="D55" i="19"/>
  <c r="P56" i="19"/>
  <c r="S56" i="19"/>
  <c r="V56" i="19"/>
  <c r="Y56" i="19"/>
  <c r="AB56" i="19"/>
  <c r="AE56" i="19"/>
  <c r="AH56" i="19"/>
  <c r="D56" i="19"/>
  <c r="P57" i="19"/>
  <c r="S57" i="19"/>
  <c r="V57" i="19"/>
  <c r="Y57" i="19"/>
  <c r="AB57" i="19"/>
  <c r="AE57" i="19"/>
  <c r="AH57" i="19"/>
  <c r="D57" i="19"/>
  <c r="P58" i="19"/>
  <c r="S58" i="19"/>
  <c r="V58" i="19"/>
  <c r="Y58" i="19"/>
  <c r="AB58" i="19"/>
  <c r="AE58" i="19"/>
  <c r="AH58" i="19"/>
  <c r="D58" i="19"/>
  <c r="P59" i="19"/>
  <c r="S59" i="19"/>
  <c r="V59" i="19"/>
  <c r="Y59" i="19"/>
  <c r="AB59" i="19"/>
  <c r="AE59" i="19"/>
  <c r="AH59" i="19"/>
  <c r="D59" i="19"/>
  <c r="P60" i="19"/>
  <c r="S60" i="19"/>
  <c r="V60" i="19"/>
  <c r="Y60" i="19"/>
  <c r="AB60" i="19"/>
  <c r="AE60" i="19"/>
  <c r="AH60" i="19"/>
  <c r="D60" i="19"/>
  <c r="P61" i="19"/>
  <c r="S61" i="19"/>
  <c r="V61" i="19"/>
  <c r="Y61" i="19"/>
  <c r="AB61" i="19"/>
  <c r="AE61" i="19"/>
  <c r="AH61" i="19"/>
  <c r="D61" i="19"/>
  <c r="P62" i="19"/>
  <c r="S62" i="19"/>
  <c r="V62" i="19"/>
  <c r="Y62" i="19"/>
  <c r="AB62" i="19"/>
  <c r="AE62" i="19"/>
  <c r="AH62" i="19"/>
  <c r="D62" i="19"/>
  <c r="P63" i="19"/>
  <c r="S63" i="19"/>
  <c r="V63" i="19"/>
  <c r="Y63" i="19"/>
  <c r="AB63" i="19"/>
  <c r="AE63" i="19"/>
  <c r="AH63" i="19"/>
  <c r="D63" i="19"/>
  <c r="P64" i="19"/>
  <c r="S64" i="19"/>
  <c r="V64" i="19"/>
  <c r="Y64" i="19"/>
  <c r="AB64" i="19"/>
  <c r="AE64" i="19"/>
  <c r="AH64" i="19"/>
  <c r="D64" i="19"/>
  <c r="P65" i="19"/>
  <c r="S65" i="19"/>
  <c r="V65" i="19"/>
  <c r="Y65" i="19"/>
  <c r="AB65" i="19"/>
  <c r="AE65" i="19"/>
  <c r="AH65" i="19"/>
  <c r="D65" i="19"/>
  <c r="P66" i="19"/>
  <c r="S66" i="19"/>
  <c r="V66" i="19"/>
  <c r="Y66" i="19"/>
  <c r="AB66" i="19"/>
  <c r="AE66" i="19"/>
  <c r="AH66" i="19"/>
  <c r="D66" i="19"/>
  <c r="P67" i="19"/>
  <c r="S67" i="19"/>
  <c r="V67" i="19"/>
  <c r="Y67" i="19"/>
  <c r="AB67" i="19"/>
  <c r="AE67" i="19"/>
  <c r="AH67" i="19"/>
  <c r="D67" i="19"/>
  <c r="P68" i="19"/>
  <c r="S68" i="19"/>
  <c r="V68" i="19"/>
  <c r="Y68" i="19"/>
  <c r="AB68" i="19"/>
  <c r="AE68" i="19"/>
  <c r="AH68"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AP14" i="19"/>
  <c r="AP21" i="19"/>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J109" i="16"/>
  <c r="J110" i="16"/>
  <c r="J111" i="16"/>
  <c r="J112" i="16"/>
  <c r="J113" i="16"/>
  <c r="J114" i="16"/>
  <c r="J115" i="16"/>
  <c r="J116" i="16"/>
  <c r="J117" i="16"/>
  <c r="J118" i="16"/>
  <c r="J119" i="16"/>
  <c r="J126" i="16"/>
  <c r="J127" i="16"/>
  <c r="J128" i="16"/>
  <c r="J129" i="16"/>
  <c r="J130" i="16"/>
  <c r="J131" i="16"/>
  <c r="J132" i="16"/>
  <c r="J133" i="16"/>
  <c r="J134" i="16"/>
  <c r="J135" i="16"/>
  <c r="J136" i="16"/>
  <c r="J137" i="16"/>
  <c r="J138" i="16"/>
  <c r="J139" i="16"/>
  <c r="J140" i="16"/>
  <c r="J141" i="16"/>
  <c r="J142" i="16"/>
  <c r="J143" i="16"/>
  <c r="J144" i="16"/>
  <c r="J145" i="16"/>
  <c r="J146" i="16"/>
  <c r="J147" i="16"/>
  <c r="J148" i="16"/>
  <c r="J149" i="16"/>
  <c r="J150" i="16"/>
  <c r="J151" i="16"/>
  <c r="J152" i="16"/>
  <c r="J153" i="16"/>
  <c r="J154" i="16"/>
  <c r="J155" i="16"/>
  <c r="J156" i="16"/>
  <c r="J157" i="16"/>
  <c r="J158" i="16"/>
  <c r="J159" i="16"/>
  <c r="J160" i="16"/>
  <c r="J161" i="16"/>
  <c r="J162" i="16"/>
  <c r="J163" i="16"/>
  <c r="J164" i="16"/>
  <c r="J165" i="16"/>
  <c r="J166" i="16"/>
  <c r="J167" i="16"/>
  <c r="J168" i="16"/>
  <c r="J169" i="16"/>
  <c r="J170" i="16"/>
  <c r="J171" i="16"/>
  <c r="J172" i="16"/>
  <c r="J173" i="16"/>
  <c r="J174" i="16"/>
  <c r="J175" i="16"/>
  <c r="J176" i="16"/>
  <c r="J177" i="16"/>
  <c r="J178" i="16"/>
  <c r="J179" i="16"/>
  <c r="J180" i="16"/>
  <c r="J181" i="16"/>
  <c r="J182" i="16"/>
  <c r="J183" i="16"/>
  <c r="J184" i="16"/>
  <c r="J185" i="16"/>
  <c r="J186" i="16"/>
  <c r="J187" i="16"/>
  <c r="J188" i="16"/>
  <c r="J189" i="16"/>
  <c r="J190" i="16"/>
  <c r="J191" i="16"/>
  <c r="J192" i="16"/>
  <c r="J193" i="16"/>
  <c r="J194" i="16"/>
  <c r="J195" i="16"/>
  <c r="J196" i="16"/>
  <c r="J197" i="16"/>
  <c r="J198" i="16"/>
  <c r="J199" i="16"/>
  <c r="J200" i="16"/>
  <c r="J201" i="16"/>
  <c r="J202" i="16"/>
  <c r="J203" i="16"/>
  <c r="J204" i="16"/>
  <c r="J205" i="16"/>
  <c r="J206" i="16"/>
  <c r="J207" i="16"/>
  <c r="J208" i="16"/>
  <c r="J209" i="16"/>
  <c r="J210" i="16"/>
  <c r="J211" i="16"/>
  <c r="J212" i="16"/>
  <c r="J213" i="16"/>
  <c r="J214" i="16"/>
  <c r="J215" i="16"/>
  <c r="J216" i="16"/>
  <c r="J217" i="16"/>
  <c r="J218" i="16"/>
  <c r="J219" i="16"/>
  <c r="J220" i="16"/>
  <c r="J221" i="16"/>
  <c r="J222" i="16"/>
  <c r="J223" i="16"/>
  <c r="J224" i="16"/>
  <c r="J225" i="16"/>
  <c r="J226" i="16"/>
  <c r="J227" i="16"/>
  <c r="J228" i="16"/>
  <c r="J229" i="16"/>
  <c r="J230" i="16"/>
  <c r="J231" i="16"/>
  <c r="J232" i="16"/>
  <c r="J233" i="16"/>
  <c r="J234" i="16"/>
  <c r="J235" i="16"/>
  <c r="J236" i="16"/>
  <c r="J237" i="16"/>
  <c r="J238" i="16"/>
  <c r="J239" i="16"/>
  <c r="J240" i="16"/>
  <c r="J241" i="16"/>
  <c r="J242" i="16"/>
  <c r="J243" i="16"/>
  <c r="J244" i="16"/>
  <c r="J245" i="16"/>
  <c r="J246" i="16"/>
  <c r="J247" i="16"/>
  <c r="J248" i="16"/>
  <c r="J249" i="16"/>
  <c r="J250" i="16"/>
  <c r="J251" i="16"/>
  <c r="J252" i="16"/>
  <c r="J253" i="16"/>
  <c r="J254" i="16"/>
  <c r="J255" i="16"/>
  <c r="J256" i="16"/>
  <c r="J257" i="16"/>
  <c r="J258" i="16"/>
  <c r="J259" i="16"/>
  <c r="J260" i="16"/>
  <c r="J261" i="16"/>
  <c r="J262" i="16"/>
  <c r="J263" i="16"/>
  <c r="J264" i="16"/>
  <c r="J265" i="16"/>
  <c r="J266" i="16"/>
  <c r="J267" i="16"/>
  <c r="J268" i="16"/>
  <c r="J269" i="16"/>
  <c r="J270" i="16"/>
  <c r="J271" i="16"/>
  <c r="J272" i="16"/>
  <c r="J273" i="16"/>
  <c r="J274" i="16"/>
  <c r="J275" i="16"/>
  <c r="J276" i="16"/>
  <c r="J277" i="16"/>
  <c r="J278" i="16"/>
  <c r="J279" i="16"/>
  <c r="J280" i="16"/>
  <c r="J281" i="16"/>
  <c r="J282" i="16"/>
  <c r="J283" i="16"/>
  <c r="J284" i="16"/>
  <c r="J285" i="16"/>
  <c r="J286" i="16"/>
  <c r="J287" i="16"/>
  <c r="J288" i="16"/>
  <c r="J289" i="16"/>
  <c r="J290" i="16"/>
  <c r="J291" i="16"/>
  <c r="J292" i="16"/>
  <c r="J293" i="16"/>
  <c r="J294" i="16"/>
  <c r="J295" i="16"/>
  <c r="J296" i="16"/>
  <c r="J297" i="16"/>
  <c r="J298" i="16"/>
  <c r="J299" i="16"/>
  <c r="J300" i="16"/>
  <c r="J301" i="16"/>
  <c r="J302" i="16"/>
  <c r="J303" i="16"/>
  <c r="J304" i="16"/>
  <c r="J305" i="16"/>
  <c r="J306" i="16"/>
  <c r="J307" i="16"/>
  <c r="J308" i="16"/>
  <c r="J309" i="16"/>
  <c r="J310" i="16"/>
  <c r="J311" i="16"/>
  <c r="J312" i="16"/>
  <c r="J313" i="16"/>
  <c r="J314" i="16"/>
  <c r="J315" i="16"/>
  <c r="J316" i="16"/>
  <c r="J317" i="16"/>
  <c r="J318" i="16"/>
  <c r="J319" i="16"/>
  <c r="J320" i="16"/>
  <c r="J321" i="16"/>
  <c r="J322" i="16"/>
  <c r="J323" i="16"/>
  <c r="J324" i="16"/>
  <c r="J325" i="16"/>
  <c r="J326" i="16"/>
  <c r="J327" i="16"/>
  <c r="J328" i="16"/>
  <c r="J329" i="16"/>
  <c r="J330" i="16"/>
  <c r="J331" i="16"/>
  <c r="J332" i="16"/>
  <c r="J333" i="16"/>
  <c r="J334" i="16"/>
  <c r="J335" i="16"/>
  <c r="J336" i="16"/>
  <c r="J337" i="16"/>
  <c r="J338" i="16"/>
  <c r="J339" i="16"/>
  <c r="J340" i="16"/>
  <c r="J341" i="16"/>
  <c r="J342" i="16"/>
  <c r="J343" i="16"/>
  <c r="J344" i="16"/>
  <c r="J345" i="16"/>
  <c r="J346" i="16"/>
  <c r="J347" i="16"/>
  <c r="J348" i="16"/>
  <c r="J349" i="16"/>
  <c r="J350" i="16"/>
  <c r="J351" i="16"/>
  <c r="J352" i="16"/>
  <c r="J353" i="16"/>
  <c r="J354" i="16"/>
  <c r="J355" i="16"/>
  <c r="J356" i="16"/>
  <c r="J357" i="16"/>
  <c r="J358" i="16"/>
  <c r="J359" i="16"/>
  <c r="J360" i="16"/>
  <c r="J361" i="16"/>
  <c r="J362" i="16"/>
  <c r="J363" i="16"/>
  <c r="J364" i="16"/>
  <c r="J365" i="16"/>
  <c r="J366" i="16"/>
  <c r="J367" i="16"/>
  <c r="J368" i="16"/>
  <c r="J369" i="16"/>
  <c r="J370" i="16"/>
  <c r="J371" i="16"/>
  <c r="J372" i="16"/>
  <c r="J373" i="16"/>
  <c r="J374" i="16"/>
  <c r="J375" i="16"/>
  <c r="J376" i="16"/>
  <c r="J377" i="16"/>
  <c r="J378" i="16"/>
  <c r="J379" i="16"/>
  <c r="J380" i="16"/>
  <c r="J381" i="16"/>
  <c r="J382" i="16"/>
  <c r="J383" i="16"/>
  <c r="J384" i="16"/>
  <c r="J385" i="16"/>
  <c r="J386" i="16"/>
  <c r="J387" i="16"/>
  <c r="J388" i="16"/>
  <c r="J389" i="16"/>
  <c r="J390" i="16"/>
  <c r="J391" i="16"/>
  <c r="J392" i="16"/>
  <c r="J393" i="16"/>
  <c r="J394" i="16"/>
  <c r="J395" i="16"/>
  <c r="J396" i="16"/>
  <c r="J397" i="16"/>
  <c r="J398" i="16"/>
  <c r="J399" i="16"/>
  <c r="J400" i="16"/>
  <c r="J401" i="16"/>
  <c r="J402" i="16"/>
  <c r="J403" i="16"/>
  <c r="J404" i="16"/>
  <c r="J405" i="16"/>
  <c r="J414" i="16"/>
  <c r="J415" i="16"/>
  <c r="J416" i="16"/>
  <c r="J417" i="16"/>
  <c r="J418" i="16"/>
  <c r="J419" i="16"/>
  <c r="J420" i="16"/>
  <c r="J421" i="16"/>
  <c r="J422" i="16"/>
  <c r="J423" i="16"/>
  <c r="J424" i="16"/>
  <c r="J425" i="16"/>
  <c r="J426" i="16"/>
  <c r="J427" i="16"/>
  <c r="J428" i="16"/>
  <c r="J429" i="16"/>
  <c r="J430" i="16"/>
  <c r="J431" i="16"/>
  <c r="J432" i="16"/>
  <c r="J433" i="16"/>
  <c r="J434" i="16"/>
  <c r="J435" i="16"/>
  <c r="J436" i="16"/>
  <c r="J437" i="16"/>
  <c r="J438" i="16"/>
  <c r="J439" i="16"/>
  <c r="J440" i="16"/>
  <c r="J441" i="16"/>
  <c r="J442" i="16"/>
  <c r="J443" i="16"/>
  <c r="J444" i="16"/>
  <c r="J445" i="16"/>
  <c r="J446" i="16"/>
  <c r="J447" i="16"/>
  <c r="J448" i="16"/>
  <c r="J449" i="16"/>
  <c r="J450" i="16"/>
  <c r="J451" i="16"/>
  <c r="J452" i="16"/>
  <c r="J453" i="16"/>
  <c r="J454" i="16"/>
  <c r="J455" i="16"/>
  <c r="J456" i="16"/>
  <c r="J457" i="16"/>
  <c r="J458" i="16"/>
  <c r="J459" i="16"/>
  <c r="J460" i="16"/>
  <c r="J461" i="16"/>
  <c r="J462" i="16"/>
  <c r="J463" i="16"/>
  <c r="J464" i="16"/>
  <c r="J465" i="16"/>
  <c r="J466" i="16"/>
  <c r="J467" i="16"/>
  <c r="J468" i="16"/>
  <c r="J469" i="16"/>
  <c r="J470" i="16"/>
  <c r="J471" i="16"/>
  <c r="J472" i="16"/>
  <c r="J473" i="16"/>
  <c r="J474" i="16"/>
  <c r="J475" i="16"/>
  <c r="J476" i="16"/>
  <c r="J477" i="16"/>
  <c r="J478" i="16"/>
  <c r="J479" i="16"/>
  <c r="J480" i="16"/>
  <c r="J481" i="16"/>
  <c r="J482" i="16"/>
  <c r="J483" i="16"/>
  <c r="J484" i="16"/>
  <c r="J485" i="16"/>
  <c r="J486" i="16"/>
  <c r="J487" i="16"/>
  <c r="J488" i="16"/>
  <c r="J489" i="16"/>
  <c r="J490" i="16"/>
  <c r="J491" i="16"/>
  <c r="J493" i="16"/>
  <c r="J106" i="17"/>
  <c r="J24" i="17"/>
  <c r="J25" i="17"/>
  <c r="J26" i="17"/>
  <c r="J27" i="17"/>
  <c r="J28" i="17"/>
  <c r="J30" i="17"/>
  <c r="J31" i="17"/>
  <c r="J33" i="17"/>
  <c r="J34" i="17"/>
  <c r="J35" i="17"/>
  <c r="J36" i="17"/>
  <c r="J37" i="17"/>
  <c r="J38" i="17"/>
  <c r="J39" i="17"/>
  <c r="J40" i="17"/>
  <c r="J44" i="17"/>
  <c r="P44" i="17"/>
  <c r="J45" i="17"/>
  <c r="P45" i="17"/>
  <c r="J46" i="17"/>
  <c r="P46" i="17"/>
  <c r="J47" i="17"/>
  <c r="P47" i="17"/>
  <c r="P23" i="17"/>
  <c r="P24" i="17"/>
  <c r="P25" i="17"/>
  <c r="P26" i="17"/>
  <c r="P27" i="17"/>
  <c r="P28" i="17"/>
  <c r="P30" i="17"/>
  <c r="P31" i="17"/>
  <c r="P33" i="17"/>
  <c r="P34" i="17"/>
  <c r="P35" i="17"/>
  <c r="P36" i="17"/>
  <c r="P37" i="17"/>
  <c r="P38" i="17"/>
  <c r="P39" i="17"/>
  <c r="P40" i="17"/>
  <c r="P41" i="17"/>
  <c r="P42" i="17"/>
  <c r="J48" i="17"/>
  <c r="P48" i="17"/>
  <c r="J49" i="17"/>
  <c r="P49" i="17"/>
  <c r="J50" i="17"/>
  <c r="P50" i="17"/>
  <c r="J51" i="17"/>
  <c r="P51" i="17"/>
  <c r="P52" i="17"/>
  <c r="I19" i="17"/>
  <c r="J108" i="17"/>
  <c r="J110" i="17"/>
  <c r="J112" i="17"/>
  <c r="J114" i="17"/>
  <c r="J116" i="17"/>
  <c r="P116" i="17"/>
  <c r="J118" i="17"/>
  <c r="P118" i="17"/>
  <c r="P57" i="17"/>
  <c r="I18" i="17"/>
  <c r="P112" i="17"/>
  <c r="P114" i="17"/>
  <c r="I17" i="17"/>
  <c r="P106" i="17"/>
  <c r="P108" i="17"/>
  <c r="P110" i="17"/>
  <c r="P59" i="17"/>
  <c r="P60" i="17"/>
  <c r="P61" i="17"/>
  <c r="I16" i="17"/>
  <c r="O118" i="17"/>
  <c r="F118" i="17"/>
  <c r="O117" i="17"/>
  <c r="J105" i="17"/>
  <c r="J107" i="17"/>
  <c r="J109" i="17"/>
  <c r="J111" i="17"/>
  <c r="J113" i="17"/>
  <c r="J115" i="17"/>
  <c r="J117" i="17"/>
  <c r="P117" i="17"/>
  <c r="F117" i="17"/>
  <c r="O116" i="17"/>
  <c r="F116" i="17"/>
  <c r="O115" i="17"/>
  <c r="P115" i="17"/>
  <c r="F115" i="17"/>
  <c r="O114" i="17"/>
  <c r="F114" i="17"/>
  <c r="O113" i="17"/>
  <c r="P113" i="17"/>
  <c r="F113" i="17"/>
  <c r="O112" i="17"/>
  <c r="F112" i="17"/>
  <c r="O111" i="17"/>
  <c r="P111" i="17"/>
  <c r="F111" i="17"/>
  <c r="O110" i="17"/>
  <c r="F110" i="17"/>
  <c r="O109" i="17"/>
  <c r="P109" i="17"/>
  <c r="F109" i="17"/>
  <c r="O108" i="17"/>
  <c r="F108" i="17"/>
  <c r="O107" i="17"/>
  <c r="P107" i="17"/>
  <c r="F107" i="17"/>
  <c r="O106" i="17"/>
  <c r="F106" i="17"/>
  <c r="O105" i="17"/>
  <c r="P105" i="17"/>
  <c r="F105" i="17"/>
  <c r="V62" i="22"/>
  <c r="V63" i="22"/>
  <c r="V64" i="22"/>
  <c r="V65" i="22"/>
  <c r="V66" i="22"/>
  <c r="V67" i="22"/>
  <c r="X62" i="22"/>
  <c r="X63" i="22"/>
  <c r="X64" i="22"/>
  <c r="X65" i="22"/>
  <c r="X66" i="22"/>
  <c r="X67" i="22"/>
  <c r="S62" i="22"/>
  <c r="S63" i="22"/>
  <c r="S64" i="22"/>
  <c r="S65" i="22"/>
  <c r="S66" i="22"/>
  <c r="S67" i="22"/>
  <c r="Q62" i="22"/>
  <c r="Q63" i="22"/>
  <c r="Q64" i="22"/>
  <c r="Q65" i="22"/>
  <c r="Q66" i="22"/>
  <c r="Q67" i="22"/>
  <c r="D38" i="22"/>
  <c r="L62" i="22"/>
  <c r="L63" i="22"/>
  <c r="L64" i="22"/>
  <c r="L65" i="22"/>
  <c r="L66" i="22"/>
  <c r="L67" i="22"/>
  <c r="M55" i="22"/>
  <c r="Q83" i="20"/>
  <c r="R83" i="20"/>
  <c r="M39" i="22"/>
  <c r="Q67" i="20"/>
  <c r="R67" i="20"/>
  <c r="J62" i="22"/>
  <c r="J63" i="22"/>
  <c r="J64" i="22"/>
  <c r="J65" i="22"/>
  <c r="J66" i="22"/>
  <c r="J67" i="22"/>
  <c r="O37" i="17"/>
  <c r="O38" i="17"/>
  <c r="O30" i="17"/>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O1082" i="16"/>
  <c r="O1081" i="16"/>
  <c r="O1080" i="16"/>
  <c r="O1079" i="16"/>
  <c r="O1077" i="16"/>
  <c r="O1075" i="16"/>
  <c r="O1074" i="16"/>
  <c r="O1073" i="16"/>
  <c r="O1072" i="16"/>
  <c r="O1071" i="16"/>
  <c r="O1070" i="16"/>
  <c r="O1069" i="16"/>
  <c r="O1068" i="16"/>
  <c r="O1067" i="16"/>
  <c r="O1066" i="16"/>
  <c r="O1065" i="16"/>
  <c r="O1064" i="16"/>
  <c r="O1063" i="16"/>
  <c r="O1062" i="16"/>
  <c r="O1061" i="16"/>
  <c r="O1060" i="16"/>
  <c r="O1059" i="16"/>
  <c r="O1058" i="16"/>
  <c r="P1058" i="16"/>
  <c r="O1057" i="16"/>
  <c r="O1056" i="16"/>
  <c r="O1055" i="16"/>
  <c r="O1054" i="16"/>
  <c r="O1053" i="16"/>
  <c r="O1052" i="16"/>
  <c r="O1051" i="16"/>
  <c r="O1050" i="16"/>
  <c r="O1049" i="16"/>
  <c r="O1048" i="16"/>
  <c r="O1047" i="16"/>
  <c r="O1046" i="16"/>
  <c r="O1045" i="16"/>
  <c r="O1044" i="16"/>
  <c r="O1043" i="16"/>
  <c r="O1042" i="16"/>
  <c r="O1041" i="16"/>
  <c r="O1040" i="16"/>
  <c r="O1039" i="16"/>
  <c r="P1039" i="16"/>
  <c r="O1038" i="16"/>
  <c r="P1038" i="16"/>
  <c r="O1037" i="16"/>
  <c r="O1036" i="16"/>
  <c r="O1035" i="16"/>
  <c r="O1034" i="16"/>
  <c r="O1033" i="16"/>
  <c r="O1032" i="16"/>
  <c r="O1031" i="16"/>
  <c r="O1030" i="16"/>
  <c r="O1029" i="16"/>
  <c r="O1028" i="16"/>
  <c r="O1027" i="16"/>
  <c r="O1026" i="16"/>
  <c r="O1025" i="16"/>
  <c r="O1024" i="16"/>
  <c r="O1023" i="16"/>
  <c r="O1022" i="16"/>
  <c r="O1021" i="16"/>
  <c r="O1020" i="16"/>
  <c r="O1019" i="16"/>
  <c r="O1018" i="16"/>
  <c r="O1017" i="16"/>
  <c r="O1016" i="16"/>
  <c r="O1015" i="16"/>
  <c r="O1014" i="16"/>
  <c r="O1013" i="16"/>
  <c r="O1012" i="16"/>
  <c r="O1011" i="16"/>
  <c r="O1010" i="16"/>
  <c r="O1009" i="16"/>
  <c r="O1008" i="16"/>
  <c r="O1007" i="16"/>
  <c r="O1006" i="16"/>
  <c r="O1005" i="16"/>
  <c r="O1004" i="16"/>
  <c r="O1003" i="16"/>
  <c r="O1002" i="16"/>
  <c r="O1001" i="16"/>
  <c r="O1000" i="16"/>
  <c r="O999" i="16"/>
  <c r="O998" i="16"/>
  <c r="O997" i="16"/>
  <c r="O996" i="16"/>
  <c r="O995" i="16"/>
  <c r="O994" i="16"/>
  <c r="O993" i="16"/>
  <c r="O992" i="16"/>
  <c r="O991" i="16"/>
  <c r="O990" i="16"/>
  <c r="O989" i="16"/>
  <c r="O988" i="16"/>
  <c r="O987" i="16"/>
  <c r="O986" i="16"/>
  <c r="O985" i="16"/>
  <c r="O984" i="16"/>
  <c r="O983" i="16"/>
  <c r="O982" i="16"/>
  <c r="O981" i="16"/>
  <c r="O980" i="16"/>
  <c r="O979" i="16"/>
  <c r="O978" i="16"/>
  <c r="O977" i="16"/>
  <c r="O976" i="16"/>
  <c r="O975" i="16"/>
  <c r="O974" i="16"/>
  <c r="O973" i="16"/>
  <c r="O972" i="16"/>
  <c r="O971" i="16"/>
  <c r="O970" i="16"/>
  <c r="O969" i="16"/>
  <c r="O968" i="16"/>
  <c r="O967" i="16"/>
  <c r="O966" i="16"/>
  <c r="O965" i="16"/>
  <c r="O964" i="16"/>
  <c r="O963" i="16"/>
  <c r="O962" i="16"/>
  <c r="O961" i="16"/>
  <c r="O960" i="16"/>
  <c r="O959" i="16"/>
  <c r="O958" i="16"/>
  <c r="O957" i="16"/>
  <c r="O956" i="16"/>
  <c r="O955" i="16"/>
  <c r="O954" i="16"/>
  <c r="O953" i="16"/>
  <c r="O952" i="16"/>
  <c r="O951" i="16"/>
  <c r="O950" i="16"/>
  <c r="O949" i="16"/>
  <c r="O948" i="16"/>
  <c r="O947" i="16"/>
  <c r="O946" i="16"/>
  <c r="O945" i="16"/>
  <c r="O944" i="16"/>
  <c r="O943" i="16"/>
  <c r="O942" i="16"/>
  <c r="O941" i="16"/>
  <c r="O940" i="16"/>
  <c r="O939" i="16"/>
  <c r="O938" i="16"/>
  <c r="O937" i="16"/>
  <c r="O936" i="16"/>
  <c r="O935" i="16"/>
  <c r="O934" i="16"/>
  <c r="O933" i="16"/>
  <c r="O932" i="16"/>
  <c r="O931" i="16"/>
  <c r="O930" i="16"/>
  <c r="P930" i="16"/>
  <c r="O929" i="16"/>
  <c r="O928" i="16"/>
  <c r="O927" i="16"/>
  <c r="O926" i="16"/>
  <c r="O925" i="16"/>
  <c r="O924" i="16"/>
  <c r="O923" i="16"/>
  <c r="O922" i="16"/>
  <c r="O921" i="16"/>
  <c r="O920" i="16"/>
  <c r="O919" i="16"/>
  <c r="O918" i="16"/>
  <c r="O917" i="16"/>
  <c r="O916" i="16"/>
  <c r="O915" i="16"/>
  <c r="O914" i="16"/>
  <c r="O913" i="16"/>
  <c r="O912" i="16"/>
  <c r="O911" i="16"/>
  <c r="O910" i="16"/>
  <c r="O909" i="16"/>
  <c r="O908" i="16"/>
  <c r="O907" i="16"/>
  <c r="O906" i="16"/>
  <c r="O905" i="16"/>
  <c r="O904" i="16"/>
  <c r="O903" i="16"/>
  <c r="O902" i="16"/>
  <c r="O901" i="16"/>
  <c r="O900" i="16"/>
  <c r="O899" i="16"/>
  <c r="O898" i="16"/>
  <c r="O897" i="16"/>
  <c r="O896" i="16"/>
  <c r="O895" i="16"/>
  <c r="O894" i="16"/>
  <c r="O893" i="16"/>
  <c r="O892" i="16"/>
  <c r="O891" i="16"/>
  <c r="O890" i="16"/>
  <c r="O889" i="16"/>
  <c r="O888" i="16"/>
  <c r="O887" i="16"/>
  <c r="O886" i="16"/>
  <c r="O885" i="16"/>
  <c r="O884" i="16"/>
  <c r="O883" i="16"/>
  <c r="O882" i="16"/>
  <c r="O881" i="16"/>
  <c r="O880" i="16"/>
  <c r="O879" i="16"/>
  <c r="O878" i="16"/>
  <c r="O877" i="16"/>
  <c r="O876" i="16"/>
  <c r="O875" i="16"/>
  <c r="O874" i="16"/>
  <c r="O873" i="16"/>
  <c r="O872" i="16"/>
  <c r="O871" i="16"/>
  <c r="O870" i="16"/>
  <c r="O869" i="16"/>
  <c r="O868" i="16"/>
  <c r="O867" i="16"/>
  <c r="O866" i="16"/>
  <c r="O865" i="16"/>
  <c r="O864" i="16"/>
  <c r="O863" i="16"/>
  <c r="O862" i="16"/>
  <c r="O861" i="16"/>
  <c r="O860" i="16"/>
  <c r="O859" i="16"/>
  <c r="O858" i="16"/>
  <c r="O857" i="16"/>
  <c r="O856" i="16"/>
  <c r="O855" i="16"/>
  <c r="O854" i="16"/>
  <c r="O853" i="16"/>
  <c r="O852" i="16"/>
  <c r="O851" i="16"/>
  <c r="O850" i="16"/>
  <c r="O849" i="16"/>
  <c r="O848" i="16"/>
  <c r="O847" i="16"/>
  <c r="P847" i="16"/>
  <c r="F1082" i="16"/>
  <c r="F1081" i="16"/>
  <c r="F1080" i="16"/>
  <c r="F1079" i="16"/>
  <c r="F1078" i="16"/>
  <c r="F1077" i="16"/>
  <c r="F1076" i="16"/>
  <c r="F1075" i="16"/>
  <c r="F1074" i="16"/>
  <c r="F1073" i="16"/>
  <c r="F1072" i="16"/>
  <c r="F1071" i="16"/>
  <c r="F1070" i="16"/>
  <c r="F1069" i="16"/>
  <c r="F1068" i="16"/>
  <c r="F1067" i="16"/>
  <c r="F1066" i="16"/>
  <c r="F1065" i="16"/>
  <c r="F1064" i="16"/>
  <c r="F1063" i="16"/>
  <c r="F1062" i="16"/>
  <c r="F1061" i="16"/>
  <c r="F1060" i="16"/>
  <c r="F1059" i="16"/>
  <c r="F1058" i="16"/>
  <c r="F1057" i="16"/>
  <c r="F1056" i="16"/>
  <c r="F1055" i="16"/>
  <c r="F1054" i="16"/>
  <c r="F1053" i="16"/>
  <c r="F1052" i="16"/>
  <c r="F1051" i="16"/>
  <c r="F1050" i="16"/>
  <c r="F1049" i="16"/>
  <c r="F1048" i="16"/>
  <c r="F1047" i="16"/>
  <c r="F1046" i="16"/>
  <c r="F1045" i="16"/>
  <c r="F1044" i="16"/>
  <c r="F1043" i="16"/>
  <c r="F1042" i="16"/>
  <c r="F1041" i="16"/>
  <c r="F1040" i="16"/>
  <c r="F1039" i="16"/>
  <c r="F1038" i="16"/>
  <c r="F1037" i="16"/>
  <c r="F1036" i="16"/>
  <c r="F1035" i="16"/>
  <c r="F1034" i="16"/>
  <c r="F1033" i="16"/>
  <c r="F1032" i="16"/>
  <c r="F1031" i="16"/>
  <c r="F1030" i="16"/>
  <c r="F1029" i="16"/>
  <c r="F1028" i="16"/>
  <c r="F1027" i="16"/>
  <c r="F1026" i="16"/>
  <c r="F1025" i="16"/>
  <c r="F1024" i="16"/>
  <c r="F1023" i="16"/>
  <c r="F1022" i="16"/>
  <c r="F1021" i="16"/>
  <c r="F1020" i="16"/>
  <c r="F1019" i="16"/>
  <c r="F1018" i="16"/>
  <c r="F1017" i="16"/>
  <c r="F1016" i="16"/>
  <c r="F1015" i="16"/>
  <c r="F1014" i="16"/>
  <c r="F1013" i="16"/>
  <c r="F1012" i="16"/>
  <c r="F1011" i="16"/>
  <c r="F1010" i="16"/>
  <c r="F1009" i="16"/>
  <c r="F1008" i="16"/>
  <c r="F1007" i="16"/>
  <c r="F1006" i="16"/>
  <c r="F1005" i="16"/>
  <c r="F1004" i="16"/>
  <c r="F1003" i="16"/>
  <c r="F1002" i="16"/>
  <c r="F1001" i="16"/>
  <c r="F1000" i="16"/>
  <c r="F999" i="16"/>
  <c r="F998" i="16"/>
  <c r="F997" i="16"/>
  <c r="F996" i="16"/>
  <c r="F995" i="16"/>
  <c r="F994" i="16"/>
  <c r="F993" i="16"/>
  <c r="F992" i="16"/>
  <c r="F991" i="16"/>
  <c r="F990" i="16"/>
  <c r="F989" i="16"/>
  <c r="F988" i="16"/>
  <c r="F987" i="16"/>
  <c r="F986" i="16"/>
  <c r="F985" i="16"/>
  <c r="F984" i="16"/>
  <c r="F983" i="16"/>
  <c r="F982" i="16"/>
  <c r="F981" i="16"/>
  <c r="F980" i="16"/>
  <c r="F979" i="16"/>
  <c r="F978" i="16"/>
  <c r="F977" i="16"/>
  <c r="F976" i="16"/>
  <c r="F975" i="16"/>
  <c r="F974" i="16"/>
  <c r="F973" i="16"/>
  <c r="F972" i="16"/>
  <c r="F971" i="16"/>
  <c r="F970" i="16"/>
  <c r="F969" i="16"/>
  <c r="F968" i="16"/>
  <c r="F967" i="16"/>
  <c r="F966" i="16"/>
  <c r="F965" i="16"/>
  <c r="F964" i="16"/>
  <c r="F963" i="16"/>
  <c r="F962" i="16"/>
  <c r="F961" i="16"/>
  <c r="F960" i="16"/>
  <c r="F959" i="16"/>
  <c r="F958" i="16"/>
  <c r="F957" i="16"/>
  <c r="F956" i="16"/>
  <c r="F955" i="16"/>
  <c r="F954" i="16"/>
  <c r="F953" i="16"/>
  <c r="F952" i="16"/>
  <c r="F951" i="16"/>
  <c r="F950" i="16"/>
  <c r="F949" i="16"/>
  <c r="F948" i="16"/>
  <c r="F947" i="16"/>
  <c r="F946" i="16"/>
  <c r="F945" i="16"/>
  <c r="F944" i="16"/>
  <c r="F943" i="16"/>
  <c r="F942" i="16"/>
  <c r="F941" i="16"/>
  <c r="F940" i="16"/>
  <c r="F939" i="16"/>
  <c r="F938" i="16"/>
  <c r="F937" i="16"/>
  <c r="F936" i="16"/>
  <c r="F935" i="16"/>
  <c r="F934" i="16"/>
  <c r="F933" i="16"/>
  <c r="F932" i="16"/>
  <c r="F931" i="16"/>
  <c r="F930" i="16"/>
  <c r="F929" i="16"/>
  <c r="F928" i="16"/>
  <c r="F927" i="16"/>
  <c r="F926" i="16"/>
  <c r="F925" i="16"/>
  <c r="F924" i="16"/>
  <c r="F923" i="16"/>
  <c r="F922" i="16"/>
  <c r="F921" i="16"/>
  <c r="F920" i="16"/>
  <c r="F919" i="16"/>
  <c r="F918" i="16"/>
  <c r="F917" i="16"/>
  <c r="F916" i="16"/>
  <c r="F915" i="16"/>
  <c r="F914" i="16"/>
  <c r="F913" i="16"/>
  <c r="F912" i="16"/>
  <c r="F911" i="16"/>
  <c r="F910" i="16"/>
  <c r="F909" i="16"/>
  <c r="F908" i="16"/>
  <c r="F907" i="16"/>
  <c r="F906" i="16"/>
  <c r="F905" i="16"/>
  <c r="F904" i="16"/>
  <c r="F903" i="16"/>
  <c r="F902" i="16"/>
  <c r="F901" i="16"/>
  <c r="F900" i="16"/>
  <c r="F899" i="16"/>
  <c r="F898" i="16"/>
  <c r="F897" i="16"/>
  <c r="F896" i="16"/>
  <c r="F895" i="16"/>
  <c r="F894" i="16"/>
  <c r="F893" i="16"/>
  <c r="F892" i="16"/>
  <c r="F891" i="16"/>
  <c r="F890" i="16"/>
  <c r="F889" i="16"/>
  <c r="F888" i="16"/>
  <c r="F887" i="16"/>
  <c r="F886" i="16"/>
  <c r="F885" i="16"/>
  <c r="F884" i="16"/>
  <c r="F883" i="16"/>
  <c r="F882" i="16"/>
  <c r="F881" i="16"/>
  <c r="F880" i="16"/>
  <c r="F879" i="16"/>
  <c r="F878" i="16"/>
  <c r="F877" i="16"/>
  <c r="F876" i="16"/>
  <c r="F875" i="16"/>
  <c r="F874" i="16"/>
  <c r="F873" i="16"/>
  <c r="F872" i="16"/>
  <c r="F871" i="16"/>
  <c r="F870" i="16"/>
  <c r="F869" i="16"/>
  <c r="F868" i="16"/>
  <c r="F867" i="16"/>
  <c r="F866" i="16"/>
  <c r="F865" i="16"/>
  <c r="F864" i="16"/>
  <c r="F863" i="16"/>
  <c r="F862" i="16"/>
  <c r="F861" i="16"/>
  <c r="F860" i="16"/>
  <c r="F859" i="16"/>
  <c r="F858" i="16"/>
  <c r="F857" i="16"/>
  <c r="F856" i="16"/>
  <c r="F855" i="16"/>
  <c r="F854" i="16"/>
  <c r="F853" i="16"/>
  <c r="F852" i="16"/>
  <c r="F851" i="16"/>
  <c r="F850" i="16"/>
  <c r="F849" i="16"/>
  <c r="F848" i="16"/>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O103" i="17"/>
  <c r="P103" i="17"/>
  <c r="O102" i="17"/>
  <c r="P102" i="17"/>
  <c r="O101" i="17"/>
  <c r="P101" i="17"/>
  <c r="O100" i="17"/>
  <c r="P100" i="17"/>
  <c r="O99" i="17"/>
  <c r="P99" i="17"/>
  <c r="O98" i="17"/>
  <c r="P98" i="17"/>
  <c r="O97" i="17"/>
  <c r="P97" i="17"/>
  <c r="O96" i="17"/>
  <c r="P96" i="17"/>
  <c r="O95" i="17"/>
  <c r="P95" i="17"/>
  <c r="O94" i="17"/>
  <c r="P94" i="17"/>
  <c r="O93" i="17"/>
  <c r="P93" i="17"/>
  <c r="O92" i="17"/>
  <c r="P92" i="17"/>
  <c r="O91" i="17"/>
  <c r="P91" i="17"/>
  <c r="O90" i="17"/>
  <c r="P90" i="17"/>
  <c r="O89" i="17"/>
  <c r="P89" i="17"/>
  <c r="O88" i="17"/>
  <c r="P88" i="17"/>
  <c r="O87" i="17"/>
  <c r="P87" i="17"/>
  <c r="O86" i="17"/>
  <c r="P86" i="17"/>
  <c r="O85" i="17"/>
  <c r="P85" i="17"/>
  <c r="O84" i="17"/>
  <c r="P84" i="17"/>
  <c r="O83" i="17"/>
  <c r="P83" i="17"/>
  <c r="O82" i="17"/>
  <c r="P82" i="17"/>
  <c r="O81" i="17"/>
  <c r="P81" i="17"/>
  <c r="O80" i="17"/>
  <c r="P80" i="17"/>
  <c r="O79" i="17"/>
  <c r="P79" i="17"/>
  <c r="O78" i="17"/>
  <c r="P78" i="17"/>
  <c r="O77" i="17"/>
  <c r="P77" i="17"/>
  <c r="O76" i="17"/>
  <c r="P76" i="17"/>
  <c r="O75" i="17"/>
  <c r="P75" i="17"/>
  <c r="O74" i="17"/>
  <c r="P74" i="17"/>
  <c r="O73" i="17"/>
  <c r="P73" i="17"/>
  <c r="O72" i="17"/>
  <c r="P72" i="17"/>
  <c r="O71" i="17"/>
  <c r="P71" i="17"/>
  <c r="O70" i="17"/>
  <c r="P70" i="17"/>
  <c r="O69" i="17"/>
  <c r="P69" i="17"/>
  <c r="O68" i="17"/>
  <c r="P68" i="17"/>
  <c r="O67" i="17"/>
  <c r="P67" i="17"/>
  <c r="O66" i="17"/>
  <c r="P66" i="17"/>
  <c r="O65" i="17"/>
  <c r="P65" i="17"/>
  <c r="O64" i="17"/>
  <c r="P64" i="17"/>
  <c r="O63" i="17"/>
  <c r="P63" i="17"/>
  <c r="O62" i="17"/>
  <c r="P62" i="17"/>
  <c r="O61" i="17"/>
  <c r="O60" i="17"/>
  <c r="O59" i="17"/>
  <c r="O58" i="17"/>
  <c r="P58" i="17"/>
  <c r="O57" i="17"/>
  <c r="O56" i="17"/>
  <c r="P56" i="17"/>
  <c r="O55" i="17"/>
  <c r="P55" i="17"/>
  <c r="O54" i="17"/>
  <c r="P54" i="17"/>
  <c r="O52" i="17"/>
  <c r="O53" i="17"/>
  <c r="P53" i="17"/>
  <c r="J52" i="17"/>
  <c r="F52" i="17"/>
  <c r="F53" i="17"/>
  <c r="O41" i="17"/>
  <c r="O42" i="17"/>
  <c r="J41" i="17"/>
  <c r="J42" i="17"/>
  <c r="F41" i="17"/>
  <c r="F42" i="17"/>
  <c r="AO11" i="19"/>
  <c r="L129" i="20"/>
  <c r="M129" i="20"/>
  <c r="L128" i="20"/>
  <c r="M128" i="20"/>
  <c r="L127" i="20"/>
  <c r="M127" i="20"/>
  <c r="L126" i="20"/>
  <c r="M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M113" i="20"/>
  <c r="L112" i="20"/>
  <c r="M112" i="20"/>
  <c r="L111" i="20"/>
  <c r="M111" i="20"/>
  <c r="L110" i="20"/>
  <c r="M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M94" i="20"/>
  <c r="L93" i="20"/>
  <c r="M93" i="20"/>
  <c r="L92" i="20"/>
  <c r="M92" i="20"/>
  <c r="L91" i="20"/>
  <c r="M91" i="20"/>
  <c r="L90" i="20"/>
  <c r="M90" i="20"/>
  <c r="L89" i="20"/>
  <c r="M89" i="20"/>
  <c r="L88" i="20"/>
  <c r="M88" i="20"/>
  <c r="L87" i="20"/>
  <c r="M87" i="20"/>
  <c r="L86" i="20"/>
  <c r="M86" i="20"/>
  <c r="L85" i="20"/>
  <c r="M85" i="20"/>
  <c r="L84" i="20"/>
  <c r="M84" i="20"/>
  <c r="L83" i="20"/>
  <c r="M83" i="20"/>
  <c r="L82" i="20"/>
  <c r="M82" i="20"/>
  <c r="L81" i="20"/>
  <c r="M81" i="20"/>
  <c r="L80" i="20"/>
  <c r="M80" i="20"/>
  <c r="L79" i="20"/>
  <c r="M79" i="20"/>
  <c r="L78" i="20"/>
  <c r="M78" i="20"/>
  <c r="L77" i="20"/>
  <c r="M77" i="20"/>
  <c r="L76" i="20"/>
  <c r="M76" i="20"/>
  <c r="L75" i="20"/>
  <c r="M75" i="20"/>
  <c r="L74" i="20"/>
  <c r="M74" i="20"/>
  <c r="L73" i="20"/>
  <c r="M73" i="20"/>
  <c r="L72" i="20"/>
  <c r="M72" i="20"/>
  <c r="L71" i="20"/>
  <c r="M71" i="20"/>
  <c r="L70" i="20"/>
  <c r="M70" i="20"/>
  <c r="L69" i="20"/>
  <c r="M69" i="20"/>
  <c r="L68" i="20"/>
  <c r="M68" i="20"/>
  <c r="L67" i="20"/>
  <c r="M67" i="20"/>
  <c r="L66" i="20"/>
  <c r="M66" i="20"/>
  <c r="L65" i="20"/>
  <c r="M65" i="20"/>
  <c r="L63" i="20"/>
  <c r="M63" i="20"/>
  <c r="L61" i="20"/>
  <c r="M61" i="20"/>
  <c r="O533" i="16"/>
  <c r="O534" i="16"/>
  <c r="O535" i="16"/>
  <c r="E533" i="16"/>
  <c r="E534" i="16"/>
  <c r="E535" i="16"/>
  <c r="N64" i="20"/>
  <c r="N63" i="20"/>
  <c r="N62" i="20"/>
  <c r="N61" i="20"/>
  <c r="N60" i="20"/>
  <c r="N59" i="20"/>
  <c r="N58" i="20"/>
  <c r="N57" i="20"/>
  <c r="N56" i="20"/>
  <c r="N55" i="20"/>
  <c r="N54" i="20"/>
  <c r="N53" i="20"/>
  <c r="N52" i="20"/>
  <c r="N51" i="20"/>
  <c r="N50" i="20"/>
  <c r="N49" i="20"/>
  <c r="N48" i="20"/>
  <c r="N47" i="20"/>
  <c r="N46" i="20"/>
  <c r="N45" i="20"/>
  <c r="N44" i="20"/>
  <c r="N43" i="20"/>
  <c r="N42" i="20"/>
  <c r="N41" i="20"/>
  <c r="N40" i="20"/>
  <c r="N39" i="20"/>
  <c r="O51" i="17"/>
  <c r="O50" i="17"/>
  <c r="O49" i="17"/>
  <c r="O48" i="17"/>
  <c r="O47" i="17"/>
  <c r="O46" i="17"/>
  <c r="O45" i="17"/>
  <c r="O44" i="17"/>
  <c r="E45" i="17"/>
  <c r="E46" i="17"/>
  <c r="E47" i="17"/>
  <c r="E48" i="17"/>
  <c r="E49" i="17"/>
  <c r="E50" i="17"/>
  <c r="E51" i="17"/>
  <c r="E44" i="17"/>
  <c r="O846" i="16"/>
  <c r="O845" i="16"/>
  <c r="O844" i="16"/>
  <c r="O843" i="16"/>
  <c r="O842" i="16"/>
  <c r="O841" i="16"/>
  <c r="E842" i="16"/>
  <c r="E843" i="16"/>
  <c r="E844" i="16"/>
  <c r="E845" i="16"/>
  <c r="E846" i="16"/>
  <c r="E841" i="16"/>
  <c r="O33" i="17"/>
  <c r="O34" i="17"/>
  <c r="O35" i="17"/>
  <c r="O36" i="17"/>
  <c r="O39" i="17"/>
  <c r="O40" i="17"/>
  <c r="E33" i="17"/>
  <c r="E34" i="17"/>
  <c r="E35" i="17"/>
  <c r="E36" i="17"/>
  <c r="E37" i="17"/>
  <c r="E38" i="17"/>
  <c r="E39" i="17"/>
  <c r="E40" i="17"/>
  <c r="O31" i="17"/>
  <c r="E30" i="17"/>
  <c r="E31" i="17"/>
  <c r="O28" i="17"/>
  <c r="O27" i="17"/>
  <c r="O26" i="17"/>
  <c r="O25" i="17"/>
  <c r="O24" i="17"/>
  <c r="O23" i="17"/>
  <c r="E28" i="17"/>
  <c r="E27" i="17"/>
  <c r="E26" i="17"/>
  <c r="E25" i="17"/>
  <c r="E24" i="17"/>
  <c r="E23" i="17"/>
  <c r="O836" i="16"/>
  <c r="O837" i="16"/>
  <c r="O838" i="16"/>
  <c r="O839" i="16"/>
  <c r="E836" i="16"/>
  <c r="E837" i="16"/>
  <c r="E838" i="16"/>
  <c r="E839" i="16"/>
  <c r="O537" i="16"/>
  <c r="O538" i="16"/>
  <c r="O539" i="16"/>
  <c r="O540" i="16"/>
  <c r="O541" i="16"/>
  <c r="O542" i="16"/>
  <c r="O543" i="16"/>
  <c r="O544" i="16"/>
  <c r="O545" i="16"/>
  <c r="O546" i="16"/>
  <c r="O547" i="16"/>
  <c r="O548" i="16"/>
  <c r="O549" i="16"/>
  <c r="O550" i="16"/>
  <c r="O551" i="16"/>
  <c r="O552" i="16"/>
  <c r="O553" i="16"/>
  <c r="O554" i="16"/>
  <c r="O555" i="16"/>
  <c r="O556" i="16"/>
  <c r="O557" i="16"/>
  <c r="O558" i="16"/>
  <c r="O559" i="16"/>
  <c r="O560" i="16"/>
  <c r="O561" i="16"/>
  <c r="O562" i="16"/>
  <c r="O563" i="16"/>
  <c r="O564" i="16"/>
  <c r="O565" i="16"/>
  <c r="O566" i="16"/>
  <c r="O567" i="16"/>
  <c r="O568" i="16"/>
  <c r="O569" i="16"/>
  <c r="O570" i="16"/>
  <c r="O571" i="16"/>
  <c r="O572" i="16"/>
  <c r="O573" i="16"/>
  <c r="O574" i="16"/>
  <c r="O575" i="16"/>
  <c r="O576" i="16"/>
  <c r="O577" i="16"/>
  <c r="O578" i="16"/>
  <c r="O579" i="16"/>
  <c r="O580" i="16"/>
  <c r="O581" i="16"/>
  <c r="O582" i="16"/>
  <c r="O583" i="16"/>
  <c r="O584" i="16"/>
  <c r="O585" i="16"/>
  <c r="O586" i="16"/>
  <c r="O587" i="16"/>
  <c r="O588" i="16"/>
  <c r="O589" i="16"/>
  <c r="O590" i="16"/>
  <c r="O591" i="16"/>
  <c r="O592" i="16"/>
  <c r="O593" i="16"/>
  <c r="O594" i="16"/>
  <c r="O595" i="16"/>
  <c r="O596" i="16"/>
  <c r="O597" i="16"/>
  <c r="O598" i="16"/>
  <c r="O599" i="16"/>
  <c r="O600" i="16"/>
  <c r="O601" i="16"/>
  <c r="O602" i="16"/>
  <c r="O603" i="16"/>
  <c r="O604" i="16"/>
  <c r="O605" i="16"/>
  <c r="O606" i="16"/>
  <c r="O607" i="16"/>
  <c r="O608" i="16"/>
  <c r="O609" i="16"/>
  <c r="O610" i="16"/>
  <c r="O611" i="16"/>
  <c r="O612" i="16"/>
  <c r="O613" i="16"/>
  <c r="O614" i="16"/>
  <c r="O615" i="16"/>
  <c r="O616" i="16"/>
  <c r="O617" i="16"/>
  <c r="O618" i="16"/>
  <c r="O619" i="16"/>
  <c r="O620" i="16"/>
  <c r="O621" i="16"/>
  <c r="O622" i="16"/>
  <c r="O623" i="16"/>
  <c r="O624" i="16"/>
  <c r="O625" i="16"/>
  <c r="O626" i="16"/>
  <c r="O627" i="16"/>
  <c r="O628" i="16"/>
  <c r="O629" i="16"/>
  <c r="O630" i="16"/>
  <c r="O631" i="16"/>
  <c r="O632" i="16"/>
  <c r="O633" i="16"/>
  <c r="O634" i="16"/>
  <c r="O635" i="16"/>
  <c r="O636" i="16"/>
  <c r="O637" i="16"/>
  <c r="O638" i="16"/>
  <c r="O639" i="16"/>
  <c r="O640" i="16"/>
  <c r="O641" i="16"/>
  <c r="O642" i="16"/>
  <c r="O643" i="16"/>
  <c r="O644" i="16"/>
  <c r="O645" i="16"/>
  <c r="O646" i="16"/>
  <c r="O647" i="16"/>
  <c r="O648" i="16"/>
  <c r="O649" i="16"/>
  <c r="O650" i="16"/>
  <c r="O651" i="16"/>
  <c r="O652" i="16"/>
  <c r="O653" i="16"/>
  <c r="O654" i="16"/>
  <c r="O655" i="16"/>
  <c r="O656" i="16"/>
  <c r="O657" i="16"/>
  <c r="O658" i="16"/>
  <c r="O659" i="16"/>
  <c r="O660" i="16"/>
  <c r="O661" i="16"/>
  <c r="O662" i="16"/>
  <c r="O663" i="16"/>
  <c r="O664" i="16"/>
  <c r="O665" i="16"/>
  <c r="O666" i="16"/>
  <c r="O667" i="16"/>
  <c r="O668" i="16"/>
  <c r="O669" i="16"/>
  <c r="O670" i="16"/>
  <c r="O671" i="16"/>
  <c r="O672" i="16"/>
  <c r="O673" i="16"/>
  <c r="O674" i="16"/>
  <c r="O675" i="16"/>
  <c r="O676" i="16"/>
  <c r="O677" i="16"/>
  <c r="O678" i="16"/>
  <c r="O679" i="16"/>
  <c r="O680" i="16"/>
  <c r="O681" i="16"/>
  <c r="O682" i="16"/>
  <c r="O683" i="16"/>
  <c r="O684" i="16"/>
  <c r="O685" i="16"/>
  <c r="O686" i="16"/>
  <c r="O687" i="16"/>
  <c r="O688" i="16"/>
  <c r="O689" i="16"/>
  <c r="O690" i="16"/>
  <c r="O691" i="16"/>
  <c r="O692" i="16"/>
  <c r="O693" i="16"/>
  <c r="O694" i="16"/>
  <c r="O695" i="16"/>
  <c r="O696" i="16"/>
  <c r="O697" i="16"/>
  <c r="O698" i="16"/>
  <c r="O699" i="16"/>
  <c r="O700" i="16"/>
  <c r="O701" i="16"/>
  <c r="O702" i="16"/>
  <c r="O703" i="16"/>
  <c r="O704" i="16"/>
  <c r="O705" i="16"/>
  <c r="O706" i="16"/>
  <c r="O707" i="16"/>
  <c r="O708" i="16"/>
  <c r="O709" i="16"/>
  <c r="O710" i="16"/>
  <c r="O711" i="16"/>
  <c r="O712" i="16"/>
  <c r="O713" i="16"/>
  <c r="O714" i="16"/>
  <c r="O715" i="16"/>
  <c r="O716" i="16"/>
  <c r="O717" i="16"/>
  <c r="O718" i="16"/>
  <c r="O719" i="16"/>
  <c r="O720" i="16"/>
  <c r="O721" i="16"/>
  <c r="O722" i="16"/>
  <c r="O723" i="16"/>
  <c r="O724" i="16"/>
  <c r="O725" i="16"/>
  <c r="O726" i="16"/>
  <c r="O727" i="16"/>
  <c r="O728" i="16"/>
  <c r="O729" i="16"/>
  <c r="O730" i="16"/>
  <c r="O731" i="16"/>
  <c r="O732" i="16"/>
  <c r="O733" i="16"/>
  <c r="O734" i="16"/>
  <c r="O735" i="16"/>
  <c r="O736" i="16"/>
  <c r="O737" i="16"/>
  <c r="O738" i="16"/>
  <c r="O739" i="16"/>
  <c r="O740" i="16"/>
  <c r="O741" i="16"/>
  <c r="O742" i="16"/>
  <c r="O743" i="16"/>
  <c r="O744" i="16"/>
  <c r="O745" i="16"/>
  <c r="O746" i="16"/>
  <c r="O747" i="16"/>
  <c r="O748" i="16"/>
  <c r="O749" i="16"/>
  <c r="O750" i="16"/>
  <c r="O751" i="16"/>
  <c r="O752" i="16"/>
  <c r="O753" i="16"/>
  <c r="O754" i="16"/>
  <c r="O755" i="16"/>
  <c r="O756" i="16"/>
  <c r="O757" i="16"/>
  <c r="O758" i="16"/>
  <c r="O759" i="16"/>
  <c r="O760" i="16"/>
  <c r="O761" i="16"/>
  <c r="O762" i="16"/>
  <c r="O763" i="16"/>
  <c r="O764" i="16"/>
  <c r="O765" i="16"/>
  <c r="O766" i="16"/>
  <c r="O767" i="16"/>
  <c r="O768" i="16"/>
  <c r="O769" i="16"/>
  <c r="O770" i="16"/>
  <c r="O771" i="16"/>
  <c r="O772" i="16"/>
  <c r="O773" i="16"/>
  <c r="O774" i="16"/>
  <c r="O775" i="16"/>
  <c r="O776" i="16"/>
  <c r="O777" i="16"/>
  <c r="O778" i="16"/>
  <c r="O779" i="16"/>
  <c r="O780" i="16"/>
  <c r="O781" i="16"/>
  <c r="O782" i="16"/>
  <c r="O783" i="16"/>
  <c r="O784" i="16"/>
  <c r="O785" i="16"/>
  <c r="O786" i="16"/>
  <c r="O787" i="16"/>
  <c r="O788" i="16"/>
  <c r="O789" i="16"/>
  <c r="O790" i="16"/>
  <c r="O791" i="16"/>
  <c r="O792" i="16"/>
  <c r="O793" i="16"/>
  <c r="O794" i="16"/>
  <c r="O795" i="16"/>
  <c r="O796" i="16"/>
  <c r="O797" i="16"/>
  <c r="O798" i="16"/>
  <c r="O799" i="16"/>
  <c r="O800" i="16"/>
  <c r="O801" i="16"/>
  <c r="O802" i="16"/>
  <c r="O803" i="16"/>
  <c r="O804" i="16"/>
  <c r="O805" i="16"/>
  <c r="O806" i="16"/>
  <c r="O807" i="16"/>
  <c r="O808" i="16"/>
  <c r="O809" i="16"/>
  <c r="O810" i="16"/>
  <c r="O811" i="16"/>
  <c r="O812" i="16"/>
  <c r="O813" i="16"/>
  <c r="O814" i="16"/>
  <c r="O815" i="16"/>
  <c r="O816" i="16"/>
  <c r="O817" i="16"/>
  <c r="O818" i="16"/>
  <c r="O819" i="16"/>
  <c r="O820" i="16"/>
  <c r="O821" i="16"/>
  <c r="O822" i="16"/>
  <c r="O823" i="16"/>
  <c r="O824" i="16"/>
  <c r="O825" i="16"/>
  <c r="O826" i="16"/>
  <c r="O827" i="16"/>
  <c r="O828" i="16"/>
  <c r="O829" i="16"/>
  <c r="O830" i="16"/>
  <c r="O831" i="16"/>
  <c r="O832" i="16"/>
  <c r="O833" i="16"/>
  <c r="O834" i="16"/>
  <c r="E552" i="16"/>
  <c r="E553" i="16"/>
  <c r="E554" i="16"/>
  <c r="E555" i="16"/>
  <c r="E556" i="16"/>
  <c r="E557" i="16"/>
  <c r="E558" i="16"/>
  <c r="E559" i="16"/>
  <c r="E560" i="16"/>
  <c r="E561" i="16"/>
  <c r="E562" i="16"/>
  <c r="E563" i="16"/>
  <c r="E564" i="16"/>
  <c r="E565" i="16"/>
  <c r="E566" i="16"/>
  <c r="E567" i="16"/>
  <c r="E568" i="16"/>
  <c r="E569" i="16"/>
  <c r="E570" i="16"/>
  <c r="E571" i="16"/>
  <c r="E572" i="16"/>
  <c r="E573" i="16"/>
  <c r="E574" i="16"/>
  <c r="E575" i="16"/>
  <c r="E576" i="16"/>
  <c r="E577" i="16"/>
  <c r="E578" i="16"/>
  <c r="E579" i="16"/>
  <c r="E580" i="16"/>
  <c r="E581" i="16"/>
  <c r="E582" i="16"/>
  <c r="E583" i="16"/>
  <c r="E584" i="16"/>
  <c r="E585" i="16"/>
  <c r="E586" i="16"/>
  <c r="E587" i="16"/>
  <c r="E588" i="16"/>
  <c r="E589" i="16"/>
  <c r="E590" i="16"/>
  <c r="E591" i="16"/>
  <c r="E592" i="16"/>
  <c r="E593" i="16"/>
  <c r="E594" i="16"/>
  <c r="E595" i="16"/>
  <c r="E596" i="16"/>
  <c r="E597" i="16"/>
  <c r="E598" i="16"/>
  <c r="E599" i="16"/>
  <c r="E600" i="16"/>
  <c r="E601" i="16"/>
  <c r="E602" i="16"/>
  <c r="E603" i="16"/>
  <c r="E604" i="16"/>
  <c r="E605" i="16"/>
  <c r="E606" i="16"/>
  <c r="E607" i="16"/>
  <c r="E608" i="16"/>
  <c r="E609" i="16"/>
  <c r="E610" i="16"/>
  <c r="E611" i="16"/>
  <c r="E612" i="16"/>
  <c r="E613" i="16"/>
  <c r="E614" i="16"/>
  <c r="E615" i="16"/>
  <c r="E616" i="16"/>
  <c r="E617" i="16"/>
  <c r="E618" i="16"/>
  <c r="E619" i="16"/>
  <c r="E620" i="16"/>
  <c r="E621" i="16"/>
  <c r="E622" i="16"/>
  <c r="E623" i="16"/>
  <c r="E624" i="16"/>
  <c r="E625" i="16"/>
  <c r="E626" i="16"/>
  <c r="E627" i="16"/>
  <c r="E628" i="16"/>
  <c r="E629" i="16"/>
  <c r="E630" i="16"/>
  <c r="E631" i="16"/>
  <c r="E632" i="16"/>
  <c r="E633" i="16"/>
  <c r="E634" i="16"/>
  <c r="E635" i="16"/>
  <c r="E636" i="16"/>
  <c r="E637" i="16"/>
  <c r="E638" i="16"/>
  <c r="E639" i="16"/>
  <c r="E640" i="16"/>
  <c r="E641" i="16"/>
  <c r="E642" i="16"/>
  <c r="E643" i="16"/>
  <c r="E644" i="16"/>
  <c r="E645" i="16"/>
  <c r="E646" i="16"/>
  <c r="E647" i="16"/>
  <c r="E648" i="16"/>
  <c r="E649" i="16"/>
  <c r="E650" i="16"/>
  <c r="E651" i="16"/>
  <c r="E652" i="16"/>
  <c r="E653" i="16"/>
  <c r="E654" i="16"/>
  <c r="E655" i="16"/>
  <c r="E656" i="16"/>
  <c r="E657" i="16"/>
  <c r="E658" i="16"/>
  <c r="E659" i="16"/>
  <c r="E660" i="16"/>
  <c r="E661" i="16"/>
  <c r="E662" i="16"/>
  <c r="E663" i="16"/>
  <c r="E664" i="16"/>
  <c r="E665" i="16"/>
  <c r="E666" i="16"/>
  <c r="E667" i="16"/>
  <c r="E668" i="16"/>
  <c r="E669" i="16"/>
  <c r="E670" i="16"/>
  <c r="E671" i="16"/>
  <c r="E672" i="16"/>
  <c r="E673" i="16"/>
  <c r="E674" i="16"/>
  <c r="E675" i="16"/>
  <c r="E676" i="16"/>
  <c r="E677" i="16"/>
  <c r="E678" i="16"/>
  <c r="E679" i="16"/>
  <c r="E680" i="16"/>
  <c r="E681" i="16"/>
  <c r="E682" i="16"/>
  <c r="E683" i="16"/>
  <c r="E684" i="16"/>
  <c r="E685" i="16"/>
  <c r="E686" i="16"/>
  <c r="E687" i="16"/>
  <c r="E688" i="16"/>
  <c r="E689" i="16"/>
  <c r="E690" i="16"/>
  <c r="E691" i="16"/>
  <c r="E692" i="16"/>
  <c r="E693" i="16"/>
  <c r="E694" i="16"/>
  <c r="E695" i="16"/>
  <c r="E696" i="16"/>
  <c r="E697" i="16"/>
  <c r="E698" i="16"/>
  <c r="E699" i="16"/>
  <c r="E700" i="16"/>
  <c r="E701" i="16"/>
  <c r="E702" i="16"/>
  <c r="E703" i="16"/>
  <c r="E704" i="16"/>
  <c r="E705" i="16"/>
  <c r="E706" i="16"/>
  <c r="E707" i="16"/>
  <c r="E708" i="16"/>
  <c r="E709" i="16"/>
  <c r="E710" i="16"/>
  <c r="E711" i="16"/>
  <c r="E712" i="16"/>
  <c r="E713" i="16"/>
  <c r="E714" i="16"/>
  <c r="E715" i="16"/>
  <c r="E716" i="16"/>
  <c r="E717" i="16"/>
  <c r="E718" i="16"/>
  <c r="E719" i="16"/>
  <c r="E720" i="16"/>
  <c r="E721" i="16"/>
  <c r="E722" i="16"/>
  <c r="E723" i="16"/>
  <c r="E724" i="16"/>
  <c r="E725" i="16"/>
  <c r="E726" i="16"/>
  <c r="E727" i="16"/>
  <c r="E728" i="16"/>
  <c r="E729" i="16"/>
  <c r="E730" i="16"/>
  <c r="E731" i="16"/>
  <c r="E732" i="16"/>
  <c r="E733" i="16"/>
  <c r="E734" i="16"/>
  <c r="E735" i="16"/>
  <c r="E736" i="16"/>
  <c r="E737" i="16"/>
  <c r="E738" i="16"/>
  <c r="E739" i="16"/>
  <c r="E740" i="16"/>
  <c r="E741" i="16"/>
  <c r="E742" i="16"/>
  <c r="E743" i="16"/>
  <c r="E744" i="16"/>
  <c r="E745" i="16"/>
  <c r="E746" i="16"/>
  <c r="E747" i="16"/>
  <c r="E748" i="16"/>
  <c r="E749" i="16"/>
  <c r="E750" i="16"/>
  <c r="E751" i="16"/>
  <c r="E752" i="16"/>
  <c r="E753" i="16"/>
  <c r="E754" i="16"/>
  <c r="E755" i="16"/>
  <c r="E756" i="16"/>
  <c r="E757" i="16"/>
  <c r="E758" i="16"/>
  <c r="E759" i="16"/>
  <c r="E760" i="16"/>
  <c r="E761" i="16"/>
  <c r="E762" i="16"/>
  <c r="E763" i="16"/>
  <c r="E764" i="16"/>
  <c r="E765" i="16"/>
  <c r="E766" i="16"/>
  <c r="E767" i="16"/>
  <c r="E768" i="16"/>
  <c r="E769" i="16"/>
  <c r="E770" i="16"/>
  <c r="E771" i="16"/>
  <c r="E772" i="16"/>
  <c r="E773" i="16"/>
  <c r="E774" i="16"/>
  <c r="E775" i="16"/>
  <c r="E776" i="16"/>
  <c r="E777" i="16"/>
  <c r="E778" i="16"/>
  <c r="E779" i="16"/>
  <c r="E780" i="16"/>
  <c r="E781" i="16"/>
  <c r="E782" i="16"/>
  <c r="E783" i="16"/>
  <c r="E784" i="16"/>
  <c r="E785" i="16"/>
  <c r="E786" i="16"/>
  <c r="E787" i="16"/>
  <c r="E788" i="16"/>
  <c r="E789" i="16"/>
  <c r="E790" i="16"/>
  <c r="E791" i="16"/>
  <c r="E792" i="16"/>
  <c r="E793" i="16"/>
  <c r="E794" i="16"/>
  <c r="E795" i="16"/>
  <c r="E796" i="16"/>
  <c r="E797" i="16"/>
  <c r="E798" i="16"/>
  <c r="E799" i="16"/>
  <c r="E800" i="16"/>
  <c r="E801" i="16"/>
  <c r="E802" i="16"/>
  <c r="E803" i="16"/>
  <c r="E804" i="16"/>
  <c r="E805" i="16"/>
  <c r="E806" i="16"/>
  <c r="E807" i="16"/>
  <c r="E808" i="16"/>
  <c r="E809" i="16"/>
  <c r="E810" i="16"/>
  <c r="E811" i="16"/>
  <c r="E812" i="16"/>
  <c r="E813" i="16"/>
  <c r="E814" i="16"/>
  <c r="E815" i="16"/>
  <c r="E816" i="16"/>
  <c r="E817" i="16"/>
  <c r="E818" i="16"/>
  <c r="E819" i="16"/>
  <c r="E820" i="16"/>
  <c r="E821" i="16"/>
  <c r="E822" i="16"/>
  <c r="E823" i="16"/>
  <c r="E824" i="16"/>
  <c r="E825" i="16"/>
  <c r="E826" i="16"/>
  <c r="E827" i="16"/>
  <c r="E828" i="16"/>
  <c r="E829" i="16"/>
  <c r="E830" i="16"/>
  <c r="E831" i="16"/>
  <c r="E832" i="16"/>
  <c r="E833" i="16"/>
  <c r="E834" i="16"/>
  <c r="E551" i="16"/>
  <c r="E538" i="16"/>
  <c r="E539" i="16"/>
  <c r="E540" i="16"/>
  <c r="E541" i="16"/>
  <c r="E542" i="16"/>
  <c r="E543" i="16"/>
  <c r="E544" i="16"/>
  <c r="E545" i="16"/>
  <c r="E546" i="16"/>
  <c r="E547" i="16"/>
  <c r="E548" i="16"/>
  <c r="E549" i="16"/>
  <c r="E550" i="16"/>
  <c r="E537"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8" i="16"/>
  <c r="O119"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O211" i="16"/>
  <c r="O212" i="16"/>
  <c r="O213" i="16"/>
  <c r="O214"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241" i="16"/>
  <c r="O242" i="16"/>
  <c r="O243" i="16"/>
  <c r="O244" i="16"/>
  <c r="O245" i="16"/>
  <c r="O246" i="16"/>
  <c r="O247" i="16"/>
  <c r="O248" i="16"/>
  <c r="O249" i="16"/>
  <c r="O250" i="16"/>
  <c r="O251" i="16"/>
  <c r="O252" i="16"/>
  <c r="O253" i="16"/>
  <c r="O254" i="16"/>
  <c r="O255" i="16"/>
  <c r="O256" i="16"/>
  <c r="O257" i="16"/>
  <c r="O258" i="16"/>
  <c r="O259" i="16"/>
  <c r="O260" i="16"/>
  <c r="O261" i="16"/>
  <c r="O262" i="16"/>
  <c r="O263" i="16"/>
  <c r="O264" i="16"/>
  <c r="O265" i="16"/>
  <c r="O266" i="16"/>
  <c r="O267" i="16"/>
  <c r="O268" i="16"/>
  <c r="O269" i="16"/>
  <c r="O270" i="16"/>
  <c r="O271" i="16"/>
  <c r="O272" i="16"/>
  <c r="O273" i="16"/>
  <c r="O274" i="16"/>
  <c r="O275" i="16"/>
  <c r="O276" i="16"/>
  <c r="O277" i="16"/>
  <c r="O278" i="16"/>
  <c r="O279" i="16"/>
  <c r="O280" i="16"/>
  <c r="O281" i="16"/>
  <c r="O282" i="16"/>
  <c r="O283" i="16"/>
  <c r="O284" i="16"/>
  <c r="O285" i="16"/>
  <c r="O286" i="16"/>
  <c r="O287" i="16"/>
  <c r="O288" i="16"/>
  <c r="O289" i="16"/>
  <c r="O290" i="16"/>
  <c r="O291" i="16"/>
  <c r="O292" i="16"/>
  <c r="O293" i="16"/>
  <c r="O294" i="16"/>
  <c r="O295" i="16"/>
  <c r="O296" i="16"/>
  <c r="O297" i="16"/>
  <c r="O298" i="16"/>
  <c r="O299" i="16"/>
  <c r="O300" i="16"/>
  <c r="O301" i="16"/>
  <c r="O302" i="16"/>
  <c r="O303" i="16"/>
  <c r="O304" i="16"/>
  <c r="O305" i="16"/>
  <c r="O306" i="16"/>
  <c r="O307" i="16"/>
  <c r="O308" i="16"/>
  <c r="O309" i="16"/>
  <c r="O310" i="16"/>
  <c r="O311" i="16"/>
  <c r="O312" i="16"/>
  <c r="O313" i="16"/>
  <c r="O314" i="16"/>
  <c r="O315" i="16"/>
  <c r="O316" i="16"/>
  <c r="O317" i="16"/>
  <c r="O318" i="16"/>
  <c r="O319" i="16"/>
  <c r="O320" i="16"/>
  <c r="O321" i="16"/>
  <c r="O322" i="16"/>
  <c r="O323" i="16"/>
  <c r="O324" i="16"/>
  <c r="O325" i="16"/>
  <c r="O326" i="16"/>
  <c r="O327" i="16"/>
  <c r="O328" i="16"/>
  <c r="O329" i="16"/>
  <c r="O330" i="16"/>
  <c r="O331" i="16"/>
  <c r="O332" i="16"/>
  <c r="O333" i="16"/>
  <c r="O334" i="16"/>
  <c r="O335" i="16"/>
  <c r="O336" i="16"/>
  <c r="O337" i="16"/>
  <c r="O338" i="16"/>
  <c r="O339" i="16"/>
  <c r="O340" i="16"/>
  <c r="O341" i="16"/>
  <c r="O342" i="16"/>
  <c r="O343" i="16"/>
  <c r="O344" i="16"/>
  <c r="O345" i="16"/>
  <c r="O346" i="16"/>
  <c r="O347" i="16"/>
  <c r="O348" i="16"/>
  <c r="O349" i="16"/>
  <c r="O350" i="16"/>
  <c r="O351" i="16"/>
  <c r="O352" i="16"/>
  <c r="O353" i="16"/>
  <c r="O354" i="16"/>
  <c r="O355" i="16"/>
  <c r="O356" i="16"/>
  <c r="O357" i="16"/>
  <c r="O358" i="16"/>
  <c r="O359" i="16"/>
  <c r="O360" i="16"/>
  <c r="O361" i="16"/>
  <c r="O362" i="16"/>
  <c r="O363" i="16"/>
  <c r="O364" i="16"/>
  <c r="O365" i="16"/>
  <c r="O366" i="16"/>
  <c r="O367" i="16"/>
  <c r="O368" i="16"/>
  <c r="O369" i="16"/>
  <c r="O370" i="16"/>
  <c r="O371" i="16"/>
  <c r="O372" i="16"/>
  <c r="O373" i="16"/>
  <c r="O374" i="16"/>
  <c r="O375" i="16"/>
  <c r="O376" i="16"/>
  <c r="O377" i="16"/>
  <c r="O378" i="16"/>
  <c r="O379" i="16"/>
  <c r="O380" i="16"/>
  <c r="O381" i="16"/>
  <c r="O382" i="16"/>
  <c r="O383" i="16"/>
  <c r="O384" i="16"/>
  <c r="O385" i="16"/>
  <c r="O386" i="16"/>
  <c r="O387" i="16"/>
  <c r="O388" i="16"/>
  <c r="O389" i="16"/>
  <c r="O390" i="16"/>
  <c r="O391" i="16"/>
  <c r="O392" i="16"/>
  <c r="O393" i="16"/>
  <c r="O394" i="16"/>
  <c r="O395" i="16"/>
  <c r="O396" i="16"/>
  <c r="O397" i="16"/>
  <c r="O398" i="16"/>
  <c r="O399" i="16"/>
  <c r="O400" i="16"/>
  <c r="O401" i="16"/>
  <c r="O402" i="16"/>
  <c r="O403" i="16"/>
  <c r="O404" i="16"/>
  <c r="O405" i="16"/>
  <c r="O414" i="16"/>
  <c r="O415" i="16"/>
  <c r="O416" i="16"/>
  <c r="O417" i="16"/>
  <c r="O418" i="16"/>
  <c r="O419" i="16"/>
  <c r="O420" i="16"/>
  <c r="O421" i="16"/>
  <c r="O422" i="16"/>
  <c r="O423" i="16"/>
  <c r="O424" i="16"/>
  <c r="O425" i="16"/>
  <c r="O426" i="16"/>
  <c r="O427" i="16"/>
  <c r="O428" i="16"/>
  <c r="O429" i="16"/>
  <c r="O430" i="16"/>
  <c r="O431" i="16"/>
  <c r="O432" i="16"/>
  <c r="O433" i="16"/>
  <c r="O434" i="16"/>
  <c r="O435" i="16"/>
  <c r="O436" i="16"/>
  <c r="O437" i="16"/>
  <c r="O438" i="16"/>
  <c r="O439" i="16"/>
  <c r="O440" i="16"/>
  <c r="O441" i="16"/>
  <c r="O442" i="16"/>
  <c r="O443" i="16"/>
  <c r="O444" i="16"/>
  <c r="O445" i="16"/>
  <c r="O446" i="16"/>
  <c r="O447" i="16"/>
  <c r="O448" i="16"/>
  <c r="O449" i="16"/>
  <c r="O450" i="16"/>
  <c r="O451" i="16"/>
  <c r="O452" i="16"/>
  <c r="O453" i="16"/>
  <c r="O454" i="16"/>
  <c r="O455" i="16"/>
  <c r="O456" i="16"/>
  <c r="O457" i="16"/>
  <c r="O458" i="16"/>
  <c r="O459" i="16"/>
  <c r="O460" i="16"/>
  <c r="O461" i="16"/>
  <c r="O462" i="16"/>
  <c r="O463" i="16"/>
  <c r="O464" i="16"/>
  <c r="O465" i="16"/>
  <c r="O466" i="16"/>
  <c r="O467" i="16"/>
  <c r="O468" i="16"/>
  <c r="O469" i="16"/>
  <c r="O470" i="16"/>
  <c r="O471" i="16"/>
  <c r="O472" i="16"/>
  <c r="O473" i="16"/>
  <c r="O474" i="16"/>
  <c r="O475" i="16"/>
  <c r="O476" i="16"/>
  <c r="O477" i="16"/>
  <c r="O478" i="16"/>
  <c r="O479" i="16"/>
  <c r="O480" i="16"/>
  <c r="O481" i="16"/>
  <c r="O482" i="16"/>
  <c r="O483" i="16"/>
  <c r="O484" i="16"/>
  <c r="O485" i="16"/>
  <c r="O486" i="16"/>
  <c r="O487" i="16"/>
  <c r="O488" i="16"/>
  <c r="O489" i="16"/>
  <c r="O490" i="16"/>
  <c r="O491" i="16"/>
  <c r="O493" i="16"/>
  <c r="O494" i="16"/>
  <c r="O495" i="16"/>
  <c r="O496" i="16"/>
  <c r="O497" i="16"/>
  <c r="O498" i="16"/>
  <c r="O499" i="16"/>
  <c r="O500" i="16"/>
  <c r="O501" i="16"/>
  <c r="O502" i="16"/>
  <c r="O503" i="16"/>
  <c r="O504" i="16"/>
  <c r="O505" i="16"/>
  <c r="O506" i="16"/>
  <c r="O507" i="16"/>
  <c r="O508" i="16"/>
  <c r="O509" i="16"/>
  <c r="O510" i="16"/>
  <c r="O511" i="16"/>
  <c r="O512" i="16"/>
  <c r="O513" i="16"/>
  <c r="O514" i="16"/>
  <c r="O515" i="16"/>
  <c r="O516" i="16"/>
  <c r="O517" i="16"/>
  <c r="O518" i="16"/>
  <c r="O519" i="16"/>
  <c r="O520" i="16"/>
  <c r="O521" i="16"/>
  <c r="O522" i="16"/>
  <c r="O523" i="16"/>
  <c r="O524" i="16"/>
  <c r="O525" i="16"/>
  <c r="O526" i="16"/>
  <c r="O527" i="16"/>
  <c r="O528" i="16"/>
  <c r="O529" i="16"/>
  <c r="O530" i="16"/>
  <c r="O531" i="16"/>
  <c r="O532" i="16"/>
  <c r="O23" i="16"/>
  <c r="E118" i="16"/>
  <c r="E119"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233" i="16"/>
  <c r="E234" i="16"/>
  <c r="E235" i="16"/>
  <c r="E236" i="16"/>
  <c r="E237" i="16"/>
  <c r="E238" i="16"/>
  <c r="E239" i="16"/>
  <c r="E240" i="16"/>
  <c r="E241" i="16"/>
  <c r="E242" i="16"/>
  <c r="E243" i="16"/>
  <c r="E244" i="16"/>
  <c r="E245" i="16"/>
  <c r="E246" i="16"/>
  <c r="E247" i="16"/>
  <c r="E248" i="16"/>
  <c r="E249" i="16"/>
  <c r="E250" i="16"/>
  <c r="E251" i="16"/>
  <c r="E252" i="16"/>
  <c r="E253" i="16"/>
  <c r="E254" i="16"/>
  <c r="E255" i="16"/>
  <c r="E256" i="16"/>
  <c r="E257" i="16"/>
  <c r="E258" i="16"/>
  <c r="E259" i="16"/>
  <c r="E260" i="16"/>
  <c r="E261" i="16"/>
  <c r="E262" i="16"/>
  <c r="E263" i="16"/>
  <c r="E264" i="16"/>
  <c r="E265" i="16"/>
  <c r="E266" i="16"/>
  <c r="E267" i="16"/>
  <c r="E268" i="16"/>
  <c r="E269" i="16"/>
  <c r="E270" i="16"/>
  <c r="E271" i="16"/>
  <c r="E272" i="16"/>
  <c r="E273" i="16"/>
  <c r="E274" i="16"/>
  <c r="E275" i="16"/>
  <c r="E276" i="16"/>
  <c r="E277" i="16"/>
  <c r="E278" i="16"/>
  <c r="E279" i="16"/>
  <c r="E280" i="16"/>
  <c r="E281" i="16"/>
  <c r="E282" i="16"/>
  <c r="E283" i="16"/>
  <c r="E284" i="16"/>
  <c r="E285" i="16"/>
  <c r="E286" i="16"/>
  <c r="E287" i="16"/>
  <c r="E288" i="16"/>
  <c r="E289" i="16"/>
  <c r="E290" i="16"/>
  <c r="E291" i="16"/>
  <c r="E292" i="16"/>
  <c r="E293" i="16"/>
  <c r="E294" i="16"/>
  <c r="E295" i="16"/>
  <c r="E296" i="16"/>
  <c r="E297" i="16"/>
  <c r="E298" i="16"/>
  <c r="E299" i="16"/>
  <c r="E300" i="16"/>
  <c r="E301" i="16"/>
  <c r="E302" i="16"/>
  <c r="E303" i="16"/>
  <c r="E304" i="16"/>
  <c r="E305" i="16"/>
  <c r="E306" i="16"/>
  <c r="E307" i="16"/>
  <c r="E308" i="16"/>
  <c r="E309" i="16"/>
  <c r="E310" i="16"/>
  <c r="E311" i="16"/>
  <c r="E312" i="16"/>
  <c r="E313" i="16"/>
  <c r="E314" i="16"/>
  <c r="E315" i="16"/>
  <c r="E316" i="16"/>
  <c r="E317" i="16"/>
  <c r="E318" i="16"/>
  <c r="E319" i="16"/>
  <c r="E320" i="16"/>
  <c r="E321" i="16"/>
  <c r="E322" i="16"/>
  <c r="E323" i="16"/>
  <c r="E324" i="16"/>
  <c r="E325" i="16"/>
  <c r="E326" i="16"/>
  <c r="E327" i="16"/>
  <c r="E328" i="16"/>
  <c r="E329" i="16"/>
  <c r="E330" i="16"/>
  <c r="E331" i="16"/>
  <c r="E332" i="16"/>
  <c r="E333" i="16"/>
  <c r="E334" i="16"/>
  <c r="E335" i="16"/>
  <c r="E336" i="16"/>
  <c r="E337" i="16"/>
  <c r="E338" i="16"/>
  <c r="E339" i="16"/>
  <c r="E340" i="16"/>
  <c r="E341" i="16"/>
  <c r="E342" i="16"/>
  <c r="E343" i="16"/>
  <c r="E344" i="16"/>
  <c r="E345" i="16"/>
  <c r="E346" i="16"/>
  <c r="E347" i="16"/>
  <c r="E348" i="16"/>
  <c r="E349" i="16"/>
  <c r="E350" i="16"/>
  <c r="E351" i="16"/>
  <c r="E352" i="16"/>
  <c r="E353" i="16"/>
  <c r="E354" i="16"/>
  <c r="E355" i="16"/>
  <c r="E356" i="16"/>
  <c r="E357" i="16"/>
  <c r="E358" i="16"/>
  <c r="E359" i="16"/>
  <c r="E360" i="16"/>
  <c r="E361" i="16"/>
  <c r="E362" i="16"/>
  <c r="E363" i="16"/>
  <c r="E364" i="16"/>
  <c r="E365" i="16"/>
  <c r="E366" i="16"/>
  <c r="E367" i="16"/>
  <c r="E368" i="16"/>
  <c r="E369" i="16"/>
  <c r="E370" i="16"/>
  <c r="E371" i="16"/>
  <c r="E372" i="16"/>
  <c r="E373" i="16"/>
  <c r="E374" i="16"/>
  <c r="E375" i="16"/>
  <c r="E376" i="16"/>
  <c r="E377" i="16"/>
  <c r="E378" i="16"/>
  <c r="E379" i="16"/>
  <c r="E380" i="16"/>
  <c r="E381" i="16"/>
  <c r="E382" i="16"/>
  <c r="E383" i="16"/>
  <c r="E384" i="16"/>
  <c r="E385" i="16"/>
  <c r="E386" i="16"/>
  <c r="E387" i="16"/>
  <c r="E388" i="16"/>
  <c r="E389" i="16"/>
  <c r="E390" i="16"/>
  <c r="E391" i="16"/>
  <c r="E392" i="16"/>
  <c r="E393" i="16"/>
  <c r="E394" i="16"/>
  <c r="E395" i="16"/>
  <c r="E396" i="16"/>
  <c r="E397" i="16"/>
  <c r="E398" i="16"/>
  <c r="E399" i="16"/>
  <c r="E400" i="16"/>
  <c r="E401" i="16"/>
  <c r="E402" i="16"/>
  <c r="E403" i="16"/>
  <c r="E404" i="16"/>
  <c r="E405" i="16"/>
  <c r="E414" i="16"/>
  <c r="E415" i="16"/>
  <c r="E416" i="16"/>
  <c r="E417" i="16"/>
  <c r="E418" i="16"/>
  <c r="E419" i="16"/>
  <c r="E420" i="16"/>
  <c r="E421" i="16"/>
  <c r="E422" i="16"/>
  <c r="E423" i="16"/>
  <c r="E424" i="16"/>
  <c r="E425" i="16"/>
  <c r="E426" i="16"/>
  <c r="E427" i="16"/>
  <c r="E428" i="16"/>
  <c r="E429" i="16"/>
  <c r="E430" i="16"/>
  <c r="E431" i="16"/>
  <c r="E432" i="16"/>
  <c r="E433" i="16"/>
  <c r="E434" i="16"/>
  <c r="E435" i="16"/>
  <c r="E436" i="16"/>
  <c r="E437" i="16"/>
  <c r="E438" i="16"/>
  <c r="E439" i="16"/>
  <c r="E440" i="16"/>
  <c r="E441" i="16"/>
  <c r="E442" i="16"/>
  <c r="E443" i="16"/>
  <c r="E444" i="16"/>
  <c r="E445" i="16"/>
  <c r="E446" i="16"/>
  <c r="E447" i="16"/>
  <c r="E448" i="16"/>
  <c r="E449" i="16"/>
  <c r="E450" i="16"/>
  <c r="E451" i="16"/>
  <c r="E452" i="16"/>
  <c r="E453" i="16"/>
  <c r="E454" i="16"/>
  <c r="E455" i="16"/>
  <c r="E456" i="16"/>
  <c r="E457" i="16"/>
  <c r="E458" i="16"/>
  <c r="E459" i="16"/>
  <c r="E460" i="16"/>
  <c r="E461" i="16"/>
  <c r="E462" i="16"/>
  <c r="E463" i="16"/>
  <c r="E464" i="16"/>
  <c r="E465" i="16"/>
  <c r="E466" i="16"/>
  <c r="E467" i="16"/>
  <c r="E468" i="16"/>
  <c r="E469" i="16"/>
  <c r="E470" i="16"/>
  <c r="E471" i="16"/>
  <c r="E472" i="16"/>
  <c r="E473" i="16"/>
  <c r="E474" i="16"/>
  <c r="E475" i="16"/>
  <c r="E476" i="16"/>
  <c r="E477" i="16"/>
  <c r="E478" i="16"/>
  <c r="E479" i="16"/>
  <c r="E480" i="16"/>
  <c r="E481" i="16"/>
  <c r="E482" i="16"/>
  <c r="E483" i="16"/>
  <c r="E484" i="16"/>
  <c r="E485" i="16"/>
  <c r="E486" i="16"/>
  <c r="E487" i="16"/>
  <c r="E488" i="16"/>
  <c r="E489" i="16"/>
  <c r="E490" i="16"/>
  <c r="E491" i="16"/>
  <c r="E493" i="16"/>
  <c r="E494" i="16"/>
  <c r="E495" i="16"/>
  <c r="E496" i="16"/>
  <c r="E497" i="16"/>
  <c r="E498" i="16"/>
  <c r="E499" i="16"/>
  <c r="E500" i="16"/>
  <c r="E501" i="16"/>
  <c r="E502" i="16"/>
  <c r="E503" i="16"/>
  <c r="E504" i="16"/>
  <c r="E505" i="16"/>
  <c r="E506" i="16"/>
  <c r="E507" i="16"/>
  <c r="E508" i="16"/>
  <c r="E509" i="16"/>
  <c r="E510" i="16"/>
  <c r="E511" i="16"/>
  <c r="E512" i="16"/>
  <c r="E513" i="16"/>
  <c r="E514" i="16"/>
  <c r="E515" i="16"/>
  <c r="E516" i="16"/>
  <c r="E517" i="16"/>
  <c r="E518" i="16"/>
  <c r="E519" i="16"/>
  <c r="E520" i="16"/>
  <c r="E521" i="16"/>
  <c r="E522" i="16"/>
  <c r="E523" i="16"/>
  <c r="E524" i="16"/>
  <c r="E525" i="16"/>
  <c r="E526" i="16"/>
  <c r="E527" i="16"/>
  <c r="E528" i="16"/>
  <c r="E529" i="16"/>
  <c r="E530" i="16"/>
  <c r="E531" i="16"/>
  <c r="E532"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23" i="16"/>
  <c r="O154" i="14"/>
  <c r="O155" i="14"/>
  <c r="O156" i="14"/>
  <c r="O157" i="14"/>
  <c r="O158" i="14"/>
  <c r="O159" i="14"/>
  <c r="O160" i="14"/>
  <c r="O161" i="14"/>
  <c r="O162" i="14"/>
  <c r="O163" i="14"/>
  <c r="O164" i="14"/>
  <c r="O165" i="14"/>
  <c r="O166" i="14"/>
  <c r="O167" i="14"/>
  <c r="O168" i="14"/>
  <c r="O169" i="14"/>
  <c r="O170" i="14"/>
  <c r="E154" i="14"/>
  <c r="F154" i="14"/>
  <c r="E155" i="14"/>
  <c r="F155" i="14"/>
  <c r="E156" i="14"/>
  <c r="F156" i="14"/>
  <c r="E157" i="14"/>
  <c r="F157" i="14"/>
  <c r="E158" i="14"/>
  <c r="F158" i="14"/>
  <c r="E159" i="14"/>
  <c r="F159" i="14"/>
  <c r="E160" i="14"/>
  <c r="F160" i="14"/>
  <c r="E161" i="14"/>
  <c r="F161" i="14"/>
  <c r="E162" i="14"/>
  <c r="F162" i="14"/>
  <c r="E163" i="14"/>
  <c r="F163" i="14"/>
  <c r="E164" i="14"/>
  <c r="F164" i="14"/>
  <c r="E165" i="14"/>
  <c r="F165" i="14"/>
  <c r="E166" i="14"/>
  <c r="F166" i="14"/>
  <c r="E167" i="14"/>
  <c r="F167" i="14"/>
  <c r="E168" i="14"/>
  <c r="F168" i="14"/>
  <c r="E169" i="14"/>
  <c r="F169" i="14"/>
  <c r="E170" i="14"/>
  <c r="F170" i="14"/>
  <c r="O126" i="14"/>
  <c r="O127" i="14"/>
  <c r="O128" i="14"/>
  <c r="O129" i="14"/>
  <c r="O130" i="14"/>
  <c r="O131" i="14"/>
  <c r="O132" i="14"/>
  <c r="O133" i="14"/>
  <c r="O134" i="14"/>
  <c r="O135" i="14"/>
  <c r="O136" i="14"/>
  <c r="O137" i="14"/>
  <c r="O138" i="14"/>
  <c r="O139" i="14"/>
  <c r="O140" i="14"/>
  <c r="O141" i="14"/>
  <c r="O142" i="14"/>
  <c r="O143" i="14"/>
  <c r="O144" i="14"/>
  <c r="O145" i="14"/>
  <c r="O146" i="14"/>
  <c r="O147" i="14"/>
  <c r="O148" i="14"/>
  <c r="O149" i="14"/>
  <c r="O150" i="14"/>
  <c r="O151" i="14"/>
  <c r="O152" i="14"/>
  <c r="O153" i="14"/>
  <c r="E126" i="14"/>
  <c r="F126" i="14"/>
  <c r="E127" i="14"/>
  <c r="F127" i="14"/>
  <c r="E128" i="14"/>
  <c r="F128" i="14"/>
  <c r="E129" i="14"/>
  <c r="F129" i="14"/>
  <c r="E130" i="14"/>
  <c r="F130" i="14"/>
  <c r="E131" i="14"/>
  <c r="F131" i="14"/>
  <c r="E132" i="14"/>
  <c r="F132" i="14"/>
  <c r="E133" i="14"/>
  <c r="F133" i="14"/>
  <c r="E134" i="14"/>
  <c r="F134" i="14"/>
  <c r="E135" i="14"/>
  <c r="F135" i="14"/>
  <c r="E136" i="14"/>
  <c r="F136" i="14"/>
  <c r="E137" i="14"/>
  <c r="F137" i="14"/>
  <c r="E138" i="14"/>
  <c r="F138" i="14"/>
  <c r="E139" i="14"/>
  <c r="F139" i="14"/>
  <c r="E140" i="14"/>
  <c r="F140" i="14"/>
  <c r="E141" i="14"/>
  <c r="F141" i="14"/>
  <c r="E142" i="14"/>
  <c r="F142" i="14"/>
  <c r="E143" i="14"/>
  <c r="F143" i="14"/>
  <c r="E144" i="14"/>
  <c r="F144" i="14"/>
  <c r="E145" i="14"/>
  <c r="F145" i="14"/>
  <c r="E146" i="14"/>
  <c r="F146" i="14"/>
  <c r="E147" i="14"/>
  <c r="F147" i="14"/>
  <c r="E148" i="14"/>
  <c r="F148" i="14"/>
  <c r="E149" i="14"/>
  <c r="F149" i="14"/>
  <c r="E150" i="14"/>
  <c r="F150" i="14"/>
  <c r="E151" i="14"/>
  <c r="F151" i="14"/>
  <c r="E152" i="14"/>
  <c r="F152" i="14"/>
  <c r="E153" i="14"/>
  <c r="F15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O23" i="14"/>
  <c r="E24" i="14"/>
  <c r="F24" i="14"/>
  <c r="E25" i="14"/>
  <c r="F25" i="14"/>
  <c r="E26" i="14"/>
  <c r="F26" i="14"/>
  <c r="E27" i="14"/>
  <c r="F27" i="14"/>
  <c r="E28" i="14"/>
  <c r="F28" i="14"/>
  <c r="E29" i="14"/>
  <c r="F29" i="14"/>
  <c r="E30" i="14"/>
  <c r="F30" i="14"/>
  <c r="E31" i="14"/>
  <c r="F31" i="14"/>
  <c r="E32" i="14"/>
  <c r="F32" i="14"/>
  <c r="E33" i="14"/>
  <c r="F33" i="14"/>
  <c r="E34" i="14"/>
  <c r="F34" i="14"/>
  <c r="E35" i="14"/>
  <c r="F35" i="14"/>
  <c r="E36" i="14"/>
  <c r="F36" i="14"/>
  <c r="E37" i="14"/>
  <c r="F37" i="14"/>
  <c r="E38" i="14"/>
  <c r="F38" i="14"/>
  <c r="E39" i="14"/>
  <c r="F39" i="14"/>
  <c r="E40" i="14"/>
  <c r="F40" i="14"/>
  <c r="E41" i="14"/>
  <c r="F41" i="14"/>
  <c r="E42" i="14"/>
  <c r="F42" i="14"/>
  <c r="E43" i="14"/>
  <c r="F43" i="14"/>
  <c r="E44" i="14"/>
  <c r="F44" i="14"/>
  <c r="E45" i="14"/>
  <c r="F45" i="14"/>
  <c r="E46" i="14"/>
  <c r="F46" i="14"/>
  <c r="E47" i="14"/>
  <c r="F47" i="14"/>
  <c r="E48" i="14"/>
  <c r="F48" i="14"/>
  <c r="E49" i="14"/>
  <c r="F49" i="14"/>
  <c r="E50" i="14"/>
  <c r="F50" i="14"/>
  <c r="E51" i="14"/>
  <c r="F51" i="14"/>
  <c r="E52" i="14"/>
  <c r="F52" i="14"/>
  <c r="E53" i="14"/>
  <c r="F53" i="14"/>
  <c r="E54" i="14"/>
  <c r="F54" i="14"/>
  <c r="E55" i="14"/>
  <c r="F55" i="14"/>
  <c r="E56" i="14"/>
  <c r="F56" i="14"/>
  <c r="E57" i="14"/>
  <c r="F57" i="14"/>
  <c r="E58" i="14"/>
  <c r="F58" i="14"/>
  <c r="E59" i="14"/>
  <c r="F59" i="14"/>
  <c r="E60" i="14"/>
  <c r="F60" i="14"/>
  <c r="E61" i="14"/>
  <c r="F61" i="14"/>
  <c r="E62" i="14"/>
  <c r="F62" i="14"/>
  <c r="E63" i="14"/>
  <c r="F63" i="14"/>
  <c r="E64" i="14"/>
  <c r="F64" i="14"/>
  <c r="E65" i="14"/>
  <c r="F65" i="14"/>
  <c r="E66" i="14"/>
  <c r="F66" i="14"/>
  <c r="E67" i="14"/>
  <c r="F67" i="14"/>
  <c r="E68" i="14"/>
  <c r="F68" i="14"/>
  <c r="E69" i="14"/>
  <c r="F69" i="14"/>
  <c r="E70" i="14"/>
  <c r="F70" i="14"/>
  <c r="E71" i="14"/>
  <c r="F71" i="14"/>
  <c r="E72" i="14"/>
  <c r="F72" i="14"/>
  <c r="E73" i="14"/>
  <c r="F73" i="14"/>
  <c r="E74" i="14"/>
  <c r="F74" i="14"/>
  <c r="E75" i="14"/>
  <c r="F75" i="14"/>
  <c r="E76" i="14"/>
  <c r="F76" i="14"/>
  <c r="E77" i="14"/>
  <c r="F77" i="14"/>
  <c r="E78" i="14"/>
  <c r="F78" i="14"/>
  <c r="E79" i="14"/>
  <c r="F79" i="14"/>
  <c r="E80" i="14"/>
  <c r="F80" i="14"/>
  <c r="E81" i="14"/>
  <c r="F81" i="14"/>
  <c r="E82" i="14"/>
  <c r="F82" i="14"/>
  <c r="E83" i="14"/>
  <c r="F83" i="14"/>
  <c r="E84" i="14"/>
  <c r="F84" i="14"/>
  <c r="E85" i="14"/>
  <c r="F85" i="14"/>
  <c r="E86" i="14"/>
  <c r="F86" i="14"/>
  <c r="E87" i="14"/>
  <c r="F87" i="14"/>
  <c r="E88" i="14"/>
  <c r="F88" i="14"/>
  <c r="E89" i="14"/>
  <c r="F89" i="14"/>
  <c r="E90" i="14"/>
  <c r="F90" i="14"/>
  <c r="E91" i="14"/>
  <c r="F91" i="14"/>
  <c r="E92" i="14"/>
  <c r="F92" i="14"/>
  <c r="E93" i="14"/>
  <c r="F93" i="14"/>
  <c r="E94" i="14"/>
  <c r="F94" i="14"/>
  <c r="E95" i="14"/>
  <c r="F95" i="14"/>
  <c r="E96" i="14"/>
  <c r="F96" i="14"/>
  <c r="E97" i="14"/>
  <c r="F97" i="14"/>
  <c r="E98" i="14"/>
  <c r="F98" i="14"/>
  <c r="E99" i="14"/>
  <c r="F99" i="14"/>
  <c r="E100" i="14"/>
  <c r="F100" i="14"/>
  <c r="E101" i="14"/>
  <c r="F101" i="14"/>
  <c r="E102" i="14"/>
  <c r="F102" i="14"/>
  <c r="E103" i="14"/>
  <c r="F103" i="14"/>
  <c r="E104" i="14"/>
  <c r="F104" i="14"/>
  <c r="E105" i="14"/>
  <c r="F105" i="14"/>
  <c r="E106" i="14"/>
  <c r="F106" i="14"/>
  <c r="E107" i="14"/>
  <c r="F107" i="14"/>
  <c r="E108" i="14"/>
  <c r="F108" i="14"/>
  <c r="E109" i="14"/>
  <c r="F109" i="14"/>
  <c r="E110" i="14"/>
  <c r="F110" i="14"/>
  <c r="E111" i="14"/>
  <c r="F111" i="14"/>
  <c r="E112" i="14"/>
  <c r="F112" i="14"/>
  <c r="E113" i="14"/>
  <c r="F113" i="14"/>
  <c r="E114" i="14"/>
  <c r="F114" i="14"/>
  <c r="E115" i="14"/>
  <c r="F115" i="14"/>
  <c r="E116" i="14"/>
  <c r="F116" i="14"/>
  <c r="E117" i="14"/>
  <c r="F117" i="14"/>
  <c r="E118" i="14"/>
  <c r="F118" i="14"/>
  <c r="E119" i="14"/>
  <c r="F119" i="14"/>
  <c r="E120" i="14"/>
  <c r="F120" i="14"/>
  <c r="E121" i="14"/>
  <c r="F121" i="14"/>
  <c r="E122" i="14"/>
  <c r="F122" i="14"/>
  <c r="E123" i="14"/>
  <c r="F123" i="14"/>
  <c r="E124" i="14"/>
  <c r="F124" i="14"/>
  <c r="E125" i="14"/>
  <c r="F125" i="14"/>
  <c r="E23" i="14"/>
  <c r="F23" i="14"/>
  <c r="O3052" i="16"/>
  <c r="O3053" i="16"/>
  <c r="O3054" i="16"/>
  <c r="O3055" i="16"/>
  <c r="E22" i="16"/>
  <c r="O22" i="14"/>
  <c r="E22" i="14"/>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218" i="17"/>
  <c r="O217" i="17"/>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22" i="16"/>
  <c r="J10" i="23"/>
  <c r="D39" i="20"/>
  <c r="H39" i="20"/>
  <c r="L5" i="15"/>
  <c r="I18" i="15"/>
  <c r="H30" i="15"/>
  <c r="G6" i="19"/>
  <c r="D24" i="22"/>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AL15" i="19"/>
  <c r="D38" i="12"/>
  <c r="C40" i="12"/>
  <c r="D81" i="12"/>
  <c r="D73" i="12"/>
  <c r="D72" i="12"/>
  <c r="D48" i="12"/>
  <c r="F218" i="17"/>
  <c r="P218" i="17"/>
  <c r="AG11" i="19"/>
  <c r="AD11" i="19"/>
  <c r="AA11" i="19"/>
  <c r="X11" i="19"/>
  <c r="U11" i="19"/>
  <c r="R11" i="19"/>
  <c r="D14" i="23"/>
  <c r="L18" i="15"/>
  <c r="J20" i="22"/>
  <c r="D32" i="12"/>
  <c r="D31" i="12"/>
  <c r="D30" i="12"/>
  <c r="D28" i="12"/>
  <c r="D29" i="12"/>
  <c r="K8" i="25"/>
  <c r="D17" i="25"/>
  <c r="AJ19" i="19"/>
  <c r="O11" i="19"/>
  <c r="O39" i="20"/>
  <c r="L36" i="15"/>
  <c r="AI13" i="19"/>
  <c r="AI14" i="19"/>
  <c r="AI15" i="19"/>
  <c r="AI16" i="19"/>
  <c r="AI17" i="19"/>
  <c r="AI18" i="19"/>
  <c r="J11" i="20"/>
  <c r="J10" i="20"/>
  <c r="J9" i="20"/>
  <c r="C17" i="20"/>
  <c r="A10" i="20"/>
  <c r="C10" i="20"/>
  <c r="C26" i="20"/>
  <c r="A11" i="20"/>
  <c r="C11" i="20"/>
  <c r="C35" i="20"/>
  <c r="E15" i="17"/>
  <c r="E16" i="16"/>
  <c r="E15" i="16"/>
  <c r="E16" i="14"/>
  <c r="E15" i="14"/>
  <c r="F49" i="17"/>
  <c r="F47" i="17"/>
  <c r="F36" i="17"/>
  <c r="F50" i="17"/>
  <c r="F48" i="17"/>
  <c r="F38" i="17"/>
  <c r="F35" i="17"/>
  <c r="F27" i="17"/>
  <c r="F30" i="17"/>
  <c r="F39" i="17"/>
  <c r="F25" i="17"/>
  <c r="F37" i="17"/>
  <c r="F23" i="17"/>
  <c r="F24" i="17"/>
  <c r="F34" i="17"/>
  <c r="F28" i="17"/>
  <c r="F40" i="17"/>
  <c r="F26" i="17"/>
  <c r="F44" i="17"/>
  <c r="F46" i="17"/>
  <c r="F33" i="17"/>
  <c r="F45" i="17"/>
  <c r="F51" i="17"/>
  <c r="F31" i="17"/>
  <c r="F533" i="16"/>
  <c r="F535" i="16"/>
  <c r="F534" i="16"/>
  <c r="F844" i="16"/>
  <c r="F839" i="16"/>
  <c r="F545" i="16"/>
  <c r="F552" i="16"/>
  <c r="F563" i="16"/>
  <c r="F573" i="16"/>
  <c r="F584" i="16"/>
  <c r="F595" i="16"/>
  <c r="F605" i="16"/>
  <c r="F616" i="16"/>
  <c r="F627" i="16"/>
  <c r="F637" i="16"/>
  <c r="F648" i="16"/>
  <c r="F659" i="16"/>
  <c r="F669" i="16"/>
  <c r="F680" i="16"/>
  <c r="F691" i="16"/>
  <c r="F701" i="16"/>
  <c r="F712" i="16"/>
  <c r="F723" i="16"/>
  <c r="F733" i="16"/>
  <c r="F744" i="16"/>
  <c r="F755" i="16"/>
  <c r="F765" i="16"/>
  <c r="F776" i="16"/>
  <c r="F787" i="16"/>
  <c r="F797" i="16"/>
  <c r="F808" i="16"/>
  <c r="F819" i="16"/>
  <c r="F829" i="16"/>
  <c r="F845" i="16"/>
  <c r="F554" i="16"/>
  <c r="F564" i="16"/>
  <c r="F574" i="16"/>
  <c r="F586" i="16"/>
  <c r="F596" i="16"/>
  <c r="F606" i="16"/>
  <c r="F618" i="16"/>
  <c r="F628" i="16"/>
  <c r="F638" i="16"/>
  <c r="F650" i="16"/>
  <c r="F660" i="16"/>
  <c r="F670" i="16"/>
  <c r="F682" i="16"/>
  <c r="F692" i="16"/>
  <c r="F702" i="16"/>
  <c r="F714" i="16"/>
  <c r="F724" i="16"/>
  <c r="F734" i="16"/>
  <c r="F746" i="16"/>
  <c r="F756" i="16"/>
  <c r="F766" i="16"/>
  <c r="F778" i="16"/>
  <c r="F788" i="16"/>
  <c r="F798" i="16"/>
  <c r="F810" i="16"/>
  <c r="F820" i="16"/>
  <c r="F830" i="16"/>
  <c r="F843" i="16"/>
  <c r="F555" i="16"/>
  <c r="F576" i="16"/>
  <c r="F587" i="16"/>
  <c r="F608" i="16"/>
  <c r="F619" i="16"/>
  <c r="F640" i="16"/>
  <c r="F651" i="16"/>
  <c r="F672" i="16"/>
  <c r="F683" i="16"/>
  <c r="F704" i="16"/>
  <c r="F715" i="16"/>
  <c r="F736" i="16"/>
  <c r="F747" i="16"/>
  <c r="F768" i="16"/>
  <c r="F779" i="16"/>
  <c r="F800" i="16"/>
  <c r="F811" i="16"/>
  <c r="F832" i="16"/>
  <c r="F842" i="16"/>
  <c r="F836" i="16"/>
  <c r="F556" i="16"/>
  <c r="F578" i="16"/>
  <c r="F588" i="16"/>
  <c r="F610" i="16"/>
  <c r="F620" i="16"/>
  <c r="F642" i="16"/>
  <c r="F652" i="16"/>
  <c r="F674" i="16"/>
  <c r="F684" i="16"/>
  <c r="F706" i="16"/>
  <c r="F716" i="16"/>
  <c r="F738" i="16"/>
  <c r="F748" i="16"/>
  <c r="F770" i="16"/>
  <c r="F780" i="16"/>
  <c r="F802" i="16"/>
  <c r="F812" i="16"/>
  <c r="F834" i="16"/>
  <c r="F841" i="16"/>
  <c r="F568" i="16"/>
  <c r="F579" i="16"/>
  <c r="F600" i="16"/>
  <c r="F611" i="16"/>
  <c r="F632" i="16"/>
  <c r="F643" i="16"/>
  <c r="F664" i="16"/>
  <c r="F675" i="16"/>
  <c r="F696" i="16"/>
  <c r="F707" i="16"/>
  <c r="F728" i="16"/>
  <c r="F739" i="16"/>
  <c r="F760" i="16"/>
  <c r="F771" i="16"/>
  <c r="F792" i="16"/>
  <c r="F803" i="16"/>
  <c r="F824" i="16"/>
  <c r="F846" i="16"/>
  <c r="F570" i="16"/>
  <c r="F580" i="16"/>
  <c r="F602" i="16"/>
  <c r="F612" i="16"/>
  <c r="F634" i="16"/>
  <c r="F644" i="16"/>
  <c r="F666" i="16"/>
  <c r="F676" i="16"/>
  <c r="F698" i="16"/>
  <c r="F708" i="16"/>
  <c r="F730" i="16"/>
  <c r="F740" i="16"/>
  <c r="F762" i="16"/>
  <c r="F772" i="16"/>
  <c r="F794" i="16"/>
  <c r="F804" i="16"/>
  <c r="F826" i="16"/>
  <c r="F838" i="16"/>
  <c r="F560" i="16"/>
  <c r="F571" i="16"/>
  <c r="F592" i="16"/>
  <c r="F603" i="16"/>
  <c r="F624" i="16"/>
  <c r="F635" i="16"/>
  <c r="F656" i="16"/>
  <c r="F667" i="16"/>
  <c r="F688" i="16"/>
  <c r="F699" i="16"/>
  <c r="F720" i="16"/>
  <c r="F731" i="16"/>
  <c r="F752" i="16"/>
  <c r="F763" i="16"/>
  <c r="F784" i="16"/>
  <c r="F795" i="16"/>
  <c r="F816" i="16"/>
  <c r="F827" i="16"/>
  <c r="F551" i="16"/>
  <c r="F562" i="16"/>
  <c r="F572" i="16"/>
  <c r="F594" i="16"/>
  <c r="F604" i="16"/>
  <c r="F626" i="16"/>
  <c r="F636" i="16"/>
  <c r="F658" i="16"/>
  <c r="F668" i="16"/>
  <c r="F690" i="16"/>
  <c r="F700" i="16"/>
  <c r="F722" i="16"/>
  <c r="F732" i="16"/>
  <c r="F754" i="16"/>
  <c r="F764" i="16"/>
  <c r="F786" i="16"/>
  <c r="F796" i="16"/>
  <c r="F818" i="16"/>
  <c r="F828" i="16"/>
  <c r="F126" i="16"/>
  <c r="F137" i="16"/>
  <c r="F148" i="16"/>
  <c r="F158" i="16"/>
  <c r="F169" i="16"/>
  <c r="F180" i="16"/>
  <c r="F190" i="16"/>
  <c r="F201" i="16"/>
  <c r="F212" i="16"/>
  <c r="F222" i="16"/>
  <c r="F233" i="16"/>
  <c r="F244" i="16"/>
  <c r="F254" i="16"/>
  <c r="F265" i="16"/>
  <c r="F276" i="16"/>
  <c r="F286" i="16"/>
  <c r="F297" i="16"/>
  <c r="F308" i="16"/>
  <c r="F318" i="16"/>
  <c r="F329" i="16"/>
  <c r="F340" i="16"/>
  <c r="F350" i="16"/>
  <c r="F31" i="16"/>
  <c r="F118" i="16"/>
  <c r="F129" i="16"/>
  <c r="F140" i="16"/>
  <c r="F150" i="16"/>
  <c r="F161" i="16"/>
  <c r="F172" i="16"/>
  <c r="F182" i="16"/>
  <c r="F193" i="16"/>
  <c r="F204" i="16"/>
  <c r="F214" i="16"/>
  <c r="F225" i="16"/>
  <c r="F236" i="16"/>
  <c r="F246" i="16"/>
  <c r="F257" i="16"/>
  <c r="F268" i="16"/>
  <c r="F278" i="16"/>
  <c r="F289" i="16"/>
  <c r="F300" i="16"/>
  <c r="F310" i="16"/>
  <c r="F321" i="16"/>
  <c r="F332" i="16"/>
  <c r="F342" i="16"/>
  <c r="F353" i="16"/>
  <c r="F364" i="16"/>
  <c r="F374" i="16"/>
  <c r="F385" i="16"/>
  <c r="F396" i="16"/>
  <c r="F417" i="16"/>
  <c r="F428" i="16"/>
  <c r="F438" i="16"/>
  <c r="F449" i="16"/>
  <c r="F460" i="16"/>
  <c r="F470" i="16"/>
  <c r="F481" i="16"/>
  <c r="F502" i="16"/>
  <c r="F513" i="16"/>
  <c r="F524" i="16"/>
  <c r="F333" i="16"/>
  <c r="F386" i="16"/>
  <c r="F418" i="16"/>
  <c r="F450" i="16"/>
  <c r="F472" i="16"/>
  <c r="F493" i="16"/>
  <c r="F514" i="16"/>
  <c r="F130" i="16"/>
  <c r="F141" i="16"/>
  <c r="F152" i="16"/>
  <c r="F162" i="16"/>
  <c r="F173" i="16"/>
  <c r="F184" i="16"/>
  <c r="F194" i="16"/>
  <c r="F205" i="16"/>
  <c r="F216" i="16"/>
  <c r="F226" i="16"/>
  <c r="F237" i="16"/>
  <c r="F248" i="16"/>
  <c r="F258" i="16"/>
  <c r="F269" i="16"/>
  <c r="F280" i="16"/>
  <c r="F290" i="16"/>
  <c r="F301" i="16"/>
  <c r="F312" i="16"/>
  <c r="F322" i="16"/>
  <c r="F344" i="16"/>
  <c r="F354" i="16"/>
  <c r="F365" i="16"/>
  <c r="F376" i="16"/>
  <c r="F397" i="16"/>
  <c r="F429" i="16"/>
  <c r="F440" i="16"/>
  <c r="F461" i="16"/>
  <c r="F482" i="16"/>
  <c r="F504" i="16"/>
  <c r="F525" i="16"/>
  <c r="F132" i="16"/>
  <c r="F142" i="16"/>
  <c r="F153" i="16"/>
  <c r="F164" i="16"/>
  <c r="F174" i="16"/>
  <c r="F185" i="16"/>
  <c r="F196" i="16"/>
  <c r="F206" i="16"/>
  <c r="F217" i="16"/>
  <c r="F228" i="16"/>
  <c r="F238" i="16"/>
  <c r="F249" i="16"/>
  <c r="F260" i="16"/>
  <c r="F270" i="16"/>
  <c r="F281" i="16"/>
  <c r="F292" i="16"/>
  <c r="F302" i="16"/>
  <c r="F313" i="16"/>
  <c r="F324" i="16"/>
  <c r="F334" i="16"/>
  <c r="F345" i="16"/>
  <c r="F356" i="16"/>
  <c r="F366" i="16"/>
  <c r="F377" i="16"/>
  <c r="F388" i="16"/>
  <c r="F398" i="16"/>
  <c r="F420" i="16"/>
  <c r="F430" i="16"/>
  <c r="F441" i="16"/>
  <c r="F452" i="16"/>
  <c r="F462" i="16"/>
  <c r="F473" i="16"/>
  <c r="F484" i="16"/>
  <c r="F494" i="16"/>
  <c r="F505" i="16"/>
  <c r="F516" i="16"/>
  <c r="F526" i="16"/>
  <c r="F93" i="16"/>
  <c r="F133" i="16"/>
  <c r="F144" i="16"/>
  <c r="F154" i="16"/>
  <c r="F165" i="16"/>
  <c r="F176" i="16"/>
  <c r="F186" i="16"/>
  <c r="F197" i="16"/>
  <c r="F208" i="16"/>
  <c r="F218" i="16"/>
  <c r="F229" i="16"/>
  <c r="F240" i="16"/>
  <c r="F250" i="16"/>
  <c r="F261" i="16"/>
  <c r="F272" i="16"/>
  <c r="F282" i="16"/>
  <c r="F293" i="16"/>
  <c r="F304" i="16"/>
  <c r="F314" i="16"/>
  <c r="F325" i="16"/>
  <c r="F336" i="16"/>
  <c r="F346" i="16"/>
  <c r="F357" i="16"/>
  <c r="F368" i="16"/>
  <c r="F378" i="16"/>
  <c r="F389" i="16"/>
  <c r="F400" i="16"/>
  <c r="F421" i="16"/>
  <c r="F432" i="16"/>
  <c r="F442" i="16"/>
  <c r="F453" i="16"/>
  <c r="F464" i="16"/>
  <c r="F474" i="16"/>
  <c r="F485" i="16"/>
  <c r="F496" i="16"/>
  <c r="F506" i="16"/>
  <c r="F517" i="16"/>
  <c r="F528" i="16"/>
  <c r="F465" i="16"/>
  <c r="F518" i="16"/>
  <c r="F41" i="16"/>
  <c r="F134" i="16"/>
  <c r="F145" i="16"/>
  <c r="F156" i="16"/>
  <c r="F166" i="16"/>
  <c r="F177" i="16"/>
  <c r="F188" i="16"/>
  <c r="F198" i="16"/>
  <c r="F209" i="16"/>
  <c r="F220" i="16"/>
  <c r="F230" i="16"/>
  <c r="F241" i="16"/>
  <c r="F252" i="16"/>
  <c r="F262" i="16"/>
  <c r="F273" i="16"/>
  <c r="F284" i="16"/>
  <c r="F294" i="16"/>
  <c r="F305" i="16"/>
  <c r="F316" i="16"/>
  <c r="F326" i="16"/>
  <c r="F337" i="16"/>
  <c r="F348" i="16"/>
  <c r="F358" i="16"/>
  <c r="F369" i="16"/>
  <c r="F380" i="16"/>
  <c r="F390" i="16"/>
  <c r="F401" i="16"/>
  <c r="F422" i="16"/>
  <c r="F433" i="16"/>
  <c r="F444" i="16"/>
  <c r="F454" i="16"/>
  <c r="F476" i="16"/>
  <c r="F486" i="16"/>
  <c r="F497" i="16"/>
  <c r="F508" i="16"/>
  <c r="F529" i="16"/>
  <c r="F157" i="16"/>
  <c r="F168" i="16"/>
  <c r="F178" i="16"/>
  <c r="F221" i="16"/>
  <c r="F264" i="16"/>
  <c r="F306" i="16"/>
  <c r="F349" i="16"/>
  <c r="F381" i="16"/>
  <c r="F405" i="16"/>
  <c r="F436" i="16"/>
  <c r="F466" i="16"/>
  <c r="F490" i="16"/>
  <c r="F521" i="16"/>
  <c r="F128" i="16"/>
  <c r="F181" i="16"/>
  <c r="F224" i="16"/>
  <c r="F266" i="16"/>
  <c r="F309" i="16"/>
  <c r="F352" i="16"/>
  <c r="F382" i="16"/>
  <c r="F437" i="16"/>
  <c r="F468" i="16"/>
  <c r="F498" i="16"/>
  <c r="F522" i="16"/>
  <c r="F448" i="16"/>
  <c r="F434" i="16"/>
  <c r="F136" i="16"/>
  <c r="F189" i="16"/>
  <c r="F232" i="16"/>
  <c r="F274" i="16"/>
  <c r="F317" i="16"/>
  <c r="F360" i="16"/>
  <c r="F384" i="16"/>
  <c r="F414" i="16"/>
  <c r="F445" i="16"/>
  <c r="F469" i="16"/>
  <c r="F500" i="16"/>
  <c r="F530" i="16"/>
  <c r="F509" i="16"/>
  <c r="F138" i="16"/>
  <c r="F192" i="16"/>
  <c r="F234" i="16"/>
  <c r="F277" i="16"/>
  <c r="F320" i="16"/>
  <c r="F361" i="16"/>
  <c r="F392" i="16"/>
  <c r="F416" i="16"/>
  <c r="F446" i="16"/>
  <c r="F477" i="16"/>
  <c r="F501" i="16"/>
  <c r="F532" i="16"/>
  <c r="F373" i="16"/>
  <c r="F146" i="16"/>
  <c r="F200" i="16"/>
  <c r="F242" i="16"/>
  <c r="F285" i="16"/>
  <c r="F328" i="16"/>
  <c r="F362" i="16"/>
  <c r="F393" i="16"/>
  <c r="F424" i="16"/>
  <c r="F478" i="16"/>
  <c r="F50" i="16"/>
  <c r="F149" i="16"/>
  <c r="F202" i="16"/>
  <c r="F245" i="16"/>
  <c r="F288" i="16"/>
  <c r="F330" i="16"/>
  <c r="F370" i="16"/>
  <c r="F394" i="16"/>
  <c r="F425" i="16"/>
  <c r="F456" i="16"/>
  <c r="F480" i="16"/>
  <c r="F510" i="16"/>
  <c r="F213" i="16"/>
  <c r="F298" i="16"/>
  <c r="F404" i="16"/>
  <c r="F489" i="16"/>
  <c r="F160" i="16"/>
  <c r="F210" i="16"/>
  <c r="F253" i="16"/>
  <c r="F296" i="16"/>
  <c r="F338" i="16"/>
  <c r="F372" i="16"/>
  <c r="F402" i="16"/>
  <c r="F426" i="16"/>
  <c r="F457" i="16"/>
  <c r="F488" i="16"/>
  <c r="F512" i="16"/>
  <c r="F170" i="16"/>
  <c r="F256" i="16"/>
  <c r="F341" i="16"/>
  <c r="F458" i="16"/>
  <c r="F520" i="16"/>
  <c r="F91" i="16"/>
  <c r="F95" i="16"/>
  <c r="F79" i="16"/>
  <c r="F499" i="16"/>
  <c r="F435" i="16"/>
  <c r="F371" i="16"/>
  <c r="F307" i="16"/>
  <c r="F243" i="16"/>
  <c r="F179" i="16"/>
  <c r="F821" i="16"/>
  <c r="F741" i="16"/>
  <c r="F653" i="16"/>
  <c r="F565" i="16"/>
  <c r="F86" i="16"/>
  <c r="F115" i="16"/>
  <c r="F70" i="16"/>
  <c r="F97" i="16"/>
  <c r="F96" i="16"/>
  <c r="F32" i="16"/>
  <c r="F479" i="16"/>
  <c r="F415" i="16"/>
  <c r="F351" i="16"/>
  <c r="F287" i="16"/>
  <c r="F67" i="16"/>
  <c r="F94" i="16"/>
  <c r="F30" i="16"/>
  <c r="F750" i="16"/>
  <c r="F662" i="16"/>
  <c r="F582" i="16"/>
  <c r="F543" i="16"/>
  <c r="F207" i="16"/>
  <c r="F143" i="16"/>
  <c r="F817" i="16"/>
  <c r="F753" i="16"/>
  <c r="F689" i="16"/>
  <c r="F625" i="16"/>
  <c r="F561" i="16"/>
  <c r="F807" i="16"/>
  <c r="F743" i="16"/>
  <c r="F679" i="16"/>
  <c r="F615" i="16"/>
  <c r="F546" i="16"/>
  <c r="F617" i="16"/>
  <c r="F799" i="16"/>
  <c r="F671" i="16"/>
  <c r="F607" i="16"/>
  <c r="F727" i="16"/>
  <c r="F599" i="16"/>
  <c r="F665" i="16"/>
  <c r="F655" i="16"/>
  <c r="F775" i="16"/>
  <c r="F583" i="16"/>
  <c r="F43" i="16"/>
  <c r="F774" i="16"/>
  <c r="F223" i="16"/>
  <c r="F705" i="16"/>
  <c r="F631" i="16"/>
  <c r="F379" i="16"/>
  <c r="F251" i="16"/>
  <c r="F99" i="16"/>
  <c r="F104" i="16"/>
  <c r="F423" i="16"/>
  <c r="F758" i="16"/>
  <c r="F151" i="16"/>
  <c r="F633" i="16"/>
  <c r="F559" i="16"/>
  <c r="F44" i="16"/>
  <c r="F102" i="16"/>
  <c r="F64" i="16"/>
  <c r="F491" i="16"/>
  <c r="F427" i="16"/>
  <c r="F363" i="16"/>
  <c r="F299" i="16"/>
  <c r="F235" i="16"/>
  <c r="F171" i="16"/>
  <c r="F813" i="16"/>
  <c r="F725" i="16"/>
  <c r="F645" i="16"/>
  <c r="F557" i="16"/>
  <c r="F78" i="16"/>
  <c r="F87" i="16"/>
  <c r="F62" i="16"/>
  <c r="F84" i="16"/>
  <c r="F83" i="16"/>
  <c r="F25" i="16"/>
  <c r="F471" i="16"/>
  <c r="F343" i="16"/>
  <c r="F279" i="16"/>
  <c r="F59" i="16"/>
  <c r="F88" i="16"/>
  <c r="F822" i="16"/>
  <c r="F742" i="16"/>
  <c r="F654" i="16"/>
  <c r="F566" i="16"/>
  <c r="F263" i="16"/>
  <c r="F199" i="16"/>
  <c r="F135" i="16"/>
  <c r="F809" i="16"/>
  <c r="F745" i="16"/>
  <c r="F681" i="16"/>
  <c r="F553" i="16"/>
  <c r="F735" i="16"/>
  <c r="F540" i="16"/>
  <c r="F539" i="16"/>
  <c r="F729" i="16"/>
  <c r="F719" i="16"/>
  <c r="F108" i="16"/>
  <c r="F686" i="16"/>
  <c r="F769" i="16"/>
  <c r="F823" i="16"/>
  <c r="F507" i="16"/>
  <c r="F749" i="16"/>
  <c r="F39" i="16"/>
  <c r="F75" i="16"/>
  <c r="F26" i="16"/>
  <c r="F569" i="16"/>
  <c r="F74" i="16"/>
  <c r="F47" i="16"/>
  <c r="F56" i="16"/>
  <c r="F483" i="16"/>
  <c r="F419" i="16"/>
  <c r="F355" i="16"/>
  <c r="F291" i="16"/>
  <c r="F227" i="16"/>
  <c r="F163" i="16"/>
  <c r="F805" i="16"/>
  <c r="F717" i="16"/>
  <c r="F629" i="16"/>
  <c r="F107" i="16"/>
  <c r="F71" i="16"/>
  <c r="F42" i="16"/>
  <c r="F54" i="16"/>
  <c r="F69" i="16"/>
  <c r="F76" i="16"/>
  <c r="F527" i="16"/>
  <c r="F463" i="16"/>
  <c r="F399" i="16"/>
  <c r="F335" i="16"/>
  <c r="F271" i="16"/>
  <c r="F51" i="16"/>
  <c r="F80" i="16"/>
  <c r="F814" i="16"/>
  <c r="F726" i="16"/>
  <c r="F646" i="16"/>
  <c r="F558" i="16"/>
  <c r="F255" i="16"/>
  <c r="F191" i="16"/>
  <c r="F127" i="16"/>
  <c r="F801" i="16"/>
  <c r="F737" i="16"/>
  <c r="F673" i="16"/>
  <c r="F609" i="16"/>
  <c r="F837" i="16"/>
  <c r="F791" i="16"/>
  <c r="F663" i="16"/>
  <c r="F601" i="16"/>
  <c r="F783" i="16"/>
  <c r="F591" i="16"/>
  <c r="F647" i="16"/>
  <c r="F598" i="16"/>
  <c r="F695" i="16"/>
  <c r="F443" i="16"/>
  <c r="F28" i="16"/>
  <c r="F359" i="16"/>
  <c r="F590" i="16"/>
  <c r="F697" i="16"/>
  <c r="F623" i="16"/>
  <c r="F66" i="16"/>
  <c r="F549" i="16"/>
  <c r="F29" i="16"/>
  <c r="F475" i="16"/>
  <c r="F347" i="16"/>
  <c r="F283" i="16"/>
  <c r="F219" i="16"/>
  <c r="F155" i="16"/>
  <c r="F789" i="16"/>
  <c r="F709" i="16"/>
  <c r="F621" i="16"/>
  <c r="F72" i="16"/>
  <c r="F63" i="16"/>
  <c r="F113" i="16"/>
  <c r="F34" i="16"/>
  <c r="F61" i="16"/>
  <c r="F68" i="16"/>
  <c r="F519" i="16"/>
  <c r="F455" i="16"/>
  <c r="F391" i="16"/>
  <c r="F327" i="16"/>
  <c r="F111" i="16"/>
  <c r="F45" i="16"/>
  <c r="F73" i="16"/>
  <c r="F806" i="16"/>
  <c r="F718" i="16"/>
  <c r="F630" i="16"/>
  <c r="F538" i="16"/>
  <c r="F247" i="16"/>
  <c r="F183" i="16"/>
  <c r="F119" i="16"/>
  <c r="F793" i="16"/>
  <c r="F548" i="16"/>
  <c r="F82" i="16"/>
  <c r="F544" i="16"/>
  <c r="F641" i="16"/>
  <c r="F567" i="16"/>
  <c r="F315" i="16"/>
  <c r="F661" i="16"/>
  <c r="F103" i="16"/>
  <c r="F101" i="16"/>
  <c r="F825" i="16"/>
  <c r="F687" i="16"/>
  <c r="F58" i="16"/>
  <c r="F541" i="16"/>
  <c r="F531" i="16"/>
  <c r="F467" i="16"/>
  <c r="F403" i="16"/>
  <c r="F339" i="16"/>
  <c r="F275" i="16"/>
  <c r="F211" i="16"/>
  <c r="F147" i="16"/>
  <c r="F781" i="16"/>
  <c r="F693" i="16"/>
  <c r="F613" i="16"/>
  <c r="F49" i="16"/>
  <c r="F55" i="16"/>
  <c r="F105" i="16"/>
  <c r="F100" i="16"/>
  <c r="F53" i="16"/>
  <c r="F60" i="16"/>
  <c r="F511" i="16"/>
  <c r="F447" i="16"/>
  <c r="F383" i="16"/>
  <c r="F319" i="16"/>
  <c r="F110" i="16"/>
  <c r="F24" i="16"/>
  <c r="F65" i="16"/>
  <c r="F790" i="16"/>
  <c r="F710" i="16"/>
  <c r="F622" i="16"/>
  <c r="F27" i="16"/>
  <c r="F239" i="16"/>
  <c r="F175" i="16"/>
  <c r="F537" i="16"/>
  <c r="F785" i="16"/>
  <c r="F721" i="16"/>
  <c r="F657" i="16"/>
  <c r="F593" i="16"/>
  <c r="F547" i="16"/>
  <c r="F711" i="16"/>
  <c r="F303" i="16"/>
  <c r="F159" i="16"/>
  <c r="F577" i="16"/>
  <c r="F89" i="16"/>
  <c r="F187" i="16"/>
  <c r="F85" i="16"/>
  <c r="F295" i="16"/>
  <c r="F678" i="16"/>
  <c r="F761" i="16"/>
  <c r="F751" i="16"/>
  <c r="F23" i="16"/>
  <c r="F109" i="16"/>
  <c r="F523" i="16"/>
  <c r="F459" i="16"/>
  <c r="F395" i="16"/>
  <c r="F331" i="16"/>
  <c r="F267" i="16"/>
  <c r="F203" i="16"/>
  <c r="F139" i="16"/>
  <c r="F773" i="16"/>
  <c r="F685" i="16"/>
  <c r="F597" i="16"/>
  <c r="F114" i="16"/>
  <c r="F48" i="16"/>
  <c r="F98" i="16"/>
  <c r="F36" i="16"/>
  <c r="F40" i="16"/>
  <c r="F52" i="16"/>
  <c r="F503" i="16"/>
  <c r="F439" i="16"/>
  <c r="F375" i="16"/>
  <c r="F311" i="16"/>
  <c r="F90" i="16"/>
  <c r="F116" i="16"/>
  <c r="F57" i="16"/>
  <c r="F782" i="16"/>
  <c r="F694" i="16"/>
  <c r="F614" i="16"/>
  <c r="F550" i="16"/>
  <c r="F231" i="16"/>
  <c r="F167" i="16"/>
  <c r="F542" i="16"/>
  <c r="F777" i="16"/>
  <c r="F713" i="16"/>
  <c r="F649" i="16"/>
  <c r="F585" i="16"/>
  <c r="F831" i="16"/>
  <c r="F767" i="16"/>
  <c r="F703" i="16"/>
  <c r="F639" i="16"/>
  <c r="F575" i="16"/>
  <c r="F367" i="16"/>
  <c r="F833" i="16"/>
  <c r="F759" i="16"/>
  <c r="F38" i="16"/>
  <c r="F581" i="16"/>
  <c r="F487" i="16"/>
  <c r="F37" i="16"/>
  <c r="F215" i="16"/>
  <c r="F815" i="16"/>
  <c r="F81" i="16"/>
  <c r="F77" i="16"/>
  <c r="F515" i="16"/>
  <c r="F451" i="16"/>
  <c r="F387" i="16"/>
  <c r="F323" i="16"/>
  <c r="F259" i="16"/>
  <c r="F195" i="16"/>
  <c r="F131" i="16"/>
  <c r="F757" i="16"/>
  <c r="F677" i="16"/>
  <c r="F589" i="16"/>
  <c r="F106" i="16"/>
  <c r="F35" i="16"/>
  <c r="F92" i="16"/>
  <c r="F112" i="16"/>
  <c r="F33" i="16"/>
  <c r="F46" i="16"/>
  <c r="F495" i="16"/>
  <c r="F431" i="16"/>
  <c r="F22" i="14"/>
  <c r="F22" i="16"/>
  <c r="N122" i="20"/>
  <c r="N114" i="20"/>
  <c r="N106" i="20"/>
  <c r="N98" i="20"/>
  <c r="N90" i="20"/>
  <c r="N81" i="20"/>
  <c r="N129" i="20"/>
  <c r="N121" i="20"/>
  <c r="N113" i="20"/>
  <c r="N105" i="20"/>
  <c r="N97" i="20"/>
  <c r="N89" i="20"/>
  <c r="N80" i="20"/>
  <c r="N95" i="20"/>
  <c r="N93" i="20"/>
  <c r="N71" i="20"/>
  <c r="N128" i="20"/>
  <c r="N120" i="20"/>
  <c r="N112" i="20"/>
  <c r="N104" i="20"/>
  <c r="N96" i="20"/>
  <c r="N88" i="20"/>
  <c r="N78" i="20"/>
  <c r="N111" i="20"/>
  <c r="N87" i="20"/>
  <c r="N85" i="20"/>
  <c r="N127" i="20"/>
  <c r="N119" i="20"/>
  <c r="N103" i="20"/>
  <c r="N77" i="20"/>
  <c r="N101" i="20"/>
  <c r="N126" i="20"/>
  <c r="N118" i="20"/>
  <c r="N110" i="20"/>
  <c r="N102" i="20"/>
  <c r="N94" i="20"/>
  <c r="N86" i="20"/>
  <c r="N76" i="20"/>
  <c r="N125" i="20"/>
  <c r="N117" i="20"/>
  <c r="N109" i="20"/>
  <c r="N74" i="20"/>
  <c r="N83" i="20"/>
  <c r="N124" i="20"/>
  <c r="N116" i="20"/>
  <c r="N108" i="20"/>
  <c r="N100" i="20"/>
  <c r="N92" i="20"/>
  <c r="N84" i="20"/>
  <c r="N72" i="20"/>
  <c r="N123" i="20"/>
  <c r="N115" i="20"/>
  <c r="N107" i="20"/>
  <c r="N99" i="20"/>
  <c r="N91" i="20"/>
  <c r="C12" i="19"/>
  <c r="D40" i="20"/>
  <c r="O40" i="20"/>
  <c r="H40" i="20"/>
  <c r="C13" i="19"/>
  <c r="D41" i="20"/>
  <c r="O41" i="20"/>
  <c r="H41" i="20"/>
  <c r="C14" i="19"/>
  <c r="D42" i="20"/>
  <c r="O42" i="20"/>
  <c r="H42" i="20"/>
  <c r="C15" i="19"/>
  <c r="D43" i="20"/>
  <c r="O43" i="20"/>
  <c r="H43" i="20"/>
  <c r="C16" i="19"/>
  <c r="D44" i="20"/>
  <c r="O44" i="20"/>
  <c r="H44" i="20"/>
  <c r="C17" i="19"/>
  <c r="D45" i="20"/>
  <c r="O45" i="20"/>
  <c r="H45" i="20"/>
  <c r="D46" i="20"/>
  <c r="C18" i="19"/>
  <c r="O46" i="20"/>
  <c r="H46" i="20"/>
  <c r="D47" i="20"/>
  <c r="C19" i="19"/>
  <c r="O47" i="20"/>
  <c r="H47" i="20"/>
  <c r="D48" i="20"/>
  <c r="C20" i="19"/>
  <c r="O48" i="20"/>
  <c r="H48" i="20"/>
  <c r="D49" i="20"/>
  <c r="C21" i="19"/>
  <c r="O49" i="20"/>
  <c r="H49" i="20"/>
  <c r="D50" i="20"/>
  <c r="C22" i="19"/>
  <c r="O50" i="20"/>
  <c r="H50" i="20"/>
  <c r="C23" i="19"/>
  <c r="D51" i="20"/>
  <c r="O51" i="20"/>
  <c r="H51" i="20"/>
  <c r="D52" i="20"/>
  <c r="C24" i="19"/>
  <c r="O52" i="20"/>
  <c r="H52" i="20"/>
  <c r="D53" i="20"/>
  <c r="C25" i="19"/>
  <c r="O53" i="20"/>
  <c r="H53" i="20"/>
  <c r="D54" i="20"/>
  <c r="C26" i="19"/>
  <c r="O54" i="20"/>
  <c r="H54" i="20"/>
  <c r="C27" i="19"/>
  <c r="D55" i="20"/>
  <c r="O55" i="20"/>
  <c r="H55" i="20"/>
  <c r="C28" i="19"/>
  <c r="D56" i="20"/>
  <c r="O56" i="20"/>
  <c r="H56" i="20"/>
  <c r="D57" i="20"/>
  <c r="C29" i="19"/>
  <c r="O57" i="20"/>
  <c r="H57" i="20"/>
  <c r="C30" i="19"/>
  <c r="D58" i="20"/>
  <c r="O58" i="20"/>
  <c r="H58" i="20"/>
  <c r="D59" i="20"/>
  <c r="C31" i="19"/>
  <c r="O59" i="20"/>
  <c r="H59" i="20"/>
  <c r="C32" i="19"/>
  <c r="D60" i="20"/>
  <c r="H60" i="20"/>
  <c r="C33" i="19"/>
  <c r="D61" i="20"/>
  <c r="H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F118" i="20"/>
  <c r="E118" i="20"/>
  <c r="U118" i="20"/>
  <c r="R118" i="20"/>
  <c r="G118" i="20"/>
  <c r="C91" i="19"/>
  <c r="D119" i="20"/>
  <c r="H119" i="20"/>
  <c r="U119" i="20"/>
  <c r="R119" i="20"/>
  <c r="G119" i="20"/>
  <c r="E119" i="20"/>
  <c r="F119" i="20"/>
  <c r="C92" i="19"/>
  <c r="D120" i="20"/>
  <c r="H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F126" i="20"/>
  <c r="R126" i="20"/>
  <c r="E126" i="20"/>
  <c r="U126" i="20"/>
  <c r="G126" i="20"/>
  <c r="C99" i="19"/>
  <c r="D127" i="20"/>
  <c r="H127" i="20"/>
  <c r="U127" i="20"/>
  <c r="G127" i="20"/>
  <c r="E127" i="20"/>
  <c r="F127" i="20"/>
  <c r="R127" i="20"/>
  <c r="C100" i="19"/>
  <c r="D128" i="20"/>
  <c r="H128" i="20"/>
  <c r="F128" i="20"/>
  <c r="U128" i="20"/>
  <c r="E128" i="20"/>
  <c r="R128" i="20"/>
  <c r="G128" i="20"/>
  <c r="C101" i="19"/>
  <c r="D129" i="20"/>
  <c r="H129" i="20"/>
  <c r="D18" i="22"/>
  <c r="R129" i="20"/>
  <c r="G129" i="20"/>
  <c r="E129" i="20"/>
  <c r="F129" i="20"/>
  <c r="U129" i="20"/>
  <c r="C102" i="19"/>
  <c r="R39" i="20"/>
  <c r="U39" i="20"/>
  <c r="U40" i="20"/>
  <c r="R40"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N79" i="20"/>
  <c r="U54" i="20"/>
  <c r="R54" i="20"/>
  <c r="R55" i="20"/>
  <c r="U55" i="20"/>
  <c r="U56" i="20"/>
  <c r="R56" i="20"/>
  <c r="R57" i="20"/>
  <c r="U57" i="20"/>
  <c r="R58" i="20"/>
  <c r="U58" i="20"/>
  <c r="R59" i="20"/>
  <c r="U59" i="20"/>
  <c r="U60" i="20"/>
  <c r="U61" i="20"/>
  <c r="R60" i="20"/>
  <c r="R61" i="20"/>
  <c r="N67" i="20"/>
  <c r="U96" i="20"/>
  <c r="R96" i="20"/>
  <c r="G96" i="20"/>
  <c r="F96" i="20"/>
  <c r="N68" i="20"/>
  <c r="R97" i="20"/>
  <c r="U97" i="20"/>
  <c r="F97" i="20"/>
  <c r="G97" i="20"/>
  <c r="H62" i="20"/>
  <c r="R62" i="20"/>
  <c r="U62" i="20"/>
  <c r="H63" i="20"/>
  <c r="R63" i="20"/>
  <c r="U63" i="20"/>
  <c r="O61" i="20"/>
  <c r="N75" i="20"/>
  <c r="H64" i="20"/>
  <c r="R64" i="20"/>
  <c r="U64" i="20"/>
  <c r="O60" i="20"/>
  <c r="N82" i="20"/>
  <c r="H65" i="20"/>
  <c r="R65" i="20"/>
  <c r="U65" i="20"/>
  <c r="C65" i="20"/>
  <c r="C64" i="20"/>
  <c r="C63" i="20"/>
  <c r="O64" i="20"/>
  <c r="C67" i="20"/>
  <c r="N70" i="20"/>
  <c r="C62" i="20"/>
  <c r="O63" i="20"/>
  <c r="C68" i="20"/>
  <c r="N73" i="20"/>
  <c r="N65" i="20"/>
  <c r="N66" i="20"/>
  <c r="N69" i="20"/>
  <c r="O62" i="20"/>
  <c r="C61" i="20"/>
  <c r="C69" i="20"/>
  <c r="O68" i="20"/>
  <c r="C60" i="20"/>
  <c r="C70" i="20"/>
  <c r="C59" i="20"/>
  <c r="C71" i="20"/>
  <c r="C58" i="20"/>
  <c r="C72" i="20"/>
  <c r="C57" i="20"/>
  <c r="O72" i="20"/>
  <c r="C73" i="20"/>
  <c r="C56" i="20"/>
  <c r="C74" i="20"/>
  <c r="C55" i="20"/>
  <c r="C75" i="20"/>
  <c r="C54" i="20"/>
  <c r="C76" i="20"/>
  <c r="C53" i="20"/>
  <c r="O76" i="20"/>
  <c r="C77" i="20"/>
  <c r="C52" i="20"/>
  <c r="C78" i="20"/>
  <c r="O77" i="20"/>
  <c r="C51" i="20"/>
  <c r="C79" i="20"/>
  <c r="O78" i="20"/>
  <c r="O75" i="20"/>
  <c r="C50" i="20"/>
  <c r="C80" i="20"/>
  <c r="C49" i="20"/>
  <c r="O80" i="20"/>
  <c r="C81" i="20"/>
  <c r="C48" i="20"/>
  <c r="O81" i="20"/>
  <c r="C82" i="20"/>
  <c r="C47" i="20"/>
  <c r="C83" i="20"/>
  <c r="O82" i="20"/>
  <c r="C46" i="20"/>
  <c r="O83" i="20"/>
  <c r="C84" i="20"/>
  <c r="C45" i="20"/>
  <c r="C85" i="20"/>
  <c r="C44" i="20"/>
  <c r="C86" i="20"/>
  <c r="O85" i="20"/>
  <c r="C43" i="20"/>
  <c r="O86" i="20"/>
  <c r="C87" i="20"/>
  <c r="C42" i="20"/>
  <c r="C88" i="20"/>
  <c r="C41" i="20"/>
  <c r="C89" i="20"/>
  <c r="O88" i="20"/>
  <c r="C40" i="20"/>
  <c r="C90" i="20"/>
  <c r="C39" i="20"/>
  <c r="O90" i="20"/>
  <c r="C91" i="20"/>
  <c r="C92" i="20"/>
  <c r="O91" i="20"/>
  <c r="C93" i="20"/>
  <c r="O92" i="20"/>
  <c r="C94" i="20"/>
  <c r="O93" i="20"/>
  <c r="O94" i="20"/>
  <c r="C95" i="20"/>
  <c r="O87" i="20"/>
  <c r="O70" i="20"/>
  <c r="O95" i="20"/>
  <c r="C96" i="20"/>
  <c r="C97" i="20"/>
  <c r="O96" i="20"/>
  <c r="C98" i="20"/>
  <c r="O97" i="20"/>
  <c r="O98" i="20"/>
  <c r="C99" i="20"/>
  <c r="C100" i="20"/>
  <c r="O99" i="20"/>
  <c r="C101" i="20"/>
  <c r="O100" i="20"/>
  <c r="O101" i="20"/>
  <c r="C102" i="20"/>
  <c r="C103" i="20"/>
  <c r="O102" i="20"/>
  <c r="C104" i="20"/>
  <c r="O103" i="20"/>
  <c r="C105" i="20"/>
  <c r="O104" i="20"/>
  <c r="O105" i="20"/>
  <c r="C106" i="20"/>
  <c r="C107" i="20"/>
  <c r="G27" i="25"/>
  <c r="O106" i="20"/>
  <c r="C108" i="20"/>
  <c r="O107" i="20"/>
  <c r="C109" i="20"/>
  <c r="O108" i="20"/>
  <c r="C110" i="20"/>
  <c r="O109" i="20"/>
  <c r="O74" i="20"/>
  <c r="C111" i="20"/>
  <c r="O110" i="20"/>
  <c r="C112" i="20"/>
  <c r="O111" i="20"/>
  <c r="O112" i="20"/>
  <c r="C113" i="20"/>
  <c r="C114" i="20"/>
  <c r="O113" i="20"/>
  <c r="O114" i="20"/>
  <c r="C115" i="20"/>
  <c r="C116" i="20"/>
  <c r="O115" i="20"/>
  <c r="C117" i="20"/>
  <c r="O116" i="20"/>
  <c r="C118" i="20"/>
  <c r="O117" i="20"/>
  <c r="C119" i="20"/>
  <c r="O118" i="20"/>
  <c r="C120" i="20"/>
  <c r="O119" i="20"/>
  <c r="C121" i="20"/>
  <c r="O120" i="20"/>
  <c r="C122" i="20"/>
  <c r="O121" i="20"/>
  <c r="O122" i="20"/>
  <c r="C123" i="20"/>
  <c r="O123" i="20"/>
  <c r="C124" i="20"/>
  <c r="C125" i="20"/>
  <c r="O124" i="20"/>
  <c r="C126" i="20"/>
  <c r="O125" i="20"/>
  <c r="C127" i="20"/>
  <c r="O126" i="20"/>
  <c r="O67" i="20"/>
  <c r="C128" i="20"/>
  <c r="O127" i="20"/>
  <c r="O66" i="20"/>
  <c r="O65" i="20"/>
  <c r="O69" i="20"/>
  <c r="O128" i="20"/>
  <c r="C129" i="20"/>
  <c r="O129" i="20"/>
  <c r="O73" i="20"/>
  <c r="O79" i="20"/>
  <c r="O71" i="20"/>
  <c r="O84" i="20"/>
  <c r="O89" i="20"/>
  <c r="M43" i="22"/>
  <c r="Q71" i="20"/>
  <c r="R71" i="20"/>
  <c r="O29" i="20"/>
  <c r="K20" i="20"/>
  <c r="M40" i="22"/>
  <c r="Q68" i="20"/>
  <c r="R68" i="20"/>
  <c r="M44" i="22"/>
  <c r="Q72" i="20"/>
  <c r="R72" i="20"/>
  <c r="M48" i="22"/>
  <c r="Q76" i="20"/>
  <c r="R76" i="20"/>
  <c r="M52" i="22"/>
  <c r="Q80" i="20"/>
  <c r="R80" i="20"/>
  <c r="M56" i="22"/>
  <c r="Q84" i="20"/>
  <c r="R84" i="20"/>
  <c r="AE79" i="19"/>
  <c r="AH74" i="19"/>
  <c r="AE94" i="19"/>
  <c r="P72" i="19"/>
  <c r="AB101" i="19"/>
  <c r="V90" i="19"/>
  <c r="V95" i="19"/>
  <c r="P89" i="19"/>
  <c r="AB96" i="19"/>
  <c r="V102" i="19"/>
  <c r="V92" i="19"/>
  <c r="V91" i="19"/>
  <c r="V96" i="19"/>
  <c r="AB82" i="19"/>
  <c r="P102" i="19"/>
  <c r="AB76" i="19"/>
  <c r="P94" i="19"/>
  <c r="AB92" i="19"/>
  <c r="S81" i="19"/>
  <c r="S79" i="19"/>
  <c r="S89" i="19"/>
  <c r="AB98" i="19"/>
  <c r="V73" i="19"/>
  <c r="AB71" i="19"/>
  <c r="AE99" i="19"/>
  <c r="AH82" i="19"/>
  <c r="P98" i="19"/>
  <c r="P96" i="19"/>
  <c r="P90" i="19"/>
  <c r="Y99" i="19"/>
  <c r="S83" i="19"/>
  <c r="AE71" i="19"/>
  <c r="P87" i="19"/>
  <c r="AH98" i="19"/>
  <c r="P86" i="19"/>
  <c r="AH95" i="19"/>
  <c r="AE78" i="19"/>
  <c r="Y89" i="19"/>
  <c r="P71" i="19"/>
  <c r="P77" i="19"/>
  <c r="AE88" i="19"/>
  <c r="P78" i="19"/>
  <c r="S75" i="19"/>
  <c r="AB88" i="19"/>
  <c r="AE77" i="19"/>
  <c r="AE92" i="19"/>
  <c r="AE89" i="19"/>
  <c r="AH84" i="19"/>
  <c r="AH71" i="19"/>
  <c r="V101" i="19"/>
  <c r="AB93" i="19"/>
  <c r="AH89" i="19"/>
  <c r="AE76" i="19"/>
  <c r="AH101" i="19"/>
  <c r="Y76" i="19"/>
  <c r="S85" i="19"/>
  <c r="V98" i="19"/>
  <c r="S82" i="19"/>
  <c r="S76" i="19"/>
  <c r="M38" i="22"/>
  <c r="Q66" i="20"/>
  <c r="R66" i="20"/>
  <c r="M50" i="22"/>
  <c r="Q78" i="20"/>
  <c r="R78" i="20"/>
  <c r="M54" i="22"/>
  <c r="Q82" i="20"/>
  <c r="R82" i="20"/>
  <c r="M58" i="22"/>
  <c r="Q86" i="20"/>
  <c r="R86" i="20"/>
  <c r="M47" i="22"/>
  <c r="Q75" i="20"/>
  <c r="R75" i="20"/>
  <c r="M51" i="22"/>
  <c r="Q79" i="20"/>
  <c r="R79" i="20"/>
  <c r="M59" i="22"/>
  <c r="Q87" i="20"/>
  <c r="R87" i="20"/>
  <c r="M41" i="22"/>
  <c r="Q69" i="20"/>
  <c r="R69" i="20"/>
  <c r="M45" i="22"/>
  <c r="Q73" i="20"/>
  <c r="R73" i="20"/>
  <c r="M49" i="22"/>
  <c r="Q77" i="20"/>
  <c r="R77" i="20"/>
  <c r="M53" i="22"/>
  <c r="Q81" i="20"/>
  <c r="R81" i="20"/>
  <c r="M57" i="22"/>
  <c r="Q85" i="20"/>
  <c r="R85" i="20"/>
  <c r="M42" i="22"/>
  <c r="Q70" i="20"/>
  <c r="R70" i="20"/>
  <c r="M46" i="22"/>
  <c r="Q74" i="20"/>
  <c r="R74" i="20"/>
  <c r="E38" i="22"/>
  <c r="G40" i="22"/>
  <c r="S101" i="19"/>
  <c r="Y101" i="19"/>
  <c r="P85" i="19"/>
  <c r="Y90" i="19"/>
  <c r="AB83" i="19"/>
  <c r="Y84" i="19"/>
  <c r="AB78" i="19"/>
  <c r="S98" i="19"/>
  <c r="AB79" i="19"/>
  <c r="Y73" i="19"/>
  <c r="V69" i="19"/>
  <c r="Y70" i="19"/>
  <c r="AB85" i="19"/>
  <c r="AB80" i="19"/>
  <c r="S71" i="19"/>
  <c r="AB81" i="19"/>
  <c r="AH83" i="19"/>
  <c r="P75" i="19"/>
  <c r="AH77" i="19"/>
  <c r="V72" i="19"/>
  <c r="AH88" i="19"/>
  <c r="AB102" i="19"/>
  <c r="Y74" i="19"/>
  <c r="S73" i="19"/>
  <c r="AE70" i="19"/>
  <c r="AH75" i="19"/>
  <c r="AE90" i="19"/>
  <c r="S91" i="19"/>
  <c r="AE102" i="19"/>
  <c r="V81" i="19"/>
  <c r="F38" i="22"/>
  <c r="S90" i="19"/>
  <c r="Y78" i="19"/>
  <c r="P81" i="19"/>
  <c r="AH85" i="19"/>
  <c r="V80" i="19"/>
  <c r="AH96" i="19"/>
  <c r="V75" i="19"/>
  <c r="AH73" i="19"/>
  <c r="V76" i="19"/>
  <c r="AE73" i="19"/>
  <c r="Y80" i="19"/>
  <c r="AH94" i="19"/>
  <c r="V93" i="19"/>
  <c r="AE83" i="19"/>
  <c r="P84" i="19"/>
  <c r="AB69" i="19"/>
  <c r="AE80" i="19"/>
  <c r="V87" i="19"/>
  <c r="Y81" i="19"/>
  <c r="V74" i="19"/>
  <c r="Y75" i="19"/>
  <c r="S100" i="19"/>
  <c r="AE101" i="19"/>
  <c r="S102" i="19"/>
  <c r="AE95" i="19"/>
  <c r="Y85" i="19"/>
  <c r="AE91" i="19"/>
  <c r="AH91" i="19"/>
  <c r="AB77" i="19"/>
  <c r="AH70" i="19"/>
  <c r="V94" i="19"/>
  <c r="P93" i="19"/>
  <c r="AH76" i="19"/>
  <c r="Y83" i="19"/>
  <c r="AB90" i="19"/>
  <c r="S92" i="19"/>
  <c r="AE81" i="19"/>
  <c r="AB75" i="19"/>
  <c r="S72" i="19"/>
  <c r="Y100" i="19"/>
  <c r="AE84" i="19"/>
  <c r="S69" i="19"/>
  <c r="V99" i="19"/>
  <c r="S93" i="19"/>
  <c r="AH97" i="19"/>
  <c r="P99" i="19"/>
  <c r="V100" i="19"/>
  <c r="P95" i="19"/>
  <c r="P83" i="19"/>
  <c r="S80" i="19"/>
  <c r="V77" i="19"/>
  <c r="AH79" i="19"/>
  <c r="V70" i="19"/>
  <c r="S99" i="19"/>
  <c r="P69" i="19"/>
  <c r="V89" i="19"/>
  <c r="Y88" i="19"/>
  <c r="AE82" i="19"/>
  <c r="AH87" i="19"/>
  <c r="E54" i="22"/>
  <c r="V85" i="19"/>
  <c r="AB89" i="19"/>
  <c r="AE87" i="19"/>
  <c r="AH92" i="19"/>
  <c r="P88" i="19"/>
  <c r="V71" i="19"/>
  <c r="AE74" i="19"/>
  <c r="AE97" i="19"/>
  <c r="AB91" i="19"/>
  <c r="S78" i="19"/>
  <c r="AH72" i="19"/>
  <c r="AE100" i="19"/>
  <c r="AB86" i="19"/>
  <c r="S95" i="19"/>
  <c r="Y98" i="19"/>
  <c r="AE85" i="19"/>
  <c r="AB87" i="19"/>
  <c r="S97" i="19"/>
  <c r="Y69" i="19"/>
  <c r="P101" i="19"/>
  <c r="Y102" i="19"/>
  <c r="P91" i="19"/>
  <c r="V97" i="19"/>
  <c r="AB72" i="19"/>
  <c r="Y93" i="19"/>
  <c r="Y95" i="19"/>
  <c r="P97" i="19"/>
  <c r="V86" i="19"/>
  <c r="AE98" i="19"/>
  <c r="AH86" i="19"/>
  <c r="G9" i="19"/>
  <c r="G53" i="22"/>
  <c r="AB97" i="19"/>
  <c r="AB73" i="19"/>
  <c r="AH99" i="19"/>
  <c r="AH100" i="19"/>
  <c r="P74" i="19"/>
  <c r="V79" i="19"/>
  <c r="AH69" i="19"/>
  <c r="Y97" i="19"/>
  <c r="AB99" i="19"/>
  <c r="S94" i="19"/>
  <c r="AH80" i="19"/>
  <c r="Y91" i="19"/>
  <c r="AB94" i="19"/>
  <c r="S84" i="19"/>
  <c r="Y82" i="19"/>
  <c r="AE93" i="19"/>
  <c r="AB95" i="19"/>
  <c r="S86" i="19"/>
  <c r="AB70" i="19"/>
  <c r="Y79" i="19"/>
  <c r="AE69" i="19"/>
  <c r="P76" i="19"/>
  <c r="P100" i="19"/>
  <c r="Y87" i="19"/>
  <c r="S70" i="19"/>
  <c r="AE86" i="19"/>
  <c r="P92" i="19"/>
  <c r="AB100" i="19"/>
  <c r="Y96" i="19"/>
  <c r="Y77" i="19"/>
  <c r="G52" i="22"/>
  <c r="S74" i="19"/>
  <c r="P73" i="19"/>
  <c r="Y92" i="19"/>
  <c r="AE96" i="19"/>
  <c r="AB74" i="19"/>
  <c r="S87" i="19"/>
  <c r="AH93" i="19"/>
  <c r="P70" i="19"/>
  <c r="V88" i="19"/>
  <c r="S77" i="19"/>
  <c r="Y71" i="19"/>
  <c r="P80" i="19"/>
  <c r="V83" i="19"/>
  <c r="V82" i="19"/>
  <c r="AH81" i="19"/>
  <c r="P82" i="19"/>
  <c r="V84" i="19"/>
  <c r="P79" i="19"/>
  <c r="V78" i="19"/>
  <c r="AH102" i="19"/>
  <c r="S96" i="19"/>
  <c r="AE75" i="19"/>
  <c r="S88" i="19"/>
  <c r="AH78" i="19"/>
  <c r="AB84" i="19"/>
  <c r="Y86" i="19"/>
  <c r="AH90" i="19"/>
  <c r="Y72" i="19"/>
  <c r="AE72" i="19"/>
  <c r="Y94" i="19"/>
  <c r="AP18" i="19"/>
  <c r="E53" i="22"/>
  <c r="E39" i="22"/>
  <c r="E42" i="22"/>
  <c r="E58" i="22"/>
  <c r="E44" i="22"/>
  <c r="E60" i="22"/>
  <c r="E45" i="22"/>
  <c r="E61" i="22"/>
  <c r="E46" i="22"/>
  <c r="E62" i="22"/>
  <c r="E50" i="22"/>
  <c r="E66" i="22"/>
  <c r="E52" i="22"/>
  <c r="G63" i="22"/>
  <c r="G47" i="22"/>
  <c r="G62" i="22"/>
  <c r="G46" i="22"/>
  <c r="G61" i="22"/>
  <c r="G45" i="22"/>
  <c r="G60" i="22"/>
  <c r="G44" i="22"/>
  <c r="G55" i="22"/>
  <c r="G39" i="22"/>
  <c r="G54" i="22"/>
  <c r="G38" i="22"/>
  <c r="G67" i="22"/>
  <c r="G59" i="22"/>
  <c r="G51" i="22"/>
  <c r="G43" i="22"/>
  <c r="G66" i="22"/>
  <c r="G58" i="22"/>
  <c r="G50" i="22"/>
  <c r="G42" i="22"/>
  <c r="G65" i="22"/>
  <c r="G57" i="22"/>
  <c r="G49" i="22"/>
  <c r="G41" i="22"/>
  <c r="G64" i="22"/>
  <c r="G56" i="22"/>
  <c r="G48" i="22"/>
  <c r="E67" i="22"/>
  <c r="E59" i="22"/>
  <c r="E51" i="22"/>
  <c r="E43" i="22"/>
  <c r="E65" i="22"/>
  <c r="E57" i="22"/>
  <c r="E49" i="22"/>
  <c r="E41" i="22"/>
  <c r="E64" i="22"/>
  <c r="E56" i="22"/>
  <c r="E48" i="22"/>
  <c r="E40" i="22"/>
  <c r="E63" i="22"/>
  <c r="E55" i="22"/>
  <c r="E47" i="22"/>
  <c r="M60" i="22"/>
  <c r="Q88" i="20"/>
  <c r="R88" i="20"/>
  <c r="H38" i="22"/>
  <c r="T66" i="20"/>
  <c r="U66" i="20"/>
  <c r="F55" i="22"/>
  <c r="D55" i="22"/>
  <c r="E60" i="20"/>
  <c r="E52" i="20"/>
  <c r="E59" i="20"/>
  <c r="E51" i="20"/>
  <c r="F53" i="22"/>
  <c r="D53" i="22"/>
  <c r="D63" i="22"/>
  <c r="F63" i="22"/>
  <c r="E89" i="20"/>
  <c r="F46" i="22"/>
  <c r="D46" i="22"/>
  <c r="E81" i="20"/>
  <c r="F45" i="22"/>
  <c r="D45" i="22"/>
  <c r="F61" i="22"/>
  <c r="D61" i="22"/>
  <c r="D59" i="22"/>
  <c r="F59" i="22"/>
  <c r="D57" i="22"/>
  <c r="F57" i="22"/>
  <c r="F39" i="22"/>
  <c r="D39" i="22"/>
  <c r="D42" i="22"/>
  <c r="F42" i="22"/>
  <c r="D65" i="22"/>
  <c r="F65" i="22"/>
  <c r="D51" i="22"/>
  <c r="F51" i="22"/>
  <c r="D49" i="22"/>
  <c r="F49" i="22"/>
  <c r="D62" i="22"/>
  <c r="F62" i="22"/>
  <c r="D44" i="22"/>
  <c r="F44" i="22"/>
  <c r="D43" i="22"/>
  <c r="F43" i="22"/>
  <c r="D41" i="22"/>
  <c r="F41" i="22"/>
  <c r="F54" i="22"/>
  <c r="D54" i="22"/>
  <c r="F66" i="22"/>
  <c r="D66" i="22"/>
  <c r="D64" i="22"/>
  <c r="F64" i="22"/>
  <c r="D40" i="22"/>
  <c r="F40" i="22"/>
  <c r="F60" i="22"/>
  <c r="D60" i="22"/>
  <c r="F58" i="22"/>
  <c r="D58" i="22"/>
  <c r="D56" i="22"/>
  <c r="F56" i="22"/>
  <c r="D47" i="22"/>
  <c r="F47" i="22"/>
  <c r="D67" i="22"/>
  <c r="F67" i="22"/>
  <c r="F52" i="22"/>
  <c r="D52" i="22"/>
  <c r="F50" i="22"/>
  <c r="D50" i="22"/>
  <c r="F48" i="22"/>
  <c r="D48" i="22"/>
  <c r="H43" i="22"/>
  <c r="T71" i="20"/>
  <c r="U71" i="20"/>
  <c r="H53" i="22"/>
  <c r="T81" i="20"/>
  <c r="U81" i="20"/>
  <c r="K62" i="22"/>
  <c r="M61" i="22"/>
  <c r="Q89" i="20"/>
  <c r="R89" i="20"/>
  <c r="H65" i="22"/>
  <c r="T93" i="20"/>
  <c r="U93" i="20"/>
  <c r="H57" i="22"/>
  <c r="T85" i="20"/>
  <c r="U85" i="20"/>
  <c r="H41" i="22"/>
  <c r="T69" i="20"/>
  <c r="U69" i="20"/>
  <c r="H51" i="22"/>
  <c r="T79" i="20"/>
  <c r="U79" i="20"/>
  <c r="H64" i="22"/>
  <c r="T92" i="20"/>
  <c r="U92" i="20"/>
  <c r="H45" i="22"/>
  <c r="T73" i="20"/>
  <c r="U73" i="20"/>
  <c r="H63" i="22"/>
  <c r="T91" i="20"/>
  <c r="U91" i="20"/>
  <c r="H55" i="22"/>
  <c r="T83" i="20"/>
  <c r="U83" i="20"/>
  <c r="E43" i="20"/>
  <c r="G43" i="20"/>
  <c r="H39" i="22"/>
  <c r="T67" i="20"/>
  <c r="U67" i="20"/>
  <c r="H62" i="22"/>
  <c r="T90" i="20"/>
  <c r="U90" i="20"/>
  <c r="H59" i="22"/>
  <c r="T87" i="20"/>
  <c r="U87" i="20"/>
  <c r="H61" i="22"/>
  <c r="T89" i="20"/>
  <c r="U89" i="20"/>
  <c r="H46" i="22"/>
  <c r="T74" i="20"/>
  <c r="U74" i="20"/>
  <c r="H54" i="22"/>
  <c r="T82" i="20"/>
  <c r="U82" i="20"/>
  <c r="H42" i="22"/>
  <c r="T70" i="20"/>
  <c r="U70" i="20"/>
  <c r="E44" i="20"/>
  <c r="F44" i="20"/>
  <c r="H56" i="22"/>
  <c r="T84" i="20"/>
  <c r="U84" i="20"/>
  <c r="H44" i="22"/>
  <c r="T72" i="20"/>
  <c r="U72" i="20"/>
  <c r="H66" i="22"/>
  <c r="T94" i="20"/>
  <c r="U94" i="20"/>
  <c r="H67" i="22"/>
  <c r="T95" i="20"/>
  <c r="U95" i="20"/>
  <c r="H49" i="22"/>
  <c r="T77" i="20"/>
  <c r="U77" i="20"/>
  <c r="H47" i="22"/>
  <c r="T75" i="20"/>
  <c r="U75" i="20"/>
  <c r="H50" i="22"/>
  <c r="T78" i="20"/>
  <c r="U78" i="20"/>
  <c r="H48" i="22"/>
  <c r="T76" i="20"/>
  <c r="U76" i="20"/>
  <c r="E73" i="20"/>
  <c r="G73" i="20"/>
  <c r="H40" i="22"/>
  <c r="T68" i="20"/>
  <c r="U68" i="20"/>
  <c r="E39" i="20"/>
  <c r="E40" i="20"/>
  <c r="E57" i="20"/>
  <c r="E95" i="20"/>
  <c r="E82" i="20"/>
  <c r="F59" i="20"/>
  <c r="G59" i="20"/>
  <c r="H60" i="22"/>
  <c r="T88" i="20"/>
  <c r="U88" i="20"/>
  <c r="E91" i="20"/>
  <c r="E47" i="20"/>
  <c r="E48" i="20"/>
  <c r="E65" i="20"/>
  <c r="H52" i="22"/>
  <c r="T80" i="20"/>
  <c r="U80" i="20"/>
  <c r="E90" i="20"/>
  <c r="E88" i="20"/>
  <c r="E55" i="20"/>
  <c r="G52" i="20"/>
  <c r="F52" i="20"/>
  <c r="E56" i="20"/>
  <c r="E70" i="20"/>
  <c r="E42" i="20"/>
  <c r="E74" i="20"/>
  <c r="E78" i="20"/>
  <c r="E50" i="20"/>
  <c r="E45" i="20"/>
  <c r="E54" i="20"/>
  <c r="E68" i="20"/>
  <c r="E69" i="20"/>
  <c r="E86" i="20"/>
  <c r="E72" i="20"/>
  <c r="E58" i="20"/>
  <c r="E63" i="20"/>
  <c r="E76" i="20"/>
  <c r="E77" i="20"/>
  <c r="H89" i="20"/>
  <c r="F89" i="20"/>
  <c r="G89" i="20"/>
  <c r="E94" i="20"/>
  <c r="E71" i="20"/>
  <c r="E80" i="20"/>
  <c r="E46" i="20"/>
  <c r="E64" i="20"/>
  <c r="F51" i="20"/>
  <c r="G51" i="20"/>
  <c r="E53" i="20"/>
  <c r="E62" i="20"/>
  <c r="E61" i="20"/>
  <c r="E67" i="20"/>
  <c r="E84" i="20"/>
  <c r="E85" i="20"/>
  <c r="E41" i="20"/>
  <c r="E79" i="20"/>
  <c r="H81" i="20"/>
  <c r="G81" i="20"/>
  <c r="F81" i="20"/>
  <c r="E83" i="20"/>
  <c r="E66" i="20"/>
  <c r="H58" i="22"/>
  <c r="T86" i="20"/>
  <c r="U86" i="20"/>
  <c r="E75" i="20"/>
  <c r="F60" i="20"/>
  <c r="G60" i="20"/>
  <c r="E92" i="20"/>
  <c r="E93" i="20"/>
  <c r="E49" i="20"/>
  <c r="E87" i="20"/>
  <c r="K63" i="22"/>
  <c r="M62" i="22"/>
  <c r="Q90" i="20"/>
  <c r="R90" i="20"/>
  <c r="F43" i="20"/>
  <c r="H73" i="20"/>
  <c r="F73" i="20"/>
  <c r="G44" i="20"/>
  <c r="U29" i="20"/>
  <c r="G74" i="20"/>
  <c r="F74" i="20"/>
  <c r="H74" i="20"/>
  <c r="G40" i="20"/>
  <c r="F40" i="20"/>
  <c r="H84" i="20"/>
  <c r="G84" i="20"/>
  <c r="F84" i="20"/>
  <c r="G68" i="20"/>
  <c r="H68" i="20"/>
  <c r="F68" i="20"/>
  <c r="F50" i="20"/>
  <c r="G50" i="20"/>
  <c r="G42" i="20"/>
  <c r="F42" i="20"/>
  <c r="F55" i="20"/>
  <c r="G55" i="20"/>
  <c r="F48" i="20"/>
  <c r="G48" i="20"/>
  <c r="F62" i="20"/>
  <c r="G62" i="20"/>
  <c r="F53" i="20"/>
  <c r="G53" i="20"/>
  <c r="H93" i="20"/>
  <c r="G93" i="20"/>
  <c r="F93" i="20"/>
  <c r="H67" i="20"/>
  <c r="G67" i="20"/>
  <c r="F67" i="20"/>
  <c r="H77" i="20"/>
  <c r="F77" i="20"/>
  <c r="G77" i="20"/>
  <c r="F72" i="20"/>
  <c r="G72" i="20"/>
  <c r="H72" i="20"/>
  <c r="H78" i="20"/>
  <c r="G78" i="20"/>
  <c r="F78" i="20"/>
  <c r="H70" i="20"/>
  <c r="F70" i="20"/>
  <c r="G70" i="20"/>
  <c r="H88" i="20"/>
  <c r="G88" i="20"/>
  <c r="F88" i="20"/>
  <c r="H85" i="20"/>
  <c r="G85" i="20"/>
  <c r="F85" i="20"/>
  <c r="H69" i="20"/>
  <c r="G69" i="20"/>
  <c r="F69" i="20"/>
  <c r="F57" i="20"/>
  <c r="G57" i="20"/>
  <c r="G58" i="20"/>
  <c r="F58" i="20"/>
  <c r="H79" i="20"/>
  <c r="F79" i="20"/>
  <c r="G79" i="20"/>
  <c r="G71" i="20"/>
  <c r="F71" i="20"/>
  <c r="H71" i="20"/>
  <c r="F54" i="20"/>
  <c r="G54" i="20"/>
  <c r="H82" i="20"/>
  <c r="F82" i="20"/>
  <c r="G82" i="20"/>
  <c r="E29" i="20"/>
  <c r="F39" i="20"/>
  <c r="G39" i="20"/>
  <c r="F46" i="20"/>
  <c r="G46" i="20"/>
  <c r="G65" i="20"/>
  <c r="F65" i="20"/>
  <c r="G75" i="20"/>
  <c r="H75" i="20"/>
  <c r="F75" i="20"/>
  <c r="H87" i="20"/>
  <c r="G87" i="20"/>
  <c r="F87" i="20"/>
  <c r="F41" i="20"/>
  <c r="G41" i="20"/>
  <c r="G64" i="20"/>
  <c r="F64" i="20"/>
  <c r="F94" i="20"/>
  <c r="H94" i="20"/>
  <c r="G94" i="20"/>
  <c r="H76" i="20"/>
  <c r="F76" i="20"/>
  <c r="G76" i="20"/>
  <c r="H86" i="20"/>
  <c r="G86" i="20"/>
  <c r="F86" i="20"/>
  <c r="G45" i="20"/>
  <c r="F45" i="20"/>
  <c r="F47" i="20"/>
  <c r="G47" i="20"/>
  <c r="G95" i="20"/>
  <c r="F95" i="20"/>
  <c r="H95" i="20"/>
  <c r="G49" i="20"/>
  <c r="F49" i="20"/>
  <c r="H80" i="20"/>
  <c r="F80" i="20"/>
  <c r="G80" i="20"/>
  <c r="H92" i="20"/>
  <c r="F92" i="20"/>
  <c r="G92" i="20"/>
  <c r="H66" i="20"/>
  <c r="F66" i="20"/>
  <c r="G66" i="20"/>
  <c r="H83" i="20"/>
  <c r="G83" i="20"/>
  <c r="F83" i="20"/>
  <c r="F61" i="20"/>
  <c r="G61" i="20"/>
  <c r="G63" i="20"/>
  <c r="F63" i="20"/>
  <c r="G56" i="20"/>
  <c r="F56" i="20"/>
  <c r="H90" i="20"/>
  <c r="F90" i="20"/>
  <c r="G90" i="20"/>
  <c r="F91" i="20"/>
  <c r="G91" i="20"/>
  <c r="H91" i="20"/>
  <c r="AP20" i="19"/>
  <c r="P22" i="16"/>
  <c r="J22" i="14"/>
  <c r="P22" i="14"/>
  <c r="K64" i="22"/>
  <c r="M63" i="22"/>
  <c r="Q91" i="20"/>
  <c r="R91" i="20"/>
  <c r="G26" i="25"/>
  <c r="H29" i="20"/>
  <c r="L21" i="20"/>
  <c r="G24" i="25"/>
  <c r="G29" i="20"/>
  <c r="F29" i="20"/>
  <c r="J23" i="14"/>
  <c r="P23" i="14"/>
  <c r="K65" i="22"/>
  <c r="M64" i="22"/>
  <c r="Q92" i="20"/>
  <c r="R92" i="20"/>
  <c r="H21" i="20"/>
  <c r="G22" i="25"/>
  <c r="K21" i="20"/>
  <c r="K22" i="20"/>
  <c r="J21" i="20"/>
  <c r="G23" i="25"/>
  <c r="J24" i="14"/>
  <c r="P24" i="14"/>
  <c r="P23" i="16"/>
  <c r="K66" i="22"/>
  <c r="M65" i="22"/>
  <c r="Q93" i="20"/>
  <c r="R93" i="20"/>
  <c r="P24" i="16"/>
  <c r="J25" i="14"/>
  <c r="J26" i="14"/>
  <c r="K67" i="22"/>
  <c r="M67" i="22"/>
  <c r="Q95" i="20"/>
  <c r="R95" i="20"/>
  <c r="M66" i="22"/>
  <c r="Q94" i="20"/>
  <c r="R94" i="20"/>
  <c r="P25" i="16"/>
  <c r="L41" i="20"/>
  <c r="M41" i="20"/>
  <c r="P25" i="14"/>
  <c r="R29" i="20"/>
  <c r="G25" i="25"/>
  <c r="P26" i="16"/>
  <c r="P26" i="14"/>
  <c r="J27" i="14"/>
  <c r="L20" i="20"/>
  <c r="L22" i="20"/>
  <c r="P27" i="16"/>
  <c r="J28" i="14"/>
  <c r="P27" i="14"/>
  <c r="P28" i="14"/>
  <c r="J29" i="14"/>
  <c r="P28" i="16"/>
  <c r="P29" i="16"/>
  <c r="P29" i="14"/>
  <c r="J30" i="14"/>
  <c r="P30" i="14"/>
  <c r="J31" i="14"/>
  <c r="P30" i="16"/>
  <c r="P31" i="16"/>
  <c r="J32" i="14"/>
  <c r="P31" i="14"/>
  <c r="P32" i="14"/>
  <c r="J33" i="14"/>
  <c r="P32" i="16"/>
  <c r="P33" i="16"/>
  <c r="P33" i="14"/>
  <c r="J34" i="14"/>
  <c r="P34" i="14"/>
  <c r="J35" i="14"/>
  <c r="P34" i="16"/>
  <c r="J36" i="14"/>
  <c r="P35" i="14"/>
  <c r="P35" i="16"/>
  <c r="P36" i="16"/>
  <c r="P36" i="14"/>
  <c r="J37" i="14"/>
  <c r="P37" i="14"/>
  <c r="J38" i="14"/>
  <c r="P37" i="16"/>
  <c r="P38" i="16"/>
  <c r="P38" i="14"/>
  <c r="J39" i="14"/>
  <c r="J40" i="14"/>
  <c r="P39" i="14"/>
  <c r="P39" i="16"/>
  <c r="P40" i="16"/>
  <c r="P40" i="14"/>
  <c r="J41" i="14"/>
  <c r="P41" i="14"/>
  <c r="J42" i="14"/>
  <c r="P41" i="16"/>
  <c r="P42" i="16"/>
  <c r="P42" i="14"/>
  <c r="J43" i="14"/>
  <c r="J44" i="14"/>
  <c r="P43" i="14"/>
  <c r="P43" i="16"/>
  <c r="P44" i="16"/>
  <c r="P44" i="14"/>
  <c r="J45" i="14"/>
  <c r="P45" i="14"/>
  <c r="J46" i="14"/>
  <c r="P45" i="16"/>
  <c r="P46" i="16"/>
  <c r="P46" i="14"/>
  <c r="J47" i="14"/>
  <c r="J48" i="14"/>
  <c r="P47" i="14"/>
  <c r="P47" i="16"/>
  <c r="P48" i="16"/>
  <c r="P48" i="14"/>
  <c r="J49" i="14"/>
  <c r="P49" i="14"/>
  <c r="J50" i="14"/>
  <c r="P49" i="16"/>
  <c r="P50" i="16"/>
  <c r="P50" i="14"/>
  <c r="J51" i="14"/>
  <c r="J52" i="14"/>
  <c r="P51" i="14"/>
  <c r="P51" i="16"/>
  <c r="P52" i="16"/>
  <c r="P52" i="14"/>
  <c r="J53" i="14"/>
  <c r="P53" i="14"/>
  <c r="J54" i="14"/>
  <c r="P53" i="16"/>
  <c r="J55" i="14"/>
  <c r="P54" i="14"/>
  <c r="P54" i="16"/>
  <c r="P55" i="16"/>
  <c r="J56" i="14"/>
  <c r="P55" i="14"/>
  <c r="P56" i="14"/>
  <c r="J57" i="14"/>
  <c r="P56" i="16"/>
  <c r="P57" i="14"/>
  <c r="J58" i="14"/>
  <c r="P57" i="16"/>
  <c r="P58" i="16"/>
  <c r="P58" i="14"/>
  <c r="J59" i="14"/>
  <c r="J60" i="14"/>
  <c r="P59" i="14"/>
  <c r="P59" i="16"/>
  <c r="P60" i="16"/>
  <c r="J61" i="14"/>
  <c r="P60" i="14"/>
  <c r="P61" i="14"/>
  <c r="J62" i="14"/>
  <c r="P61" i="16"/>
  <c r="P62" i="16"/>
  <c r="P62" i="14"/>
  <c r="J63" i="14"/>
  <c r="J64" i="14"/>
  <c r="P63" i="14"/>
  <c r="P63" i="16"/>
  <c r="P64" i="16"/>
  <c r="J65" i="14"/>
  <c r="P64" i="14"/>
  <c r="P65" i="14"/>
  <c r="J66" i="14"/>
  <c r="P65" i="16"/>
  <c r="P66" i="16"/>
  <c r="P66" i="14"/>
  <c r="J67" i="14"/>
  <c r="J68" i="14"/>
  <c r="P67" i="14"/>
  <c r="P67" i="16"/>
  <c r="P68" i="16"/>
  <c r="J69" i="14"/>
  <c r="P68" i="14"/>
  <c r="P69" i="14"/>
  <c r="J70" i="14"/>
  <c r="P69" i="16"/>
  <c r="P70" i="16"/>
  <c r="P70" i="14"/>
  <c r="J71" i="14"/>
  <c r="J72" i="14"/>
  <c r="P71" i="14"/>
  <c r="P71" i="16"/>
  <c r="P72" i="16"/>
  <c r="J73" i="14"/>
  <c r="P72" i="14"/>
  <c r="P73" i="14"/>
  <c r="J74" i="14"/>
  <c r="P73" i="16"/>
  <c r="P74" i="16"/>
  <c r="P74" i="14"/>
  <c r="J75" i="14"/>
  <c r="J76" i="14"/>
  <c r="P75" i="14"/>
  <c r="P75" i="16"/>
  <c r="P76" i="16"/>
  <c r="J77" i="14"/>
  <c r="P76" i="14"/>
  <c r="P77" i="14"/>
  <c r="J78" i="14"/>
  <c r="P77" i="16"/>
  <c r="P78" i="16"/>
  <c r="P78" i="14"/>
  <c r="J79" i="14"/>
  <c r="J80" i="14"/>
  <c r="P79" i="14"/>
  <c r="P79" i="16"/>
  <c r="P80" i="16"/>
  <c r="J81" i="14"/>
  <c r="P80" i="14"/>
  <c r="P81" i="14"/>
  <c r="J82" i="14"/>
  <c r="P81" i="16"/>
  <c r="P82" i="16"/>
  <c r="P82" i="14"/>
  <c r="J83" i="14"/>
  <c r="J84" i="14"/>
  <c r="P83" i="14"/>
  <c r="P83" i="16"/>
  <c r="P84" i="16"/>
  <c r="J85" i="14"/>
  <c r="P84" i="14"/>
  <c r="P85" i="14"/>
  <c r="J86" i="14"/>
  <c r="P85" i="16"/>
  <c r="P86" i="16"/>
  <c r="P86" i="14"/>
  <c r="J87" i="14"/>
  <c r="J88" i="14"/>
  <c r="P87" i="14"/>
  <c r="P87" i="16"/>
  <c r="P88" i="16"/>
  <c r="J89" i="14"/>
  <c r="P88" i="14"/>
  <c r="P89" i="14"/>
  <c r="J90" i="14"/>
  <c r="P89" i="16"/>
  <c r="P90" i="16"/>
  <c r="P90" i="14"/>
  <c r="J91" i="14"/>
  <c r="J92" i="14"/>
  <c r="P91" i="14"/>
  <c r="P91" i="16"/>
  <c r="P92" i="16"/>
  <c r="J93" i="14"/>
  <c r="P92" i="14"/>
  <c r="P93" i="14"/>
  <c r="J94" i="14"/>
  <c r="P93" i="16"/>
  <c r="P94" i="16"/>
  <c r="P94" i="14"/>
  <c r="J95" i="14"/>
  <c r="J96" i="14"/>
  <c r="P95" i="14"/>
  <c r="P95" i="16"/>
  <c r="P96" i="16"/>
  <c r="J97" i="14"/>
  <c r="P96" i="14"/>
  <c r="P97" i="14"/>
  <c r="J98" i="14"/>
  <c r="P97" i="16"/>
  <c r="P98" i="16"/>
  <c r="P98" i="14"/>
  <c r="J99" i="14"/>
  <c r="J100" i="14"/>
  <c r="P99" i="14"/>
  <c r="P99" i="16"/>
  <c r="P100" i="16"/>
  <c r="J101" i="14"/>
  <c r="P100" i="14"/>
  <c r="P101" i="14"/>
  <c r="J102" i="14"/>
  <c r="P101" i="16"/>
  <c r="P102" i="16"/>
  <c r="J103" i="14"/>
  <c r="P102" i="14"/>
  <c r="J104" i="14"/>
  <c r="P103" i="14"/>
  <c r="P103" i="16"/>
  <c r="P104" i="16"/>
  <c r="J105" i="14"/>
  <c r="P104" i="14"/>
  <c r="P105" i="14"/>
  <c r="J106" i="14"/>
  <c r="P105" i="16"/>
  <c r="P106" i="16"/>
  <c r="P106" i="14"/>
  <c r="J107" i="14"/>
  <c r="J108" i="14"/>
  <c r="P107" i="14"/>
  <c r="P107" i="16"/>
  <c r="P108" i="16"/>
  <c r="J109" i="14"/>
  <c r="P108" i="14"/>
  <c r="P109" i="14"/>
  <c r="J110" i="14"/>
  <c r="P109" i="16"/>
  <c r="P110" i="16"/>
  <c r="P110" i="14"/>
  <c r="J111" i="14"/>
  <c r="J112" i="14"/>
  <c r="P111" i="14"/>
  <c r="P111" i="16"/>
  <c r="P112" i="16"/>
  <c r="J113" i="14"/>
  <c r="P112" i="14"/>
  <c r="P113" i="14"/>
  <c r="J114" i="14"/>
  <c r="P113" i="16"/>
  <c r="P114" i="16"/>
  <c r="P114" i="14"/>
  <c r="J115" i="14"/>
  <c r="J116" i="14"/>
  <c r="P115" i="14"/>
  <c r="P115" i="16"/>
  <c r="P116" i="16"/>
  <c r="J117" i="14"/>
  <c r="P116" i="14"/>
  <c r="P117" i="14"/>
  <c r="J118" i="14"/>
  <c r="P118" i="16"/>
  <c r="P118" i="14"/>
  <c r="J119" i="14"/>
  <c r="P119" i="14"/>
  <c r="J120" i="14"/>
  <c r="P119" i="16"/>
  <c r="P120" i="14"/>
  <c r="J121" i="14"/>
  <c r="P121" i="14"/>
  <c r="J122" i="14"/>
  <c r="P122" i="14"/>
  <c r="J123" i="14"/>
  <c r="P123" i="14"/>
  <c r="J124" i="14"/>
  <c r="P124" i="14"/>
  <c r="J125" i="14"/>
  <c r="P125" i="14"/>
  <c r="J126" i="14"/>
  <c r="P126" i="16"/>
  <c r="P126" i="14"/>
  <c r="J127" i="14"/>
  <c r="P127" i="14"/>
  <c r="J128" i="14"/>
  <c r="P127" i="16"/>
  <c r="P128" i="16"/>
  <c r="P128" i="14"/>
  <c r="J129" i="14"/>
  <c r="P129" i="14"/>
  <c r="J130" i="14"/>
  <c r="P129" i="16"/>
  <c r="P130" i="16"/>
  <c r="J131" i="14"/>
  <c r="P130" i="14"/>
  <c r="P131" i="14"/>
  <c r="J132" i="14"/>
  <c r="P131" i="16"/>
  <c r="P132" i="16"/>
  <c r="P132" i="14"/>
  <c r="J133" i="14"/>
  <c r="P133" i="14"/>
  <c r="J134" i="14"/>
  <c r="P133" i="16"/>
  <c r="P134" i="14"/>
  <c r="J135" i="14"/>
  <c r="P134" i="16"/>
  <c r="P135" i="16"/>
  <c r="P135" i="14"/>
  <c r="J136" i="14"/>
  <c r="P136" i="14"/>
  <c r="J137" i="14"/>
  <c r="P136" i="16"/>
  <c r="P137" i="16"/>
  <c r="P137" i="14"/>
  <c r="J138" i="14"/>
  <c r="J139" i="14"/>
  <c r="P138" i="14"/>
  <c r="P138" i="16"/>
  <c r="P139" i="16"/>
  <c r="P139" i="14"/>
  <c r="J140" i="14"/>
  <c r="P140" i="14"/>
  <c r="J141" i="14"/>
  <c r="P140" i="16"/>
  <c r="P141" i="16"/>
  <c r="P141" i="14"/>
  <c r="J142" i="14"/>
  <c r="P142" i="14"/>
  <c r="J143" i="14"/>
  <c r="P142" i="16"/>
  <c r="P143" i="16"/>
  <c r="P143" i="14"/>
  <c r="J144" i="14"/>
  <c r="P144" i="14"/>
  <c r="J145" i="14"/>
  <c r="P144" i="16"/>
  <c r="P145" i="14"/>
  <c r="J146" i="14"/>
  <c r="P145" i="16"/>
  <c r="P146" i="16"/>
  <c r="P146" i="14"/>
  <c r="J147" i="14"/>
  <c r="P147" i="14"/>
  <c r="J148" i="14"/>
  <c r="P147" i="16"/>
  <c r="P148" i="14"/>
  <c r="J149" i="14"/>
  <c r="P148" i="16"/>
  <c r="P149" i="16"/>
  <c r="P149" i="14"/>
  <c r="J150" i="14"/>
  <c r="P150" i="14"/>
  <c r="J151" i="14"/>
  <c r="P150" i="16"/>
  <c r="P151" i="14"/>
  <c r="J152" i="14"/>
  <c r="P151" i="16"/>
  <c r="P152" i="14"/>
  <c r="J153" i="14"/>
  <c r="P152" i="16"/>
  <c r="P153" i="14"/>
  <c r="J154" i="14"/>
  <c r="P153" i="16"/>
  <c r="P154" i="14"/>
  <c r="J155" i="14"/>
  <c r="P154" i="16"/>
  <c r="P155" i="16"/>
  <c r="P155" i="14"/>
  <c r="J156" i="14"/>
  <c r="P156" i="14"/>
  <c r="J157" i="14"/>
  <c r="P156" i="16"/>
  <c r="P157" i="16"/>
  <c r="P157" i="14"/>
  <c r="J158" i="14"/>
  <c r="P158" i="14"/>
  <c r="J159" i="14"/>
  <c r="P158" i="16"/>
  <c r="P159" i="16"/>
  <c r="P159" i="14"/>
  <c r="J160" i="14"/>
  <c r="P160" i="14"/>
  <c r="J161" i="14"/>
  <c r="P160" i="16"/>
  <c r="P161" i="16"/>
  <c r="P161" i="14"/>
  <c r="J162" i="14"/>
  <c r="J163" i="14"/>
  <c r="P162" i="14"/>
  <c r="P162" i="16"/>
  <c r="P163" i="16"/>
  <c r="P163" i="14"/>
  <c r="J164" i="14"/>
  <c r="P164" i="14"/>
  <c r="J165" i="14"/>
  <c r="P164" i="16"/>
  <c r="P165" i="16"/>
  <c r="P165" i="14"/>
  <c r="J166" i="14"/>
  <c r="P166" i="14"/>
  <c r="J167" i="14"/>
  <c r="P166" i="16"/>
  <c r="P167" i="14"/>
  <c r="J168" i="14"/>
  <c r="P167" i="16"/>
  <c r="P168" i="14"/>
  <c r="J169" i="14"/>
  <c r="P168" i="16"/>
  <c r="P169" i="16"/>
  <c r="P169" i="14"/>
  <c r="J170" i="14"/>
  <c r="J171" i="14"/>
  <c r="J172" i="14"/>
  <c r="P170" i="14"/>
  <c r="P170" i="16"/>
  <c r="P171" i="16"/>
  <c r="P172" i="14"/>
  <c r="J173" i="14"/>
  <c r="P173" i="14"/>
  <c r="J174" i="14"/>
  <c r="P172" i="16"/>
  <c r="J175" i="14"/>
  <c r="P174" i="14"/>
  <c r="P173" i="16"/>
  <c r="P174" i="16"/>
  <c r="J176" i="14"/>
  <c r="P175" i="14"/>
  <c r="P176" i="14"/>
  <c r="J177" i="14"/>
  <c r="P175" i="16"/>
  <c r="P176" i="16"/>
  <c r="P177" i="14"/>
  <c r="J178" i="14"/>
  <c r="P178" i="14"/>
  <c r="J179" i="14"/>
  <c r="P177" i="16"/>
  <c r="P178" i="16"/>
  <c r="J180" i="14"/>
  <c r="P179" i="14"/>
  <c r="P180" i="14"/>
  <c r="J181" i="14"/>
  <c r="P179" i="16"/>
  <c r="P180" i="16"/>
  <c r="P181" i="14"/>
  <c r="J182" i="14"/>
  <c r="J183" i="14"/>
  <c r="P182" i="14"/>
  <c r="P181" i="16"/>
  <c r="P182" i="16"/>
  <c r="J184" i="14"/>
  <c r="P183" i="14"/>
  <c r="P184" i="14"/>
  <c r="J185" i="14"/>
  <c r="P183" i="16"/>
  <c r="P184" i="16"/>
  <c r="P185" i="14"/>
  <c r="J186" i="14"/>
  <c r="P186" i="14"/>
  <c r="J187" i="14"/>
  <c r="P185" i="16"/>
  <c r="P186" i="16"/>
  <c r="J188" i="14"/>
  <c r="P187" i="14"/>
  <c r="P188" i="14"/>
  <c r="J189" i="14"/>
  <c r="P187" i="16"/>
  <c r="P189" i="14"/>
  <c r="J190" i="14"/>
  <c r="P188" i="16"/>
  <c r="P189" i="16"/>
  <c r="P190" i="14"/>
  <c r="J191" i="14"/>
  <c r="J192" i="14"/>
  <c r="P191" i="14"/>
  <c r="P190" i="16"/>
  <c r="P191" i="16"/>
  <c r="P192" i="14"/>
  <c r="J193" i="14"/>
  <c r="P193" i="14"/>
  <c r="J194" i="14"/>
  <c r="P192" i="16"/>
  <c r="P193" i="16"/>
  <c r="P194" i="14"/>
  <c r="J195" i="14"/>
  <c r="J196" i="14"/>
  <c r="P195" i="14"/>
  <c r="P194" i="16"/>
  <c r="P195" i="16"/>
  <c r="P196" i="14"/>
  <c r="J197" i="14"/>
  <c r="P197" i="14"/>
  <c r="J198" i="14"/>
  <c r="P196" i="16"/>
  <c r="P197" i="16"/>
  <c r="P198" i="14"/>
  <c r="J199" i="14"/>
  <c r="J200" i="14"/>
  <c r="P199" i="14"/>
  <c r="P198" i="16"/>
  <c r="P199" i="16"/>
  <c r="P200" i="14"/>
  <c r="J201" i="14"/>
  <c r="P201" i="14"/>
  <c r="J202" i="14"/>
  <c r="P200" i="16"/>
  <c r="P201" i="16"/>
  <c r="J203" i="14"/>
  <c r="P202" i="14"/>
  <c r="J204" i="14"/>
  <c r="P203" i="14"/>
  <c r="P202" i="16"/>
  <c r="P203" i="16"/>
  <c r="P204" i="14"/>
  <c r="J205" i="14"/>
  <c r="P205" i="14"/>
  <c r="J206" i="14"/>
  <c r="P204" i="16"/>
  <c r="P205" i="16"/>
  <c r="J207" i="14"/>
  <c r="P206" i="14"/>
  <c r="J208" i="14"/>
  <c r="P207" i="14"/>
  <c r="P206" i="16"/>
  <c r="P207" i="16"/>
  <c r="P208" i="14"/>
  <c r="J209" i="14"/>
  <c r="J210" i="14"/>
  <c r="P210" i="14"/>
  <c r="J211" i="14"/>
  <c r="P208" i="16"/>
  <c r="P211" i="14"/>
  <c r="J212" i="14"/>
  <c r="P209" i="16"/>
  <c r="P212" i="14"/>
  <c r="J213" i="14"/>
  <c r="P210" i="16"/>
  <c r="P213" i="14"/>
  <c r="J214" i="14"/>
  <c r="P211" i="16"/>
  <c r="P214" i="14"/>
  <c r="J215" i="14"/>
  <c r="P212" i="16"/>
  <c r="P213" i="16"/>
  <c r="P215" i="14"/>
  <c r="J216" i="14"/>
  <c r="P216" i="14"/>
  <c r="J217" i="14"/>
  <c r="P214" i="16"/>
  <c r="P215" i="16"/>
  <c r="P217" i="14"/>
  <c r="J218" i="14"/>
  <c r="P218" i="14"/>
  <c r="J219" i="14"/>
  <c r="P216" i="16"/>
  <c r="P217" i="16"/>
  <c r="P219" i="14"/>
  <c r="J220" i="14"/>
  <c r="P220" i="14"/>
  <c r="J221" i="14"/>
  <c r="P218" i="16"/>
  <c r="P219" i="16"/>
  <c r="P221" i="14"/>
  <c r="J222" i="14"/>
  <c r="P222" i="14"/>
  <c r="J223" i="14"/>
  <c r="P220" i="16"/>
  <c r="P221" i="16"/>
  <c r="J224" i="14"/>
  <c r="P223" i="14"/>
  <c r="P224" i="14"/>
  <c r="J225" i="14"/>
  <c r="P222" i="16"/>
  <c r="P223" i="16"/>
  <c r="P225" i="14"/>
  <c r="J226" i="14"/>
  <c r="P226" i="14"/>
  <c r="J227" i="14"/>
  <c r="P224" i="16"/>
  <c r="P225" i="16"/>
  <c r="J228" i="14"/>
  <c r="P227" i="14"/>
  <c r="P228" i="14"/>
  <c r="J229" i="14"/>
  <c r="P226" i="16"/>
  <c r="P229" i="14"/>
  <c r="J230" i="14"/>
  <c r="P227" i="16"/>
  <c r="P228" i="16"/>
  <c r="P230" i="14"/>
  <c r="J231" i="14"/>
  <c r="P231" i="14"/>
  <c r="J232" i="14"/>
  <c r="P229" i="16"/>
  <c r="P230" i="16"/>
  <c r="P232" i="14"/>
  <c r="J233" i="14"/>
  <c r="P233" i="14"/>
  <c r="J234" i="14"/>
  <c r="P231" i="16"/>
  <c r="P232" i="16"/>
  <c r="P234" i="14"/>
  <c r="J235" i="14"/>
  <c r="J236" i="14"/>
  <c r="P235" i="14"/>
  <c r="P233" i="16"/>
  <c r="P234" i="16"/>
  <c r="P236" i="14"/>
  <c r="J237" i="14"/>
  <c r="J238" i="14"/>
  <c r="P238" i="14"/>
  <c r="J239" i="14"/>
  <c r="P235" i="16"/>
  <c r="P236" i="16"/>
  <c r="J240" i="14"/>
  <c r="P239" i="14"/>
  <c r="J241" i="14"/>
  <c r="P240" i="14"/>
  <c r="P237" i="16"/>
  <c r="P238" i="16"/>
  <c r="P241" i="14"/>
  <c r="J242" i="14"/>
  <c r="P242" i="14"/>
  <c r="J243" i="14"/>
  <c r="P239" i="16"/>
  <c r="P240" i="16"/>
  <c r="P243" i="14"/>
  <c r="J244" i="14"/>
  <c r="J245" i="14"/>
  <c r="P244" i="14"/>
  <c r="P241" i="16"/>
  <c r="P242" i="16"/>
  <c r="P245" i="14"/>
  <c r="J246" i="14"/>
  <c r="P246" i="14"/>
  <c r="J247" i="14"/>
  <c r="P243" i="16"/>
  <c r="P244" i="16"/>
  <c r="J248" i="14"/>
  <c r="P247" i="14"/>
  <c r="J249" i="14"/>
  <c r="P248" i="14"/>
  <c r="P245" i="16"/>
  <c r="P246" i="16"/>
  <c r="P249" i="14"/>
  <c r="J250" i="14"/>
  <c r="P250" i="14"/>
  <c r="J251" i="14"/>
  <c r="P247" i="16"/>
  <c r="P251" i="14"/>
  <c r="J252" i="14"/>
  <c r="P248" i="16"/>
  <c r="P249" i="16"/>
  <c r="J253" i="14"/>
  <c r="P252" i="14"/>
  <c r="P253" i="14"/>
  <c r="J254" i="14"/>
  <c r="P250" i="16"/>
  <c r="P251" i="16"/>
  <c r="P254" i="14"/>
  <c r="J255" i="14"/>
  <c r="P255" i="14"/>
  <c r="J256" i="14"/>
  <c r="P252" i="16"/>
  <c r="P253" i="16"/>
  <c r="J257" i="14"/>
  <c r="P256" i="14"/>
  <c r="P257" i="14"/>
  <c r="J258" i="14"/>
  <c r="P254" i="16"/>
  <c r="P258" i="14"/>
  <c r="J259" i="14"/>
  <c r="P255" i="16"/>
  <c r="P259" i="14"/>
  <c r="J260" i="14"/>
  <c r="P256" i="16"/>
  <c r="P257" i="16"/>
  <c r="J261" i="14"/>
  <c r="P260" i="14"/>
  <c r="P261" i="14"/>
  <c r="J262" i="14"/>
  <c r="P258" i="16"/>
  <c r="P259" i="16"/>
  <c r="P262" i="14"/>
  <c r="J263" i="14"/>
  <c r="P263" i="14"/>
  <c r="P791" i="14"/>
  <c r="J39" i="20"/>
  <c r="K39" i="20"/>
  <c r="K29" i="20"/>
  <c r="H20" i="20"/>
  <c r="I16" i="14"/>
  <c r="I17" i="14"/>
  <c r="I18" i="14"/>
  <c r="P260" i="16"/>
  <c r="P261" i="16"/>
  <c r="G20" i="25"/>
  <c r="H22" i="20"/>
  <c r="P262" i="16"/>
  <c r="P263" i="16"/>
  <c r="P264" i="16"/>
  <c r="P265" i="16"/>
  <c r="P266" i="16"/>
  <c r="P267" i="16"/>
  <c r="P268" i="16"/>
  <c r="P269" i="16"/>
  <c r="P270" i="16"/>
  <c r="P271" i="16"/>
  <c r="P272" i="16"/>
  <c r="P273" i="16"/>
  <c r="P274" i="16"/>
  <c r="P275" i="16"/>
  <c r="P276" i="16"/>
  <c r="P277" i="16"/>
  <c r="P278" i="16"/>
  <c r="P279" i="16"/>
  <c r="P280" i="16"/>
  <c r="P281" i="16"/>
  <c r="P282" i="16"/>
  <c r="P283" i="16"/>
  <c r="P284" i="16"/>
  <c r="P285" i="16"/>
  <c r="P286" i="16"/>
  <c r="P287" i="16"/>
  <c r="P288" i="16"/>
  <c r="P289" i="16"/>
  <c r="P290" i="16"/>
  <c r="P291" i="16"/>
  <c r="P292" i="16"/>
  <c r="P293" i="16"/>
  <c r="P294" i="16"/>
  <c r="P295" i="16"/>
  <c r="P296" i="16"/>
  <c r="P297" i="16"/>
  <c r="P298" i="16"/>
  <c r="P299" i="16"/>
  <c r="P300" i="16"/>
  <c r="P301" i="16"/>
  <c r="P302" i="16"/>
  <c r="P303" i="16"/>
  <c r="P304" i="16"/>
  <c r="P305" i="16"/>
  <c r="P306" i="16"/>
  <c r="P307" i="16"/>
  <c r="P308" i="16"/>
  <c r="P309" i="16"/>
  <c r="P310" i="16"/>
  <c r="P311" i="16"/>
  <c r="P312" i="16"/>
  <c r="P313" i="16"/>
  <c r="P314" i="16"/>
  <c r="P315" i="16"/>
  <c r="P316" i="16"/>
  <c r="P317" i="16"/>
  <c r="P318" i="16"/>
  <c r="P319" i="16"/>
  <c r="P320" i="16"/>
  <c r="P321" i="16"/>
  <c r="P322" i="16"/>
  <c r="P323" i="16"/>
  <c r="P324" i="16"/>
  <c r="P325" i="16"/>
  <c r="P326" i="16"/>
  <c r="P327" i="16"/>
  <c r="P328" i="16"/>
  <c r="P329" i="16"/>
  <c r="P330" i="16"/>
  <c r="P331" i="16"/>
  <c r="P332" i="16"/>
  <c r="P333" i="16"/>
  <c r="P334" i="16"/>
  <c r="P335" i="16"/>
  <c r="P336" i="16"/>
  <c r="P337" i="16"/>
  <c r="P338" i="16"/>
  <c r="P339" i="16"/>
  <c r="P340" i="16"/>
  <c r="P341" i="16"/>
  <c r="P342" i="16"/>
  <c r="P343" i="16"/>
  <c r="P344" i="16"/>
  <c r="P345" i="16"/>
  <c r="P346" i="16"/>
  <c r="P347" i="16"/>
  <c r="P348" i="16"/>
  <c r="P349" i="16"/>
  <c r="P350" i="16"/>
  <c r="P351" i="16"/>
  <c r="P352" i="16"/>
  <c r="P353" i="16"/>
  <c r="P354" i="16"/>
  <c r="P355" i="16"/>
  <c r="P356" i="16"/>
  <c r="P357" i="16"/>
  <c r="P358" i="16"/>
  <c r="P359" i="16"/>
  <c r="P360" i="16"/>
  <c r="P361" i="16"/>
  <c r="P362" i="16"/>
  <c r="P363" i="16"/>
  <c r="P364" i="16"/>
  <c r="P365" i="16"/>
  <c r="P366" i="16"/>
  <c r="P367" i="16"/>
  <c r="P368" i="16"/>
  <c r="P369" i="16"/>
  <c r="P370" i="16"/>
  <c r="P371" i="16"/>
  <c r="P372" i="16"/>
  <c r="P373" i="16"/>
  <c r="P374" i="16"/>
  <c r="P375" i="16"/>
  <c r="P376" i="16"/>
  <c r="P377" i="16"/>
  <c r="P378" i="16"/>
  <c r="P379" i="16"/>
  <c r="P380" i="16"/>
  <c r="P381" i="16"/>
  <c r="P382" i="16"/>
  <c r="P383" i="16"/>
  <c r="P384" i="16"/>
  <c r="P385" i="16"/>
  <c r="P386" i="16"/>
  <c r="P387" i="16"/>
  <c r="P388" i="16"/>
  <c r="P389" i="16"/>
  <c r="P390" i="16"/>
  <c r="P391" i="16"/>
  <c r="P392" i="16"/>
  <c r="P393" i="16"/>
  <c r="P394" i="16"/>
  <c r="P395" i="16"/>
  <c r="P396" i="16"/>
  <c r="P397" i="16"/>
  <c r="P398" i="16"/>
  <c r="P399" i="16"/>
  <c r="P400" i="16"/>
  <c r="P401" i="16"/>
  <c r="P402" i="16"/>
  <c r="P403" i="16"/>
  <c r="P404" i="16"/>
  <c r="P405" i="16"/>
  <c r="P414" i="16"/>
  <c r="P415" i="16"/>
  <c r="P416" i="16"/>
  <c r="P417" i="16"/>
  <c r="P418" i="16"/>
  <c r="P419" i="16"/>
  <c r="P420" i="16"/>
  <c r="P421" i="16"/>
  <c r="P422" i="16"/>
  <c r="P423" i="16"/>
  <c r="P424" i="16"/>
  <c r="P425" i="16"/>
  <c r="P426" i="16"/>
  <c r="P427" i="16"/>
  <c r="P428" i="16"/>
  <c r="P429" i="16"/>
  <c r="P430" i="16"/>
  <c r="P431" i="16"/>
  <c r="P432" i="16"/>
  <c r="P433" i="16"/>
  <c r="P434" i="16"/>
  <c r="P435" i="16"/>
  <c r="P436" i="16"/>
  <c r="P437" i="16"/>
  <c r="P438" i="16"/>
  <c r="P439" i="16"/>
  <c r="P440" i="16"/>
  <c r="P441" i="16"/>
  <c r="P442" i="16"/>
  <c r="P443" i="16"/>
  <c r="P444" i="16"/>
  <c r="P445" i="16"/>
  <c r="P446" i="16"/>
  <c r="P447" i="16"/>
  <c r="P448" i="16"/>
  <c r="P449" i="16"/>
  <c r="P450" i="16"/>
  <c r="P451" i="16"/>
  <c r="P452" i="16"/>
  <c r="P453" i="16"/>
  <c r="P454" i="16"/>
  <c r="P455" i="16"/>
  <c r="P456" i="16"/>
  <c r="P457" i="16"/>
  <c r="P458" i="16"/>
  <c r="P459" i="16"/>
  <c r="P460" i="16"/>
  <c r="P461" i="16"/>
  <c r="P462" i="16"/>
  <c r="P463" i="16"/>
  <c r="P464" i="16"/>
  <c r="P465" i="16"/>
  <c r="P466" i="16"/>
  <c r="P467" i="16"/>
  <c r="P468" i="16"/>
  <c r="P469" i="16"/>
  <c r="P470" i="16"/>
  <c r="P471" i="16"/>
  <c r="P472" i="16"/>
  <c r="P473" i="16"/>
  <c r="P474" i="16"/>
  <c r="P475" i="16"/>
  <c r="P476" i="16"/>
  <c r="P477" i="16"/>
  <c r="P478" i="16"/>
  <c r="P479" i="16"/>
  <c r="P480" i="16"/>
  <c r="P481" i="16"/>
  <c r="P482" i="16"/>
  <c r="P483" i="16"/>
  <c r="P484" i="16"/>
  <c r="P485" i="16"/>
  <c r="P486" i="16"/>
  <c r="P487" i="16"/>
  <c r="P488" i="16"/>
  <c r="P489" i="16"/>
  <c r="P490" i="16"/>
  <c r="P491" i="16"/>
  <c r="J494" i="16"/>
  <c r="P493" i="16"/>
  <c r="J495" i="16"/>
  <c r="P494" i="16"/>
  <c r="J496" i="16"/>
  <c r="P495" i="16"/>
  <c r="J497" i="16"/>
  <c r="P496" i="16"/>
  <c r="J498" i="16"/>
  <c r="P497" i="16"/>
  <c r="J499" i="16"/>
  <c r="P498" i="16"/>
  <c r="J500" i="16"/>
  <c r="P499" i="16"/>
  <c r="J501" i="16"/>
  <c r="P500" i="16"/>
  <c r="J502" i="16"/>
  <c r="P501" i="16"/>
  <c r="J503" i="16"/>
  <c r="P502" i="16"/>
  <c r="J504" i="16"/>
  <c r="P503" i="16"/>
  <c r="J505" i="16"/>
  <c r="P504" i="16"/>
  <c r="J506" i="16"/>
  <c r="P505" i="16"/>
  <c r="J507" i="16"/>
  <c r="P506" i="16"/>
  <c r="J508" i="16"/>
  <c r="P507" i="16"/>
  <c r="J509" i="16"/>
  <c r="P508" i="16"/>
  <c r="J510" i="16"/>
  <c r="P509" i="16"/>
  <c r="J511" i="16"/>
  <c r="P510" i="16"/>
  <c r="J512" i="16"/>
  <c r="P511" i="16"/>
  <c r="J513" i="16"/>
  <c r="P512" i="16"/>
  <c r="J514" i="16"/>
  <c r="P513" i="16"/>
  <c r="J515" i="16"/>
  <c r="P514" i="16"/>
  <c r="J516" i="16"/>
  <c r="P515" i="16"/>
  <c r="J517" i="16"/>
  <c r="P516" i="16"/>
  <c r="J518" i="16"/>
  <c r="P517" i="16"/>
  <c r="J519" i="16"/>
  <c r="P518" i="16"/>
  <c r="J520" i="16"/>
  <c r="P519" i="16"/>
  <c r="J521" i="16"/>
  <c r="P520" i="16"/>
  <c r="J522" i="16"/>
  <c r="P521" i="16"/>
  <c r="J523" i="16"/>
  <c r="P522" i="16"/>
  <c r="J524" i="16"/>
  <c r="P523" i="16"/>
  <c r="J525" i="16"/>
  <c r="P524" i="16"/>
  <c r="J526" i="16"/>
  <c r="P525" i="16"/>
  <c r="J527" i="16"/>
  <c r="P526" i="16"/>
  <c r="J528" i="16"/>
  <c r="P527" i="16"/>
  <c r="J529" i="16"/>
  <c r="P528" i="16"/>
  <c r="J530" i="16"/>
  <c r="P529" i="16"/>
  <c r="J531" i="16"/>
  <c r="P530" i="16"/>
  <c r="J532" i="16"/>
  <c r="P531" i="16"/>
  <c r="J533" i="16"/>
  <c r="P532" i="16"/>
  <c r="J534" i="16"/>
  <c r="P533" i="16"/>
  <c r="J535" i="16"/>
  <c r="P534" i="16"/>
  <c r="J536" i="16"/>
  <c r="J537" i="16"/>
  <c r="P535" i="16"/>
  <c r="P537" i="16"/>
  <c r="J538" i="16"/>
  <c r="J539" i="16"/>
  <c r="P538" i="16"/>
  <c r="J540" i="16"/>
  <c r="P539" i="16"/>
  <c r="J541" i="16"/>
  <c r="P540" i="16"/>
  <c r="J542" i="16"/>
  <c r="P541" i="16"/>
  <c r="J543" i="16"/>
  <c r="P542" i="16"/>
  <c r="J544" i="16"/>
  <c r="P543" i="16"/>
  <c r="J545" i="16"/>
  <c r="P544" i="16"/>
  <c r="J546" i="16"/>
  <c r="P545" i="16"/>
  <c r="J547" i="16"/>
  <c r="P546" i="16"/>
  <c r="J548" i="16"/>
  <c r="P547" i="16"/>
  <c r="J549" i="16"/>
  <c r="P548" i="16"/>
  <c r="J550" i="16"/>
  <c r="P549" i="16"/>
  <c r="J551" i="16"/>
  <c r="P550" i="16"/>
  <c r="J552" i="16"/>
  <c r="P551" i="16"/>
  <c r="J553" i="16"/>
  <c r="P552" i="16"/>
  <c r="J554" i="16"/>
  <c r="P553" i="16"/>
  <c r="J555" i="16"/>
  <c r="P554" i="16"/>
  <c r="J556" i="16"/>
  <c r="P555" i="16"/>
  <c r="J557" i="16"/>
  <c r="P556" i="16"/>
  <c r="J558" i="16"/>
  <c r="P557" i="16"/>
  <c r="J559" i="16"/>
  <c r="P558" i="16"/>
  <c r="J560" i="16"/>
  <c r="P559" i="16"/>
  <c r="J561" i="16"/>
  <c r="P560" i="16"/>
  <c r="J562" i="16"/>
  <c r="P561" i="16"/>
  <c r="J563" i="16"/>
  <c r="P562" i="16"/>
  <c r="J564" i="16"/>
  <c r="P563" i="16"/>
  <c r="J565" i="16"/>
  <c r="P564" i="16"/>
  <c r="J566" i="16"/>
  <c r="P565" i="16"/>
  <c r="J567" i="16"/>
  <c r="P566" i="16"/>
  <c r="J568" i="16"/>
  <c r="P567" i="16"/>
  <c r="J569" i="16"/>
  <c r="P568" i="16"/>
  <c r="J570" i="16"/>
  <c r="P569" i="16"/>
  <c r="J571" i="16"/>
  <c r="P570" i="16"/>
  <c r="J572" i="16"/>
  <c r="P571" i="16"/>
  <c r="J573" i="16"/>
  <c r="P572" i="16"/>
  <c r="J574" i="16"/>
  <c r="P573" i="16"/>
  <c r="J575" i="16"/>
  <c r="P574" i="16"/>
  <c r="J576" i="16"/>
  <c r="P575" i="16"/>
  <c r="J577" i="16"/>
  <c r="P576" i="16"/>
  <c r="J578" i="16"/>
  <c r="P577" i="16"/>
  <c r="J579" i="16"/>
  <c r="P578" i="16"/>
  <c r="J580" i="16"/>
  <c r="P579" i="16"/>
  <c r="J581" i="16"/>
  <c r="P580" i="16"/>
  <c r="J582" i="16"/>
  <c r="P581" i="16"/>
  <c r="J583" i="16"/>
  <c r="P582" i="16"/>
  <c r="J584" i="16"/>
  <c r="P583" i="16"/>
  <c r="J585" i="16"/>
  <c r="P584" i="16"/>
  <c r="J586" i="16"/>
  <c r="P585" i="16"/>
  <c r="P586" i="16"/>
  <c r="J587" i="16"/>
  <c r="J588" i="16"/>
  <c r="P587" i="16"/>
  <c r="J589" i="16"/>
  <c r="P588" i="16"/>
  <c r="J590" i="16"/>
  <c r="P589" i="16"/>
  <c r="J591" i="16"/>
  <c r="P590" i="16"/>
  <c r="J592" i="16"/>
  <c r="P591" i="16"/>
  <c r="J593" i="16"/>
  <c r="P592" i="16"/>
  <c r="J594" i="16"/>
  <c r="P593" i="16"/>
  <c r="P594" i="16"/>
  <c r="J595" i="16"/>
  <c r="J596" i="16"/>
  <c r="P595" i="16"/>
  <c r="J597" i="16"/>
  <c r="P596" i="16"/>
  <c r="J598" i="16"/>
  <c r="P597" i="16"/>
  <c r="J599" i="16"/>
  <c r="P598" i="16"/>
  <c r="J600" i="16"/>
  <c r="P599" i="16"/>
  <c r="J601" i="16"/>
  <c r="P600" i="16"/>
  <c r="J602" i="16"/>
  <c r="P601" i="16"/>
  <c r="J603" i="16"/>
  <c r="P602" i="16"/>
  <c r="J604" i="16"/>
  <c r="P603" i="16"/>
  <c r="J605" i="16"/>
  <c r="P604" i="16"/>
  <c r="J606" i="16"/>
  <c r="P605" i="16"/>
  <c r="J607" i="16"/>
  <c r="P606" i="16"/>
  <c r="J608" i="16"/>
  <c r="P607" i="16"/>
  <c r="J609" i="16"/>
  <c r="P608" i="16"/>
  <c r="J610" i="16"/>
  <c r="P609" i="16"/>
  <c r="J611" i="16"/>
  <c r="P610" i="16"/>
  <c r="J612" i="16"/>
  <c r="P611" i="16"/>
  <c r="J613" i="16"/>
  <c r="P612" i="16"/>
  <c r="J614" i="16"/>
  <c r="P613" i="16"/>
  <c r="J615" i="16"/>
  <c r="P614" i="16"/>
  <c r="J616" i="16"/>
  <c r="P615" i="16"/>
  <c r="J617" i="16"/>
  <c r="P616" i="16"/>
  <c r="J618" i="16"/>
  <c r="P617" i="16"/>
  <c r="J619" i="16"/>
  <c r="P618" i="16"/>
  <c r="J620" i="16"/>
  <c r="P619" i="16"/>
  <c r="J621" i="16"/>
  <c r="P620" i="16"/>
  <c r="J622" i="16"/>
  <c r="P621" i="16"/>
  <c r="J623" i="16"/>
  <c r="P622" i="16"/>
  <c r="J624" i="16"/>
  <c r="P623" i="16"/>
  <c r="J625" i="16"/>
  <c r="P624" i="16"/>
  <c r="J626" i="16"/>
  <c r="P625" i="16"/>
  <c r="J627" i="16"/>
  <c r="P626" i="16"/>
  <c r="J628" i="16"/>
  <c r="P627" i="16"/>
  <c r="J629" i="16"/>
  <c r="P628" i="16"/>
  <c r="J630" i="16"/>
  <c r="P629" i="16"/>
  <c r="J631" i="16"/>
  <c r="P630" i="16"/>
  <c r="J632" i="16"/>
  <c r="P631" i="16"/>
  <c r="J633" i="16"/>
  <c r="P632" i="16"/>
  <c r="J634" i="16"/>
  <c r="P633" i="16"/>
  <c r="J635" i="16"/>
  <c r="P634" i="16"/>
  <c r="J636" i="16"/>
  <c r="P635" i="16"/>
  <c r="J637" i="16"/>
  <c r="P636" i="16"/>
  <c r="J638" i="16"/>
  <c r="P637" i="16"/>
  <c r="J639" i="16"/>
  <c r="P638" i="16"/>
  <c r="J640" i="16"/>
  <c r="P639" i="16"/>
  <c r="J641" i="16"/>
  <c r="P640" i="16"/>
  <c r="J642" i="16"/>
  <c r="P641" i="16"/>
  <c r="J643" i="16"/>
  <c r="P642" i="16"/>
  <c r="J644" i="16"/>
  <c r="P643" i="16"/>
  <c r="J645" i="16"/>
  <c r="P644" i="16"/>
  <c r="J646" i="16"/>
  <c r="P645" i="16"/>
  <c r="J647" i="16"/>
  <c r="P646" i="16"/>
  <c r="J648" i="16"/>
  <c r="P647" i="16"/>
  <c r="J649" i="16"/>
  <c r="P648" i="16"/>
  <c r="J650" i="16"/>
  <c r="P649" i="16"/>
  <c r="J651" i="16"/>
  <c r="P650" i="16"/>
  <c r="J652" i="16"/>
  <c r="P651" i="16"/>
  <c r="J653" i="16"/>
  <c r="P652" i="16"/>
  <c r="J654" i="16"/>
  <c r="P653" i="16"/>
  <c r="J655" i="16"/>
  <c r="P654" i="16"/>
  <c r="J656" i="16"/>
  <c r="P655" i="16"/>
  <c r="J657" i="16"/>
  <c r="P656" i="16"/>
  <c r="J658" i="16"/>
  <c r="P657" i="16"/>
  <c r="J659" i="16"/>
  <c r="P658" i="16"/>
  <c r="J660" i="16"/>
  <c r="P659" i="16"/>
  <c r="J661" i="16"/>
  <c r="P660" i="16"/>
  <c r="J662" i="16"/>
  <c r="P661" i="16"/>
  <c r="J663" i="16"/>
  <c r="P662" i="16"/>
  <c r="J664" i="16"/>
  <c r="P663" i="16"/>
  <c r="J665" i="16"/>
  <c r="P664" i="16"/>
  <c r="J666" i="16"/>
  <c r="P665" i="16"/>
  <c r="J667" i="16"/>
  <c r="P666" i="16"/>
  <c r="J668" i="16"/>
  <c r="P667" i="16"/>
  <c r="J669" i="16"/>
  <c r="P668" i="16"/>
  <c r="J670" i="16"/>
  <c r="P669" i="16"/>
  <c r="J671" i="16"/>
  <c r="P670" i="16"/>
  <c r="J672" i="16"/>
  <c r="P671" i="16"/>
  <c r="J673" i="16"/>
  <c r="P672" i="16"/>
  <c r="J674" i="16"/>
  <c r="P673" i="16"/>
  <c r="J675" i="16"/>
  <c r="P674" i="16"/>
  <c r="J676" i="16"/>
  <c r="P675" i="16"/>
  <c r="J677" i="16"/>
  <c r="P676" i="16"/>
  <c r="J678" i="16"/>
  <c r="P677" i="16"/>
  <c r="J679" i="16"/>
  <c r="P678" i="16"/>
  <c r="J680" i="16"/>
  <c r="P679" i="16"/>
  <c r="J681" i="16"/>
  <c r="P680" i="16"/>
  <c r="J682" i="16"/>
  <c r="P681" i="16"/>
  <c r="J683" i="16"/>
  <c r="P682" i="16"/>
  <c r="J684" i="16"/>
  <c r="P683" i="16"/>
  <c r="J685" i="16"/>
  <c r="P684" i="16"/>
  <c r="J686" i="16"/>
  <c r="P685" i="16"/>
  <c r="J687" i="16"/>
  <c r="P686" i="16"/>
  <c r="J688" i="16"/>
  <c r="P687" i="16"/>
  <c r="J689" i="16"/>
  <c r="P688" i="16"/>
  <c r="J690" i="16"/>
  <c r="P689" i="16"/>
  <c r="J691" i="16"/>
  <c r="P690" i="16"/>
  <c r="J692" i="16"/>
  <c r="P691" i="16"/>
  <c r="J693" i="16"/>
  <c r="P692" i="16"/>
  <c r="J694" i="16"/>
  <c r="P693" i="16"/>
  <c r="J695" i="16"/>
  <c r="P694" i="16"/>
  <c r="J696" i="16"/>
  <c r="P695" i="16"/>
  <c r="J697" i="16"/>
  <c r="P696" i="16"/>
  <c r="J698" i="16"/>
  <c r="P697" i="16"/>
  <c r="J699" i="16"/>
  <c r="P698" i="16"/>
  <c r="J700" i="16"/>
  <c r="P699" i="16"/>
  <c r="J701" i="16"/>
  <c r="P700" i="16"/>
  <c r="J702" i="16"/>
  <c r="P701" i="16"/>
  <c r="J703" i="16"/>
  <c r="P702" i="16"/>
  <c r="J704" i="16"/>
  <c r="P703" i="16"/>
  <c r="J705" i="16"/>
  <c r="P704" i="16"/>
  <c r="J706" i="16"/>
  <c r="P705" i="16"/>
  <c r="J707" i="16"/>
  <c r="P706" i="16"/>
  <c r="J708" i="16"/>
  <c r="P707" i="16"/>
  <c r="J709" i="16"/>
  <c r="P708" i="16"/>
  <c r="J710" i="16"/>
  <c r="P709" i="16"/>
  <c r="J711" i="16"/>
  <c r="P710" i="16"/>
  <c r="J712" i="16"/>
  <c r="P711" i="16"/>
  <c r="J713" i="16"/>
  <c r="P712" i="16"/>
  <c r="J714" i="16"/>
  <c r="P713" i="16"/>
  <c r="J715" i="16"/>
  <c r="P714" i="16"/>
  <c r="J716" i="16"/>
  <c r="P715" i="16"/>
  <c r="J717" i="16"/>
  <c r="P716" i="16"/>
  <c r="J718" i="16"/>
  <c r="P717" i="16"/>
  <c r="J719" i="16"/>
  <c r="P718" i="16"/>
  <c r="J720" i="16"/>
  <c r="P719" i="16"/>
  <c r="J721" i="16"/>
  <c r="P720" i="16"/>
  <c r="J722" i="16"/>
  <c r="P721" i="16"/>
  <c r="J723" i="16"/>
  <c r="P722" i="16"/>
  <c r="J724" i="16"/>
  <c r="P723" i="16"/>
  <c r="J725" i="16"/>
  <c r="P724" i="16"/>
  <c r="J726" i="16"/>
  <c r="P725" i="16"/>
  <c r="J727" i="16"/>
  <c r="P726" i="16"/>
  <c r="J728" i="16"/>
  <c r="P727" i="16"/>
  <c r="J729" i="16"/>
  <c r="P728" i="16"/>
  <c r="J730" i="16"/>
  <c r="P729" i="16"/>
  <c r="J731" i="16"/>
  <c r="P730" i="16"/>
  <c r="J732" i="16"/>
  <c r="P731" i="16"/>
  <c r="J733" i="16"/>
  <c r="P732" i="16"/>
  <c r="J734" i="16"/>
  <c r="P733" i="16"/>
  <c r="J735" i="16"/>
  <c r="P734" i="16"/>
  <c r="J736" i="16"/>
  <c r="P735" i="16"/>
  <c r="J737" i="16"/>
  <c r="P736" i="16"/>
  <c r="J738" i="16"/>
  <c r="P737" i="16"/>
  <c r="J739" i="16"/>
  <c r="P738" i="16"/>
  <c r="J740" i="16"/>
  <c r="P739" i="16"/>
  <c r="J741" i="16"/>
  <c r="P740" i="16"/>
  <c r="J742" i="16"/>
  <c r="P741" i="16"/>
  <c r="J743" i="16"/>
  <c r="P742" i="16"/>
  <c r="J744" i="16"/>
  <c r="P743" i="16"/>
  <c r="J745" i="16"/>
  <c r="P744" i="16"/>
  <c r="J746" i="16"/>
  <c r="P745" i="16"/>
  <c r="J747" i="16"/>
  <c r="P746" i="16"/>
  <c r="J748" i="16"/>
  <c r="P747" i="16"/>
  <c r="J749" i="16"/>
  <c r="P748" i="16"/>
  <c r="J750" i="16"/>
  <c r="P749" i="16"/>
  <c r="J751" i="16"/>
  <c r="P750" i="16"/>
  <c r="J752" i="16"/>
  <c r="P751" i="16"/>
  <c r="J753" i="16"/>
  <c r="P752" i="16"/>
  <c r="J754" i="16"/>
  <c r="P753" i="16"/>
  <c r="P754" i="16"/>
  <c r="J755" i="16"/>
  <c r="J756" i="16"/>
  <c r="P755" i="16"/>
  <c r="J757" i="16"/>
  <c r="P756" i="16"/>
  <c r="J758" i="16"/>
  <c r="P757" i="16"/>
  <c r="J759" i="16"/>
  <c r="P758" i="16"/>
  <c r="J760" i="16"/>
  <c r="P759" i="16"/>
  <c r="J761" i="16"/>
  <c r="P760" i="16"/>
  <c r="J762" i="16"/>
  <c r="P761" i="16"/>
  <c r="J763" i="16"/>
  <c r="P762" i="16"/>
  <c r="J764" i="16"/>
  <c r="P763" i="16"/>
  <c r="J765" i="16"/>
  <c r="P764" i="16"/>
  <c r="J766" i="16"/>
  <c r="P765" i="16"/>
  <c r="J767" i="16"/>
  <c r="P766" i="16"/>
  <c r="J768" i="16"/>
  <c r="P767" i="16"/>
  <c r="J769" i="16"/>
  <c r="P768" i="16"/>
  <c r="J770" i="16"/>
  <c r="P769" i="16"/>
  <c r="J771" i="16"/>
  <c r="P770" i="16"/>
  <c r="J772" i="16"/>
  <c r="P771" i="16"/>
  <c r="J773" i="16"/>
  <c r="P772" i="16"/>
  <c r="J774" i="16"/>
  <c r="P773" i="16"/>
  <c r="J775" i="16"/>
  <c r="P774" i="16"/>
  <c r="J776" i="16"/>
  <c r="P775" i="16"/>
  <c r="J777" i="16"/>
  <c r="P776" i="16"/>
  <c r="J778" i="16"/>
  <c r="P777" i="16"/>
  <c r="J779" i="16"/>
  <c r="P778" i="16"/>
  <c r="J780" i="16"/>
  <c r="P779" i="16"/>
  <c r="J781" i="16"/>
  <c r="P780" i="16"/>
  <c r="J782" i="16"/>
  <c r="P781" i="16"/>
  <c r="J783" i="16"/>
  <c r="P782" i="16"/>
  <c r="J784" i="16"/>
  <c r="P783" i="16"/>
  <c r="J785" i="16"/>
  <c r="P784" i="16"/>
  <c r="J786" i="16"/>
  <c r="P785" i="16"/>
  <c r="J787" i="16"/>
  <c r="P786" i="16"/>
  <c r="J788" i="16"/>
  <c r="P787" i="16"/>
  <c r="J789" i="16"/>
  <c r="P788" i="16"/>
  <c r="J790" i="16"/>
  <c r="P789" i="16"/>
  <c r="J791" i="16"/>
  <c r="P790" i="16"/>
  <c r="J792" i="16"/>
  <c r="P791" i="16"/>
  <c r="J793" i="16"/>
  <c r="P792" i="16"/>
  <c r="J794" i="16"/>
  <c r="P793" i="16"/>
  <c r="J795" i="16"/>
  <c r="P794" i="16"/>
  <c r="J796" i="16"/>
  <c r="P795" i="16"/>
  <c r="J797" i="16"/>
  <c r="P796" i="16"/>
  <c r="J798" i="16"/>
  <c r="P797" i="16"/>
  <c r="J799" i="16"/>
  <c r="P798" i="16"/>
  <c r="J800" i="16"/>
  <c r="P799" i="16"/>
  <c r="J801" i="16"/>
  <c r="P800" i="16"/>
  <c r="J802" i="16"/>
  <c r="P801" i="16"/>
  <c r="J803" i="16"/>
  <c r="P802" i="16"/>
  <c r="J804" i="16"/>
  <c r="P803" i="16"/>
  <c r="J805" i="16"/>
  <c r="P804" i="16"/>
  <c r="J806" i="16"/>
  <c r="P805" i="16"/>
  <c r="J807" i="16"/>
  <c r="P806" i="16"/>
  <c r="J808" i="16"/>
  <c r="P807" i="16"/>
  <c r="J809" i="16"/>
  <c r="P808" i="16"/>
  <c r="J810" i="16"/>
  <c r="P809" i="16"/>
  <c r="J811" i="16"/>
  <c r="P810" i="16"/>
  <c r="J812" i="16"/>
  <c r="P811" i="16"/>
  <c r="J813" i="16"/>
  <c r="P812" i="16"/>
  <c r="J814" i="16"/>
  <c r="P813" i="16"/>
  <c r="J815" i="16"/>
  <c r="P814" i="16"/>
  <c r="J816" i="16"/>
  <c r="P815" i="16"/>
  <c r="J817" i="16"/>
  <c r="P816" i="16"/>
  <c r="J818" i="16"/>
  <c r="P817" i="16"/>
  <c r="P818" i="16"/>
  <c r="J819" i="16"/>
  <c r="J820" i="16"/>
  <c r="P819" i="16"/>
  <c r="J821" i="16"/>
  <c r="P820" i="16"/>
  <c r="J822" i="16"/>
  <c r="P821" i="16"/>
  <c r="P822" i="16"/>
  <c r="J823" i="16"/>
  <c r="J824" i="16"/>
  <c r="P823" i="16"/>
  <c r="J825" i="16"/>
  <c r="P824" i="16"/>
  <c r="J826" i="16"/>
  <c r="P825" i="16"/>
  <c r="J827" i="16"/>
  <c r="P826" i="16"/>
  <c r="J828" i="16"/>
  <c r="P827" i="16"/>
  <c r="J829" i="16"/>
  <c r="P828" i="16"/>
  <c r="J830" i="16"/>
  <c r="P829" i="16"/>
  <c r="J831" i="16"/>
  <c r="P830" i="16"/>
  <c r="J832" i="16"/>
  <c r="P831" i="16"/>
  <c r="J833" i="16"/>
  <c r="P832" i="16"/>
  <c r="J834" i="16"/>
  <c r="P833" i="16"/>
  <c r="J835" i="16"/>
  <c r="J836" i="16"/>
  <c r="P834" i="16"/>
  <c r="J837" i="16"/>
  <c r="P836" i="16"/>
  <c r="J838" i="16"/>
  <c r="P837" i="16"/>
  <c r="J839" i="16"/>
  <c r="P838" i="16"/>
  <c r="J840" i="16"/>
  <c r="J841" i="16"/>
  <c r="P839" i="16"/>
  <c r="L60" i="20"/>
  <c r="M60" i="20"/>
  <c r="J842" i="16"/>
  <c r="P841" i="16"/>
  <c r="J843" i="16"/>
  <c r="P842" i="16"/>
  <c r="J844" i="16"/>
  <c r="P843" i="16"/>
  <c r="J845" i="16"/>
  <c r="P844" i="16"/>
  <c r="J846" i="16"/>
  <c r="P845" i="16"/>
  <c r="J847" i="16"/>
  <c r="J848" i="16"/>
  <c r="P846" i="16"/>
  <c r="J849" i="16"/>
  <c r="P848" i="16"/>
  <c r="J850" i="16"/>
  <c r="P849" i="16"/>
  <c r="J851" i="16"/>
  <c r="P850" i="16"/>
  <c r="L40" i="20"/>
  <c r="M40" i="20"/>
  <c r="J852" i="16"/>
  <c r="P851" i="16"/>
  <c r="J853" i="16"/>
  <c r="P852" i="16"/>
  <c r="J854" i="16"/>
  <c r="P853" i="16"/>
  <c r="P854" i="16"/>
  <c r="J855" i="16"/>
  <c r="J856" i="16"/>
  <c r="P855" i="16"/>
  <c r="J857" i="16"/>
  <c r="P856" i="16"/>
  <c r="J858" i="16"/>
  <c r="P857" i="16"/>
  <c r="J859" i="16"/>
  <c r="P858" i="16"/>
  <c r="J860" i="16"/>
  <c r="P859" i="16"/>
  <c r="J861" i="16"/>
  <c r="P860" i="16"/>
  <c r="J862" i="16"/>
  <c r="P861" i="16"/>
  <c r="J863" i="16"/>
  <c r="P862" i="16"/>
  <c r="J864" i="16"/>
  <c r="P863" i="16"/>
  <c r="J865" i="16"/>
  <c r="P864" i="16"/>
  <c r="J866" i="16"/>
  <c r="P865" i="16"/>
  <c r="P866" i="16"/>
  <c r="J867" i="16"/>
  <c r="J868" i="16"/>
  <c r="P867" i="16"/>
  <c r="J869" i="16"/>
  <c r="P868" i="16"/>
  <c r="J870" i="16"/>
  <c r="P869" i="16"/>
  <c r="P870" i="16"/>
  <c r="J871" i="16"/>
  <c r="J872" i="16"/>
  <c r="P871" i="16"/>
  <c r="J873" i="16"/>
  <c r="P872" i="16"/>
  <c r="J874" i="16"/>
  <c r="P873" i="16"/>
  <c r="J875" i="16"/>
  <c r="P874" i="16"/>
  <c r="J876" i="16"/>
  <c r="P875" i="16"/>
  <c r="J877" i="16"/>
  <c r="P876" i="16"/>
  <c r="J878" i="16"/>
  <c r="P877" i="16"/>
  <c r="J879" i="16"/>
  <c r="P878" i="16"/>
  <c r="J880" i="16"/>
  <c r="P879" i="16"/>
  <c r="J881" i="16"/>
  <c r="P880" i="16"/>
  <c r="J882" i="16"/>
  <c r="P881" i="16"/>
  <c r="P882" i="16"/>
  <c r="J883" i="16"/>
  <c r="J884" i="16"/>
  <c r="P883" i="16"/>
  <c r="J885" i="16"/>
  <c r="P884" i="16"/>
  <c r="J886" i="16"/>
  <c r="P885" i="16"/>
  <c r="P886" i="16"/>
  <c r="J887" i="16"/>
  <c r="J888" i="16"/>
  <c r="P887" i="16"/>
  <c r="J889" i="16"/>
  <c r="P888" i="16"/>
  <c r="J890" i="16"/>
  <c r="P889" i="16"/>
  <c r="J891" i="16"/>
  <c r="P890" i="16"/>
  <c r="J892" i="16"/>
  <c r="P891" i="16"/>
  <c r="J893" i="16"/>
  <c r="P892" i="16"/>
  <c r="J894" i="16"/>
  <c r="P893" i="16"/>
  <c r="J895" i="16"/>
  <c r="P894" i="16"/>
  <c r="J896" i="16"/>
  <c r="P895" i="16"/>
  <c r="J897" i="16"/>
  <c r="P896" i="16"/>
  <c r="J898" i="16"/>
  <c r="P897" i="16"/>
  <c r="J899" i="16"/>
  <c r="P898" i="16"/>
  <c r="J900" i="16"/>
  <c r="P899" i="16"/>
  <c r="P900" i="16"/>
  <c r="J901" i="16"/>
  <c r="J902" i="16"/>
  <c r="P901" i="16"/>
  <c r="J903" i="16"/>
  <c r="P902" i="16"/>
  <c r="J904" i="16"/>
  <c r="P903" i="16"/>
  <c r="J905" i="16"/>
  <c r="P904" i="16"/>
  <c r="J906" i="16"/>
  <c r="P905" i="16"/>
  <c r="J907" i="16"/>
  <c r="P906" i="16"/>
  <c r="J908" i="16"/>
  <c r="P907" i="16"/>
  <c r="P908" i="16"/>
  <c r="J909" i="16"/>
  <c r="J910" i="16"/>
  <c r="P909" i="16"/>
  <c r="J911" i="16"/>
  <c r="P910" i="16"/>
  <c r="J912" i="16"/>
  <c r="P911" i="16"/>
  <c r="J913" i="16"/>
  <c r="P912" i="16"/>
  <c r="J914" i="16"/>
  <c r="P913" i="16"/>
  <c r="J915" i="16"/>
  <c r="P914" i="16"/>
  <c r="J916" i="16"/>
  <c r="P915" i="16"/>
  <c r="P916" i="16"/>
  <c r="J917" i="16"/>
  <c r="J918" i="16"/>
  <c r="P917" i="16"/>
  <c r="J919" i="16"/>
  <c r="P918" i="16"/>
  <c r="J920" i="16"/>
  <c r="P919" i="16"/>
  <c r="J921" i="16"/>
  <c r="P920" i="16"/>
  <c r="J922" i="16"/>
  <c r="P921" i="16"/>
  <c r="J923" i="16"/>
  <c r="P922" i="16"/>
  <c r="J924" i="16"/>
  <c r="P923" i="16"/>
  <c r="P924" i="16"/>
  <c r="J925" i="16"/>
  <c r="J926" i="16"/>
  <c r="P925" i="16"/>
  <c r="J927" i="16"/>
  <c r="P926" i="16"/>
  <c r="J928" i="16"/>
  <c r="P927" i="16"/>
  <c r="J929" i="16"/>
  <c r="P928" i="16"/>
  <c r="J930" i="16"/>
  <c r="J931" i="16"/>
  <c r="P929" i="16"/>
  <c r="J932" i="16"/>
  <c r="P931" i="16"/>
  <c r="P932" i="16"/>
  <c r="J933" i="16"/>
  <c r="J934" i="16"/>
  <c r="P933" i="16"/>
  <c r="J935" i="16"/>
  <c r="P934" i="16"/>
  <c r="J936" i="16"/>
  <c r="P935" i="16"/>
  <c r="J937" i="16"/>
  <c r="P936" i="16"/>
  <c r="J938" i="16"/>
  <c r="P937" i="16"/>
  <c r="J939" i="16"/>
  <c r="P938" i="16"/>
  <c r="J940" i="16"/>
  <c r="P939" i="16"/>
  <c r="P940" i="16"/>
  <c r="J941" i="16"/>
  <c r="J942" i="16"/>
  <c r="P941" i="16"/>
  <c r="J943" i="16"/>
  <c r="P942" i="16"/>
  <c r="J944" i="16"/>
  <c r="P943" i="16"/>
  <c r="J945" i="16"/>
  <c r="P944" i="16"/>
  <c r="J946" i="16"/>
  <c r="P945" i="16"/>
  <c r="P946" i="16"/>
  <c r="J947" i="16"/>
  <c r="J948" i="16"/>
  <c r="P947" i="16"/>
  <c r="P948" i="16"/>
  <c r="J949" i="16"/>
  <c r="J950" i="16"/>
  <c r="P949" i="16"/>
  <c r="P950" i="16"/>
  <c r="J951" i="16"/>
  <c r="J952" i="16"/>
  <c r="P951" i="16"/>
  <c r="J953" i="16"/>
  <c r="P952" i="16"/>
  <c r="J954" i="16"/>
  <c r="P953" i="16"/>
  <c r="J955" i="16"/>
  <c r="P954" i="16"/>
  <c r="J956" i="16"/>
  <c r="P955" i="16"/>
  <c r="P956" i="16"/>
  <c r="J957" i="16"/>
  <c r="J958" i="16"/>
  <c r="P957" i="16"/>
  <c r="J959" i="16"/>
  <c r="P958" i="16"/>
  <c r="J960" i="16"/>
  <c r="P959" i="16"/>
  <c r="J961" i="16"/>
  <c r="P960" i="16"/>
  <c r="J962" i="16"/>
  <c r="P961" i="16"/>
  <c r="J963" i="16"/>
  <c r="P962" i="16"/>
  <c r="J964" i="16"/>
  <c r="P963" i="16"/>
  <c r="P964" i="16"/>
  <c r="J965" i="16"/>
  <c r="P965" i="16"/>
  <c r="J966" i="16"/>
  <c r="J967" i="16"/>
  <c r="P966" i="16"/>
  <c r="J968" i="16"/>
  <c r="P967" i="16"/>
  <c r="P968" i="16"/>
  <c r="J969" i="16"/>
  <c r="J970" i="16"/>
  <c r="P969" i="16"/>
  <c r="J971" i="16"/>
  <c r="P970" i="16"/>
  <c r="J972" i="16"/>
  <c r="P971" i="16"/>
  <c r="P972" i="16"/>
  <c r="J973" i="16"/>
  <c r="P973" i="16"/>
  <c r="J974" i="16"/>
  <c r="J975" i="16"/>
  <c r="P974" i="16"/>
  <c r="J976" i="16"/>
  <c r="P975" i="16"/>
  <c r="P976" i="16"/>
  <c r="J977" i="16"/>
  <c r="J978" i="16"/>
  <c r="P977" i="16"/>
  <c r="J979" i="16"/>
  <c r="P978" i="16"/>
  <c r="P979" i="16"/>
  <c r="J980" i="16"/>
  <c r="P980" i="16"/>
  <c r="J981" i="16"/>
  <c r="P981" i="16"/>
  <c r="J982" i="16"/>
  <c r="J983" i="16"/>
  <c r="P982" i="16"/>
  <c r="J984" i="16"/>
  <c r="P983" i="16"/>
  <c r="P984" i="16"/>
  <c r="J985" i="16"/>
  <c r="J986" i="16"/>
  <c r="P985" i="16"/>
  <c r="J987" i="16"/>
  <c r="P986" i="16"/>
  <c r="P987" i="16"/>
  <c r="J988" i="16"/>
  <c r="P988" i="16"/>
  <c r="J989" i="16"/>
  <c r="P989" i="16"/>
  <c r="J990" i="16"/>
  <c r="J991" i="16"/>
  <c r="P990" i="16"/>
  <c r="J992" i="16"/>
  <c r="P991" i="16"/>
  <c r="P992" i="16"/>
  <c r="J993" i="16"/>
  <c r="J994" i="16"/>
  <c r="P993" i="16"/>
  <c r="J995" i="16"/>
  <c r="P994" i="16"/>
  <c r="P995" i="16"/>
  <c r="J996" i="16"/>
  <c r="P996" i="16"/>
  <c r="J997" i="16"/>
  <c r="P997" i="16"/>
  <c r="J998" i="16"/>
  <c r="J999" i="16"/>
  <c r="P998" i="16"/>
  <c r="J1000" i="16"/>
  <c r="P999" i="16"/>
  <c r="P1000" i="16"/>
  <c r="J1001" i="16"/>
  <c r="J1002" i="16"/>
  <c r="P1001" i="16"/>
  <c r="J1003" i="16"/>
  <c r="P1002" i="16"/>
  <c r="P1003" i="16"/>
  <c r="J1004" i="16"/>
  <c r="P1004" i="16"/>
  <c r="J1005" i="16"/>
  <c r="P1005" i="16"/>
  <c r="J1006" i="16"/>
  <c r="J1007" i="16"/>
  <c r="P1006" i="16"/>
  <c r="J1008" i="16"/>
  <c r="P1007" i="16"/>
  <c r="P1008" i="16"/>
  <c r="J1009" i="16"/>
  <c r="J1010" i="16"/>
  <c r="P1009" i="16"/>
  <c r="J1011" i="16"/>
  <c r="P1010" i="16"/>
  <c r="P1011" i="16"/>
  <c r="J1012" i="16"/>
  <c r="P1012" i="16"/>
  <c r="J1013" i="16"/>
  <c r="P1013" i="16"/>
  <c r="J1014" i="16"/>
  <c r="J1015" i="16"/>
  <c r="P1014" i="16"/>
  <c r="J1016" i="16"/>
  <c r="P1015" i="16"/>
  <c r="P1016" i="16"/>
  <c r="J1017" i="16"/>
  <c r="J1018" i="16"/>
  <c r="P1017" i="16"/>
  <c r="J1019" i="16"/>
  <c r="P1018" i="16"/>
  <c r="P1019" i="16"/>
  <c r="J1020" i="16"/>
  <c r="P1020" i="16"/>
  <c r="J1021" i="16"/>
  <c r="P1021" i="16"/>
  <c r="J1022" i="16"/>
  <c r="J1023" i="16"/>
  <c r="P1022" i="16"/>
  <c r="J1024" i="16"/>
  <c r="P1023" i="16"/>
  <c r="P1024" i="16"/>
  <c r="J1025" i="16"/>
  <c r="J1026" i="16"/>
  <c r="P1025" i="16"/>
  <c r="J1027" i="16"/>
  <c r="P1026" i="16"/>
  <c r="P1027" i="16"/>
  <c r="J1028" i="16"/>
  <c r="P1028" i="16"/>
  <c r="J1029" i="16"/>
  <c r="P1029" i="16"/>
  <c r="J1030" i="16"/>
  <c r="J1031" i="16"/>
  <c r="P1030" i="16"/>
  <c r="J1032" i="16"/>
  <c r="P1031" i="16"/>
  <c r="P1032" i="16"/>
  <c r="J1033" i="16"/>
  <c r="J1034" i="16"/>
  <c r="P1033" i="16"/>
  <c r="J1035" i="16"/>
  <c r="P1034" i="16"/>
  <c r="P1035" i="16"/>
  <c r="J1036" i="16"/>
  <c r="P1036" i="16"/>
  <c r="J1037" i="16"/>
  <c r="P1037" i="16"/>
  <c r="J1038" i="16"/>
  <c r="J1039" i="16"/>
  <c r="J1040" i="16"/>
  <c r="P1040" i="16"/>
  <c r="J1041" i="16"/>
  <c r="J1042" i="16"/>
  <c r="P1041" i="16"/>
  <c r="J1043" i="16"/>
  <c r="P1042" i="16"/>
  <c r="P1043" i="16"/>
  <c r="J1044" i="16"/>
  <c r="P1044" i="16"/>
  <c r="J1045" i="16"/>
  <c r="P1045" i="16"/>
  <c r="J1046" i="16"/>
  <c r="J1047" i="16"/>
  <c r="P1046" i="16"/>
  <c r="J1048" i="16"/>
  <c r="P1047" i="16"/>
  <c r="P1048" i="16"/>
  <c r="J1049" i="16"/>
  <c r="J1050" i="16"/>
  <c r="P1049" i="16"/>
  <c r="J1051" i="16"/>
  <c r="P1050" i="16"/>
  <c r="P1051" i="16"/>
  <c r="J1052" i="16"/>
  <c r="P1052" i="16"/>
  <c r="J1053" i="16"/>
  <c r="P1053" i="16"/>
  <c r="J1054" i="16"/>
  <c r="J1055" i="16"/>
  <c r="J1056" i="16"/>
  <c r="P1055" i="16"/>
  <c r="P1056" i="16"/>
  <c r="J1057" i="16"/>
  <c r="J1058" i="16"/>
  <c r="J1059" i="16"/>
  <c r="P1057" i="16"/>
  <c r="P1059" i="16"/>
  <c r="J1060" i="16"/>
  <c r="P1060" i="16"/>
  <c r="J1061" i="16"/>
  <c r="J1062" i="16"/>
  <c r="P1061" i="16"/>
  <c r="J1063" i="16"/>
  <c r="P1062" i="16"/>
  <c r="J1064" i="16"/>
  <c r="P1063" i="16"/>
  <c r="P1064" i="16"/>
  <c r="J1065" i="16"/>
  <c r="J1066" i="16"/>
  <c r="P1065" i="16"/>
  <c r="J1067" i="16"/>
  <c r="P1066" i="16"/>
  <c r="P1067" i="16"/>
  <c r="J1068" i="16"/>
  <c r="P1068" i="16"/>
  <c r="J1069" i="16"/>
  <c r="J1070" i="16"/>
  <c r="P1069" i="16"/>
  <c r="J1071" i="16"/>
  <c r="P1070" i="16"/>
  <c r="J1072" i="16"/>
  <c r="P1071" i="16"/>
  <c r="P1072" i="16"/>
  <c r="J1073" i="16"/>
  <c r="J1074" i="16"/>
  <c r="P1073" i="16"/>
  <c r="J1075" i="16"/>
  <c r="P1074" i="16"/>
  <c r="P1075" i="16"/>
  <c r="J1076" i="16"/>
  <c r="J1077" i="16"/>
  <c r="P1077" i="16"/>
  <c r="J1078" i="16"/>
  <c r="J1079" i="16"/>
  <c r="J1080" i="16"/>
  <c r="P1079" i="16"/>
  <c r="J1081" i="16"/>
  <c r="P1080" i="16"/>
  <c r="J1082" i="16"/>
  <c r="P1082" i="16"/>
  <c r="P1081" i="16"/>
  <c r="I16" i="16"/>
  <c r="L16" i="16"/>
  <c r="L42" i="20"/>
  <c r="M42" i="20"/>
  <c r="L43" i="20"/>
  <c r="M43" i="20"/>
  <c r="L44" i="20"/>
  <c r="M44" i="20"/>
  <c r="L45" i="20"/>
  <c r="M45" i="20"/>
  <c r="L46" i="20"/>
  <c r="M46" i="20"/>
  <c r="L47" i="20"/>
  <c r="M47" i="20"/>
  <c r="L52" i="20"/>
  <c r="M52" i="20"/>
  <c r="L54" i="20"/>
  <c r="M54" i="20"/>
  <c r="L55" i="20"/>
  <c r="M55" i="20"/>
  <c r="L56" i="20"/>
  <c r="M56" i="20"/>
  <c r="L57" i="20"/>
  <c r="M57" i="20"/>
  <c r="L58" i="20"/>
  <c r="M58" i="20"/>
  <c r="L59" i="20"/>
  <c r="M59" i="20"/>
  <c r="L62" i="20"/>
  <c r="M62" i="20"/>
  <c r="L64" i="20"/>
  <c r="M64" i="20"/>
  <c r="I17" i="16"/>
  <c r="L17" i="16"/>
  <c r="L48" i="20"/>
  <c r="M48" i="20"/>
  <c r="L53" i="20"/>
  <c r="M53" i="20"/>
  <c r="I18" i="16"/>
  <c r="L18" i="16"/>
  <c r="I19" i="16"/>
  <c r="L49" i="20"/>
  <c r="M49" i="20"/>
  <c r="L51" i="20"/>
  <c r="M51" i="20"/>
  <c r="L39" i="20"/>
  <c r="M39" i="20"/>
  <c r="L50" i="20"/>
  <c r="M50" i="20"/>
  <c r="M29" i="20"/>
  <c r="J20" i="20"/>
  <c r="L19" i="16"/>
  <c r="J22" i="20"/>
  <c r="C22" i="20"/>
  <c r="G19" i="25"/>
  <c r="J8" i="25"/>
  <c r="G21"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<sst xmlns="http://schemas.openxmlformats.org/spreadsheetml/2006/main" count="5635" uniqueCount="823">
  <si>
    <t>Key outputs</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</si>
  <si>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</si>
  <si>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</si>
  <si>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</si>
  <si>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</si>
  <si>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</si>
  <si>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</si>
  <si>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</si>
  <si>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</si>
  <si>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</si>
  <si>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</si>
  <si>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</si>
  <si>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</si>
  <si>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</si>
  <si>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</si>
  <si>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</si>
  <si>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</si>
  <si>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</si>
  <si>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</si>
  <si>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</si>
  <si>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</si>
  <si>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</si>
  <si>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</si>
  <si>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</si>
  <si>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</si>
  <si>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</si>
  <si>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</si>
  <si>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</si>
  <si>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</si>
  <si>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</si>
  <si>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</si>
  <si>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</si>
  <si>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</si>
  <si>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</si>
  <si>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</si>
  <si>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</si>
  <si>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</si>
  <si>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</si>
  <si>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</si>
  <si>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</si>
  <si>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</si>
  <si>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</si>
  <si>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</si>
  <si>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</si>
  <si>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</si>
  <si>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</si>
  <si>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</si>
  <si>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</si>
  <si>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</si>
  <si>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</si>
  <si>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</si>
  <si>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</si>
  <si>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</si>
  <si>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</si>
  <si>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</si>
  <si>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</si>
  <si>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</si>
  <si>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</si>
  <si>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</si>
  <si>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</si>
  <si>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</si>
  <si>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</si>
  <si>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</si>
  <si>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</si>
  <si>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</si>
  <si>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</si>
  <si>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</si>
  <si>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</si>
  <si>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</si>
  <si>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</si>
  <si>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</si>
  <si>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</si>
  <si>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</si>
  <si>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</si>
  <si>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</si>
  <si>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</si>
  <si>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</si>
  <si>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</si>
  <si>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</si>
  <si>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</si>
  <si>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</si>
  <si>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</si>
  <si>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</si>
  <si>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</si>
  <si>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</si>
  <si>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</si>
  <si>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</si>
  <si>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</si>
  <si>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</si>
  <si>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</si>
  <si>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</si>
  <si>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</si>
  <si>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</si>
  <si>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Light industrial</t>
  </si>
  <si>
    <t>Commercial</t>
  </si>
  <si>
    <t>properties</t>
  </si>
  <si>
    <t>hectares</t>
  </si>
  <si>
    <t>New ETs per year for this DSP area</t>
  </si>
  <si>
    <t>2019-20</t>
  </si>
  <si>
    <t>Light grey - inputs not required, cells should be left unchanged.</t>
  </si>
  <si>
    <t>of which:</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</si>
  <si>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</si>
  <si>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</si>
  <si>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</si>
  <si>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</si>
  <si>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</si>
  <si>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</si>
  <si>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</si>
  <si>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</si>
  <si>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</si>
  <si>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</si>
  <si>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</si>
  <si>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</si>
  <si>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</si>
  <si>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</si>
  <si>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The plural of the units will only affect headings.</t>
  </si>
  <si>
    <t>EQUIVALENT TENEMENTS (ETs) SINCE 1 JULY 1996 RELATING TO THE DSP UNDER CONSIDERATION</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</si>
  <si>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</si>
  <si>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</si>
  <si>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</si>
  <si>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</si>
  <si>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</si>
  <si>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</si>
  <si>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</si>
  <si>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</si>
  <si>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</si>
  <si>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</si>
  <si>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</si>
  <si>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</si>
  <si>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</si>
  <si>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</si>
  <si>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</si>
  <si>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</si>
  <si>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</si>
  <si>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</si>
  <si>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</si>
  <si>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</si>
  <si>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</si>
  <si>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</si>
  <si>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</si>
  <si>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</si>
  <si>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</si>
  <si>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</si>
  <si>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</si>
  <si>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</si>
  <si>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</si>
  <si>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</si>
  <si>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</si>
  <si>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</si>
  <si>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</si>
  <si>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</si>
  <si>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</si>
  <si>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</si>
  <si>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</si>
  <si>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</si>
  <si>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</si>
  <si>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</si>
  <si>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</si>
  <si>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</si>
  <si>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</si>
  <si>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</si>
  <si>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</si>
  <si>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</si>
  <si>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</si>
  <si>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</si>
  <si>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</si>
  <si>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</si>
  <si>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</si>
  <si>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</si>
  <si>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</si>
  <si>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</si>
  <si>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</si>
  <si>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</si>
  <si>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</si>
  <si>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</si>
  <si>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</si>
  <si>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</si>
  <si>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</si>
  <si>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</si>
  <si>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</si>
  <si>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</si>
  <si>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</si>
  <si>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</si>
  <si>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</si>
  <si>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</si>
  <si>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</si>
  <si>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(e)</t>
  </si>
  <si>
    <t>(f)</t>
  </si>
  <si>
    <t>Asset exclusions'!A1</t>
  </si>
  <si>
    <t>As explained in IPART's Report (Box 2.4, page 29) , headworks not owned by the agency should also be included in these calculations.</t>
  </si>
  <si>
    <t>Summary of maximum price for a new development</t>
  </si>
  <si>
    <t>Maximum price formula:</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</si>
  <si>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</si>
  <si>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</si>
  <si>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</si>
  <si>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</si>
  <si>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</si>
  <si>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</si>
  <si>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</si>
  <si>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</si>
  <si>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</si>
  <si>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</si>
  <si>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</si>
  <si>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</si>
  <si>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</si>
  <si>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</si>
  <si>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</si>
  <si>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MP</t>
  </si>
  <si>
    <t>Register of pre-1996 assets</t>
  </si>
  <si>
    <t>Register of post-1996 commissioned assets</t>
  </si>
  <si>
    <t>Register of uncommissioned assets</t>
  </si>
  <si>
    <t>HOW DOES THE TEMPLATE WORK?</t>
  </si>
  <si>
    <t>What's in the Template?</t>
  </si>
  <si>
    <t>Scheme cost allocation</t>
  </si>
  <si>
    <t>A separate worksheet has been provided to capture scheme cost allocation:</t>
  </si>
  <si>
    <t>The purpose of this worksheet is to record, at a high level, the underlying data that are used to calculate the Scheme cost allocation per ET.</t>
  </si>
  <si>
    <t>Calculation of the asset component of the maximum price (excluding headworks and scheme cost allocation).</t>
  </si>
  <si>
    <t>'SCHEME COST ALLOCATION' : CALCULATIONS</t>
  </si>
  <si>
    <t>Please present, in this worksheet, the underlying high level data and analysis related to the generation of the scheme cost allocation per ET for the service for which this maximum price is being calculated.</t>
  </si>
  <si>
    <t>Scheme cost allocation per ET</t>
  </si>
  <si>
    <t>Financial year of registration for the DSP</t>
  </si>
  <si>
    <t>Reason for change</t>
  </si>
  <si>
    <t>Description of change</t>
  </si>
  <si>
    <t>Place change made</t>
  </si>
  <si>
    <t>Template Version</t>
  </si>
  <si>
    <t>Align template with Determination</t>
  </si>
  <si>
    <t>Column H, MP Calculations worksheet</t>
  </si>
  <si>
    <t>V1.01</t>
  </si>
  <si>
    <t>Columns N &amp; O, MP Calculations worksheet</t>
  </si>
  <si>
    <t>Date change made</t>
  </si>
  <si>
    <t>Limit ET profile used in calculating reduction amount per ET to 30 forecast years only. Previously extended to 1995-96.</t>
  </si>
  <si>
    <t>Removed the time limit for uncommissioned assets.  Previous time limit was to year 30.</t>
  </si>
  <si>
    <t xml:space="preserve">Include an additional input "Scheme costs allocation per ET" to allow for cost offsets for non-least cost recycled water schemes to be incorporated.  </t>
  </si>
  <si>
    <t>JOURNAL OF CHANGES</t>
  </si>
  <si>
    <t>IPART - Maximum prices for connecting to a recycled water system - July 2019</t>
  </si>
  <si>
    <t>Please refer to the above link for guidance on calculating the scheme cost allocation amount.</t>
  </si>
  <si>
    <t>Expansion to account for the Maximum prices for connecting to a recycled water system Determination July 2019.</t>
  </si>
  <si>
    <t>Value of post-1996 uncommissioned assets to be collected through this DSP (undiscounted)</t>
  </si>
  <si>
    <t>Present value of post-1996 uncommissioned assets (discounted at post-1996 asset discount rate)</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</si>
  <si>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</si>
  <si>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The above two determinations must be read in conjunction to one another.</t>
  </si>
  <si>
    <t>Where the New Development is connecting to a Recycled Water System, the variables may be modified by Schedule 1 or Schedule 2 of the Recycled Water Developer Charges Determination.</t>
  </si>
  <si>
    <t>maximum price per equivalent tenement to be services by the connection.</t>
  </si>
  <si>
    <t>Where this template is being used to calculate the maximum price for connecting to a Recycled Water System, refer to the following provisions of the Recycled Water Developer Charges Determination:</t>
  </si>
  <si>
    <t>These provisions may affect the calculation of the capital charge.</t>
  </si>
  <si>
    <t xml:space="preserve">(b)     Schedule 2, clause 2.2 (where the Recycled Water System is not a Least Cost Servicing Solution). </t>
  </si>
  <si>
    <t>(a)     Schedule 1, clause 2 (where the Recycled Water System is a Least Cost Servicing Solution); and</t>
  </si>
  <si>
    <t xml:space="preserve">Where this spreadsheet is being used to calculate the maximum price for connection of a New Development to a Recycled Water System that is a Least Cost Servicing Solution, </t>
  </si>
  <si>
    <t>revenues from the sale of Recycled Water (see Recycled Water Developer Charges Determination, Sch 1, cl 3).</t>
  </si>
  <si>
    <t>the reduction amount includes the revenues that the Agency would have received had the supply of potable water not been substituted with Recycled Water, but excludes the</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</si>
  <si>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</si>
  <si>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</si>
  <si>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</si>
  <si>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any asset or part of an asset that was unreasonably oversized relative to system and capacity requirements, based on available demographic data at the time it was commissioned;</t>
  </si>
  <si>
    <t>any assets or part of an asset funded by Developers and transferred free of charge to the Agency.</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</si>
  <si>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</si>
  <si>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</si>
  <si>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</si>
  <si>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</si>
  <si>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</si>
  <si>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</si>
  <si>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</si>
  <si>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any Pre-1970 Assets; and</t>
  </si>
  <si>
    <t>all assets or parts of assets (including headworks), apart from Excluded Assets, allocated to a DSP where there is a nexus (close connection) to the Development they are intended to serve and includes assets that:</t>
  </si>
  <si>
    <t>is the financial year which is 30 years from the financial year in which the relevant DSP was registered with IPART under clause 2(e) of Schedule 4 of the Determination.</t>
  </si>
  <si>
    <r>
      <t>PV(L</t>
    </r>
    <r>
      <rPr>
        <vertAlign val="subscript"/>
        <sz val="9"/>
        <rFont val="Arial"/>
        <family val="2"/>
      </rPr>
      <t>1</t>
    </r>
    <r>
      <rPr>
        <sz val="9"/>
        <rFont val="Arial"/>
        <family val="2"/>
      </rPr>
      <t>)</t>
    </r>
  </si>
  <si>
    <r>
      <t>PV(L</t>
    </r>
    <r>
      <rPr>
        <vertAlign val="subscript"/>
        <sz val="9"/>
        <rFont val="Arial"/>
        <family val="2"/>
      </rPr>
      <t>2</t>
    </r>
    <r>
      <rPr>
        <sz val="9"/>
        <rFont val="Arial"/>
        <family val="2"/>
      </rPr>
      <t>)</t>
    </r>
  </si>
  <si>
    <r>
      <t>PV(L</t>
    </r>
    <r>
      <rPr>
        <vertAlign val="subscript"/>
        <sz val="9"/>
        <rFont val="Arial"/>
        <family val="2"/>
      </rPr>
      <t>3</t>
    </r>
    <r>
      <rPr>
        <sz val="9"/>
        <rFont val="Arial"/>
        <family val="2"/>
      </rPr>
      <t>)</t>
    </r>
  </si>
  <si>
    <t xml:space="preserve"> G22, MP Calculations worksheet
Scheme cost allocation worksheet</t>
  </si>
  <si>
    <t>Non-residential</t>
  </si>
  <si>
    <t>N/A</t>
  </si>
  <si>
    <t>Annual water consumption</t>
  </si>
  <si>
    <t xml:space="preserve">Revene </t>
  </si>
  <si>
    <t>check</t>
  </si>
  <si>
    <t>Discharge volume, kL</t>
  </si>
  <si>
    <t>Usage revenue, $</t>
  </si>
  <si>
    <t>Service revenue, $</t>
  </si>
  <si>
    <t xml:space="preserve">Total revenue,$ </t>
  </si>
  <si>
    <t>Operating costs</t>
  </si>
  <si>
    <t>Treatment fixed</t>
  </si>
  <si>
    <t>Treatment variable</t>
  </si>
  <si>
    <t>Asset utilisation after 1 Jan 1996</t>
  </si>
  <si>
    <t>% Growth</t>
  </si>
  <si>
    <t>Gravity main</t>
  </si>
  <si>
    <t>Rising main</t>
  </si>
  <si>
    <t>SPS</t>
  </si>
  <si>
    <t>Total in this file</t>
  </si>
  <si>
    <t>STP</t>
  </si>
  <si>
    <t>Rising mains</t>
  </si>
  <si>
    <t>PRO20021138</t>
  </si>
  <si>
    <t>Pressure Main at ST MARYS</t>
  </si>
  <si>
    <t>Penrith</t>
  </si>
  <si>
    <t>WO 311574</t>
  </si>
  <si>
    <t>WO 309858</t>
  </si>
  <si>
    <t>WO 311569</t>
  </si>
  <si>
    <t>WO 311564</t>
  </si>
  <si>
    <t>Mt Riverview Carrier</t>
  </si>
  <si>
    <t>Mt Riverview_Curves Dr Carrier</t>
  </si>
  <si>
    <t>South Penrith Carrier</t>
  </si>
  <si>
    <t>Emu Plains Carrier</t>
  </si>
  <si>
    <t>Coombes Dr Carrier</t>
  </si>
  <si>
    <t>Knapsack Creek Carrier</t>
  </si>
  <si>
    <t xml:space="preserve">Emu Plains Carrier </t>
  </si>
  <si>
    <t>Castle Rd Carrier</t>
  </si>
  <si>
    <t xml:space="preserve">Emu Park Carrier </t>
  </si>
  <si>
    <t>Station St Carrier</t>
  </si>
  <si>
    <t>Walkers Cres Carrier</t>
  </si>
  <si>
    <t>Glenbrook St Carrier</t>
  </si>
  <si>
    <t>Derby St Carrier</t>
  </si>
  <si>
    <t>York St. Carrier</t>
  </si>
  <si>
    <t>Peach Tree Ave Carrier</t>
  </si>
  <si>
    <t>Castlereagh Rd Carrier</t>
  </si>
  <si>
    <t>Boundary St Carrier</t>
  </si>
  <si>
    <t>Enterprise Rd Carrier</t>
  </si>
  <si>
    <t>Old Bathurst Rd Carrier</t>
  </si>
  <si>
    <t>Regentville Carrier</t>
  </si>
  <si>
    <t>Wedmore Rd Carrier</t>
  </si>
  <si>
    <t>Jeanette St Carrier</t>
  </si>
  <si>
    <t>Jamison Park Carrier</t>
  </si>
  <si>
    <t xml:space="preserve">Old Bathurst Rd Carrier </t>
  </si>
  <si>
    <t>Landy Cres Carrier</t>
  </si>
  <si>
    <t>Coreen Ave Carrier</t>
  </si>
  <si>
    <t>Andrews Rd Carrier</t>
  </si>
  <si>
    <t>Borrowdale Rd Carrier</t>
  </si>
  <si>
    <t>Batt St Carrier</t>
  </si>
  <si>
    <t>Glynn St Carrier</t>
  </si>
  <si>
    <t>McHenry Rd Carrier</t>
  </si>
  <si>
    <t>Maxwell St Carrier</t>
  </si>
  <si>
    <t>Mount Pleasant Carrier</t>
  </si>
  <si>
    <t>Leyland St Carrier</t>
  </si>
  <si>
    <t>School House Creek Carrier</t>
  </si>
  <si>
    <t>School House Creek West Carrier</t>
  </si>
  <si>
    <t>Penrith Leagues Club Carrier</t>
  </si>
  <si>
    <t>Penrith Carrier</t>
  </si>
  <si>
    <t>Carrier S1 Extenstion (extension of School House Creek Carrier)</t>
  </si>
  <si>
    <t>Advance Construction - Glenmore Parkway</t>
  </si>
  <si>
    <t>Surveyors Creek Carrier Section 1</t>
  </si>
  <si>
    <t>300mm Carrier - off Sth Penrith Carrier</t>
  </si>
  <si>
    <t>WO 308016</t>
  </si>
  <si>
    <t>WO 360081</t>
  </si>
  <si>
    <t>WO309946</t>
  </si>
  <si>
    <t>SPS 897 Rising Main 2</t>
  </si>
  <si>
    <t>SPS 897 Rising Main 1</t>
  </si>
  <si>
    <t>SPS 889 Rising Main</t>
  </si>
  <si>
    <t>SPS 892 Rising Main</t>
  </si>
  <si>
    <t>SPS 885 RM No. 1</t>
  </si>
  <si>
    <t>SPS 888 Rising Main</t>
  </si>
  <si>
    <t>SPS 895 Rising Main</t>
  </si>
  <si>
    <t>SPS 884 Rising Main</t>
  </si>
  <si>
    <t>SPS 886 Rising Main</t>
  </si>
  <si>
    <t>SPS 900 Rising Main</t>
  </si>
  <si>
    <t>SPS 899 Rising Main</t>
  </si>
  <si>
    <t>SPS 894 Rising Main 1</t>
  </si>
  <si>
    <t>SPS 902 Rising Main</t>
  </si>
  <si>
    <t>SPS 901 Rising Main</t>
  </si>
  <si>
    <t>SPS 903 Rising Main</t>
  </si>
  <si>
    <t>SPS 885 RM No 2</t>
  </si>
  <si>
    <t xml:space="preserve">SPS 883 Rising Main </t>
  </si>
  <si>
    <t>SPS 896 Rising Main</t>
  </si>
  <si>
    <t>SPS 904 Rising Main</t>
  </si>
  <si>
    <t>450/500mm Twin Rising Mains from SPS906 to Penrith Park SPS</t>
  </si>
  <si>
    <t>600mm extension of Twin Rising Mains to Penrith STP</t>
  </si>
  <si>
    <t>450mm Rising Main from SPS1026</t>
  </si>
  <si>
    <t>SPS 896</t>
  </si>
  <si>
    <t>SPS 894</t>
  </si>
  <si>
    <t>SPS 895</t>
  </si>
  <si>
    <t>SPS1026</t>
  </si>
  <si>
    <t>SPS897</t>
  </si>
  <si>
    <t>SPS 904</t>
  </si>
  <si>
    <t>SPS906</t>
  </si>
  <si>
    <t>SPS 883</t>
  </si>
  <si>
    <t>SPS 903</t>
  </si>
  <si>
    <t>SPS 901</t>
  </si>
  <si>
    <t>SPS 902</t>
  </si>
  <si>
    <t>SPS 899</t>
  </si>
  <si>
    <t>SPS 900</t>
  </si>
  <si>
    <t>SPS 884</t>
  </si>
  <si>
    <t>SPS 886</t>
  </si>
  <si>
    <t>SPS 885</t>
  </si>
  <si>
    <t>SPS 888</t>
  </si>
  <si>
    <t>To serve growth in Penrith</t>
  </si>
  <si>
    <t>To serve growth in Emu Plains</t>
  </si>
  <si>
    <t>To serve growth in Glenmore Park</t>
  </si>
  <si>
    <t>To serve growth in North Penrith &amp; Cranebrook</t>
  </si>
  <si>
    <t>To serve growth in Mt Riverview</t>
  </si>
  <si>
    <t>To serve growth in Jamisontown &amp; South Penrith</t>
  </si>
  <si>
    <t>WO 361516</t>
  </si>
  <si>
    <t>WO 361468</t>
  </si>
  <si>
    <t>WO 361881</t>
  </si>
  <si>
    <t>PRO 362343</t>
  </si>
  <si>
    <t>PRO 362344</t>
  </si>
  <si>
    <t>PRO 362342</t>
  </si>
  <si>
    <t>BMP 061-1</t>
  </si>
  <si>
    <t>PRO 362321</t>
  </si>
  <si>
    <t>PRO 362325</t>
  </si>
  <si>
    <t>WO 361847</t>
  </si>
  <si>
    <t>WO 362316</t>
  </si>
  <si>
    <t>PRO 362149</t>
  </si>
  <si>
    <t>PRO 3002197</t>
  </si>
  <si>
    <t>PRO 3002198</t>
  </si>
  <si>
    <t>PRO 3001117</t>
  </si>
  <si>
    <t>PRO 3001302</t>
  </si>
  <si>
    <t>CASE 24577WW</t>
  </si>
  <si>
    <t>BMP 060-31</t>
  </si>
  <si>
    <t>PRO 100070671</t>
  </si>
  <si>
    <t>PRO 100070673</t>
  </si>
  <si>
    <t>PRO 10007502/1</t>
  </si>
  <si>
    <t>PRO 10007313</t>
  </si>
  <si>
    <t>PRO 10007312</t>
  </si>
  <si>
    <t>PRO 3003121</t>
  </si>
  <si>
    <t>CASE80011WW</t>
  </si>
  <si>
    <t>BMP061-47</t>
  </si>
  <si>
    <t>EMUPLAINS82</t>
  </si>
  <si>
    <t>CASE120145WW</t>
  </si>
  <si>
    <t>CASE122140WW</t>
  </si>
  <si>
    <t>CASE124914WW</t>
  </si>
  <si>
    <t>CASE124410WW</t>
  </si>
  <si>
    <t>CASE123794WW</t>
  </si>
  <si>
    <t>CASE127949WW</t>
  </si>
  <si>
    <t>CASE123792WW</t>
  </si>
  <si>
    <t>CASE128750WW</t>
  </si>
  <si>
    <t>CASE128752WW</t>
  </si>
  <si>
    <t>CASE128753WW</t>
  </si>
  <si>
    <t>CASE134101WW</t>
  </si>
  <si>
    <t>CASE134103WW</t>
  </si>
  <si>
    <t>CASE132747WW</t>
  </si>
  <si>
    <t>CASE140215WW</t>
  </si>
  <si>
    <t>PRO20032867</t>
  </si>
  <si>
    <t>CASE157674WW</t>
  </si>
  <si>
    <t>CASE164166WW</t>
  </si>
  <si>
    <t>CASE175430WW</t>
  </si>
  <si>
    <t>300mm Carrier - off Surveyors Ck Carrier Sec 1</t>
  </si>
  <si>
    <t>Golf Course Carrier</t>
  </si>
  <si>
    <t>Glenmore Park Carrier Section 3</t>
  </si>
  <si>
    <t>Penrith Carrier Amplification</t>
  </si>
  <si>
    <t>Mt Riverview STP Sewer</t>
  </si>
  <si>
    <t>Litton St - Greenhaven Dr Reticulation Main</t>
  </si>
  <si>
    <t>Mt Riverview STP Reticulation Sewer</t>
  </si>
  <si>
    <t>Great West Hwy Reticulation main</t>
  </si>
  <si>
    <t>Glengarry Dr Reticulation Sewer</t>
  </si>
  <si>
    <t>300mm Carrier - off Knox Street</t>
  </si>
  <si>
    <t>300mm Carrier - Inglewood Dr</t>
  </si>
  <si>
    <t>Castlereagh Rd Reticulation Sewer</t>
  </si>
  <si>
    <t>Kookaburra Cres Reticulation Sewer</t>
  </si>
  <si>
    <t>Kookaburra Cr Reticulation main</t>
  </si>
  <si>
    <t>Colverdale CC Reticulation main</t>
  </si>
  <si>
    <t>Glengarry Dr, Karingal Ct, Bangalla Pde Reticulation main</t>
  </si>
  <si>
    <t>Avalon Cres Reticulation Sewer</t>
  </si>
  <si>
    <t>Overflow Upgrade to SPS 897</t>
  </si>
  <si>
    <t>SPS 826 Overflow mains</t>
  </si>
  <si>
    <t>SPS 1099 Reticulation Sewer</t>
  </si>
  <si>
    <t>SPS 812 Reticulation Sewer</t>
  </si>
  <si>
    <t>Multiple SPS Overflow mains</t>
  </si>
  <si>
    <t>Coreen Ave Reticulation Sewer</t>
  </si>
  <si>
    <t>Cox Ave Reticulation Sewer</t>
  </si>
  <si>
    <t>SPS 824 Reticulation Sewer</t>
  </si>
  <si>
    <t xml:space="preserve">Mitchell's Pass Rd, Glenbrook  - Grahame Street Reticulation Sewer </t>
  </si>
  <si>
    <t>SPS 820 Reticulation Sewer</t>
  </si>
  <si>
    <t>High St, Glenbrook Carrier Amplification</t>
  </si>
  <si>
    <t>Borehole Amplification/Deviation to SPS817</t>
  </si>
  <si>
    <t>SPS 819 Reticulation Sewer - transferring flow to SPS820</t>
  </si>
  <si>
    <t>Reticulation Sewer associtated with SPS 802 Upgrade</t>
  </si>
  <si>
    <t>SPS 802 Reticulation Sewer</t>
  </si>
  <si>
    <t>Overflow Sewer associtated with SPS 801 Upgrade</t>
  </si>
  <si>
    <t>Reticulation Sewer associtated with SPS 801 Upgrade</t>
  </si>
  <si>
    <t>SPS 805 Reticulation Sewer</t>
  </si>
  <si>
    <t>PRO 362148</t>
  </si>
  <si>
    <t>CASE116995WW</t>
  </si>
  <si>
    <t>Upgrade to SPS 884 &amp; 885 Rising mains</t>
  </si>
  <si>
    <t>Upgrade to SPS 897 Rising Main</t>
  </si>
  <si>
    <t>Glenbrook Transfer Rising Main</t>
  </si>
  <si>
    <t>Pressure Main at PENRITH</t>
  </si>
  <si>
    <t>Pressure Main at JORDAN SPRINGS</t>
  </si>
  <si>
    <t>Pressure Main at CAMBRIDGE GARDENS</t>
  </si>
  <si>
    <t>Pressure Main at CRANEBROOK</t>
  </si>
  <si>
    <t>Pressure Main at REGENTVILLE</t>
  </si>
  <si>
    <t>Pressure Main at MULGOA</t>
  </si>
  <si>
    <t>SP1026</t>
  </si>
  <si>
    <t>SP1142</t>
  </si>
  <si>
    <t>SP1180</t>
  </si>
  <si>
    <t>SP1189</t>
  </si>
  <si>
    <t>SP1026 SewAmplificationPenrith</t>
  </si>
  <si>
    <t>SP1142 PENRITH</t>
  </si>
  <si>
    <t>PENRITH-S-MPIN</t>
  </si>
  <si>
    <t>SP1189 Delivery</t>
  </si>
  <si>
    <t xml:space="preserve">751 m of DN225 gravity sewer from MH 1086870 to MH 1272032
To reduce spilling at private MH1272032
</t>
  </si>
  <si>
    <t>165 m of DN225 gravity sewer from DSOF009 to MH1085007</t>
  </si>
  <si>
    <t xml:space="preserve">226 m of DN525 gravity sewer from MH 1084342 to MH 1087482
To reduce spilling at private MH1087482
</t>
  </si>
  <si>
    <t xml:space="preserve">160 m of DN450 gravity sewer from MH 1084138 to MH 1087263
To reduce spilling at private MH1087263
</t>
  </si>
  <si>
    <t>450 m DN450 duplicate gravity mains downstream
Glenmore Park - Stage 3 and Extension</t>
  </si>
  <si>
    <t>New ERS at MH 1059311
To reduce spilling at privateMH1062035</t>
  </si>
  <si>
    <t>8.5 km DN750 new rising main</t>
  </si>
  <si>
    <t xml:space="preserve">DN600 new rising main </t>
  </si>
  <si>
    <t>SP0906</t>
  </si>
  <si>
    <t>ST0046</t>
  </si>
  <si>
    <t>Plant - Preliminary Treatment, Tertiary Treatment, Sludge Processing, Chemical Dosing</t>
  </si>
  <si>
    <t>Plant - Preliminary treatment,  Secondary treatment, Tertiary treatment, Pumping, Sludge Processing, Chemical dosing, Odour control</t>
  </si>
  <si>
    <t>Auto &amp; SCADA</t>
  </si>
  <si>
    <t>RDP Plant (St Marys)</t>
  </si>
  <si>
    <t>Plant - Secondary Treatment</t>
  </si>
  <si>
    <t>General Plant</t>
  </si>
  <si>
    <t xml:space="preserve">Penrith WRP dewatering upgrade </t>
  </si>
  <si>
    <t xml:space="preserve">Penrith Stage 7 Aeration Upgrade </t>
  </si>
  <si>
    <t>TN compliance assessment</t>
  </si>
  <si>
    <t xml:space="preserve">Staged advanced treatment infrastructure (RO assumed) </t>
  </si>
  <si>
    <t>Additional 5 ML/d RO capacity</t>
  </si>
  <si>
    <t xml:space="preserve">Investment 1 - Conversion of aerobic digestion to anaerobic digestion with biogas recovery and co-generation. Primary sludge removal from Stage 7 liquids stream. Primary sludge pumping, build of 3x new anaerobic digesters with all ancillaries etc. </t>
  </si>
  <si>
    <t xml:space="preserve">Investment 2 - Conversion of aerobic digestion to anaerobic digestion with biogas recovery and co-generation. Primary sludge removal from Stage 7 liquids stream. Primary sludge pumping, build of 3x new anaerobic digesters with all ancillaries etc. </t>
  </si>
  <si>
    <t xml:space="preserve">Investment 3 - Conversion of aerobic digestion to anaerobic digestion with biogas recovery and co-generation. Primary sludge removal from Stage 7 liquids stream. Primary sludge pumping, build of 3x new anaerobic digesters with all ancillaries etc. </t>
  </si>
  <si>
    <t>metres</t>
  </si>
  <si>
    <t>Pumping station</t>
  </si>
  <si>
    <t>Treatment plant</t>
  </si>
  <si>
    <t>Section 73</t>
  </si>
  <si>
    <t>Unknown</t>
  </si>
  <si>
    <t>CPI</t>
  </si>
  <si>
    <t>June 2020-21</t>
  </si>
  <si>
    <t>Actual</t>
  </si>
  <si>
    <t>June 2021-22</t>
  </si>
  <si>
    <t>June 2022-23</t>
  </si>
  <si>
    <t>gravity mains</t>
  </si>
  <si>
    <t>CASE179411WW</t>
  </si>
  <si>
    <t>Transport fixed</t>
  </si>
  <si>
    <t>Transport variable</t>
  </si>
  <si>
    <t>Total opex</t>
  </si>
  <si>
    <t>Fixed transport</t>
  </si>
  <si>
    <t>Variable transport</t>
  </si>
  <si>
    <t>Fixed treatment</t>
  </si>
  <si>
    <t>Variable treatment</t>
  </si>
  <si>
    <t>rising mains</t>
  </si>
  <si>
    <t>pumping station</t>
  </si>
  <si>
    <t>treatment</t>
  </si>
  <si>
    <t>Growth %</t>
  </si>
  <si>
    <t>Core opex</t>
  </si>
  <si>
    <t>Growth discharge</t>
  </si>
  <si>
    <t>for opex, kL/yr</t>
  </si>
  <si>
    <t>Growth</t>
  </si>
  <si>
    <t>Upgrade from 125 L/s to 384 L/s
Glenmore Park - Stage 3 and Extension</t>
  </si>
  <si>
    <t>582 kL additional dry weather storage
Glenmore Park - Stage 3 and Extension</t>
  </si>
  <si>
    <t>Upgrade from 215 L/s to 559 L/s</t>
  </si>
  <si>
    <t>288 kL additional dry weather storage</t>
  </si>
  <si>
    <t>New SPS</t>
  </si>
  <si>
    <t>New SPS_ 2.5 ML dry weather storage</t>
  </si>
  <si>
    <t xml:space="preserve">Generators at SP0901, SP0902, SP0903 and SP1180 </t>
  </si>
  <si>
    <t xml:space="preserve"> Generators at SP0889 and SP0897 </t>
  </si>
  <si>
    <t>Total ETs by 1970</t>
  </si>
  <si>
    <t>Total ETs at 31 Dec 1995</t>
  </si>
  <si>
    <t>Total ETs at end of review period</t>
  </si>
  <si>
    <t>Utilisation factors</t>
  </si>
  <si>
    <t>ETs 1970 - 1995</t>
  </si>
  <si>
    <t>ETs 1996 - 2022</t>
  </si>
  <si>
    <t>Pre-1996 commissioned assets</t>
  </si>
  <si>
    <t>Ratio</t>
  </si>
  <si>
    <t>MEERA value per unit/measure of length (B) 
($ as at 1 July 2020)</t>
  </si>
  <si>
    <t>Total MEERA value (A x B)
($, $2020-21)</t>
  </si>
  <si>
    <t>MEERA value to be recovered via DSP ($, $2020-21)</t>
  </si>
  <si>
    <t>WO 37206</t>
  </si>
  <si>
    <t>Winmalee Carrier Section 1</t>
  </si>
  <si>
    <t>WN 300125</t>
  </si>
  <si>
    <t>Winmalee Carrier Section 3</t>
  </si>
  <si>
    <t>WN 301807</t>
  </si>
  <si>
    <t>Winmalee Carrier Section 4A/B/C</t>
  </si>
  <si>
    <t>WN 302574</t>
  </si>
  <si>
    <t>Hazelbrook Carrier Section 1</t>
  </si>
  <si>
    <t>WO 37352</t>
  </si>
  <si>
    <t>Hawkesbury Road Carrier</t>
  </si>
  <si>
    <t>WO 48506</t>
  </si>
  <si>
    <t>Shelton Avenue Carrier</t>
  </si>
  <si>
    <t>WO 37542</t>
  </si>
  <si>
    <t>WINMALEE CARRIER SECTION 2 &amp;2</t>
  </si>
  <si>
    <t>WINMALEE CARRIER SECTION 2 &amp;3</t>
  </si>
  <si>
    <t>Muru Avenue Carrier</t>
  </si>
  <si>
    <t>WO 37534</t>
  </si>
  <si>
    <t>Lee Road Carrier</t>
  </si>
  <si>
    <t>Singles Road Carrier</t>
  </si>
  <si>
    <t>WO 48474</t>
  </si>
  <si>
    <t>Leslie Street Carrier</t>
  </si>
  <si>
    <t>WN 302668</t>
  </si>
  <si>
    <t>Douglas Street Carrier</t>
  </si>
  <si>
    <t>WN 302571</t>
  </si>
  <si>
    <t>Karin Place Carrier</t>
  </si>
  <si>
    <t>WN 302423</t>
  </si>
  <si>
    <t>Sinclair Crescent Carrier</t>
  </si>
  <si>
    <t>WN 307006</t>
  </si>
  <si>
    <t>WN 307005</t>
  </si>
  <si>
    <t>WN 308015</t>
  </si>
  <si>
    <t>South Katoomba Carrier</t>
  </si>
  <si>
    <t>WN 309653</t>
  </si>
  <si>
    <t>WOODFORD CARRIER</t>
  </si>
  <si>
    <t>Winmalee Tunnel Section 4 A/B/C  &amp; North Springwood Carrier</t>
  </si>
  <si>
    <t xml:space="preserve">Hazelbrook Carrier Sec. 1&amp;2 </t>
  </si>
  <si>
    <t>South Springwood Carrier</t>
  </si>
  <si>
    <t>WN 309985</t>
  </si>
  <si>
    <t>Bore Hole to eliminate SPS 851 &amp; 850, Hazelbrook</t>
  </si>
  <si>
    <t>WN 309889</t>
  </si>
  <si>
    <t>Horizontal Bore across Valley Road, South Hazelbrook areas 2 &amp; 3</t>
  </si>
  <si>
    <t>WN 309540</t>
  </si>
  <si>
    <t>747 and RM  Watkin Wombat Way, Faulconbridge</t>
  </si>
  <si>
    <t>WN 309735</t>
  </si>
  <si>
    <t>742 and RM  Hilderleigh Close, Faulconbridge</t>
  </si>
  <si>
    <t>WN 300518</t>
  </si>
  <si>
    <t>SPS 708 RM Moray Street, Winmalee</t>
  </si>
  <si>
    <t>WO 37573</t>
  </si>
  <si>
    <t>704 RM Shelton Avenue, Winmalee</t>
  </si>
  <si>
    <t>WO 37572</t>
  </si>
  <si>
    <t>709 and RM Vendetta Road, Winmalee</t>
  </si>
  <si>
    <t>WN 302262</t>
  </si>
  <si>
    <t>731 and RM Kerry Ave Springwood</t>
  </si>
  <si>
    <t>WN 302211</t>
  </si>
  <si>
    <t xml:space="preserve"> 712 and RM Birdwood Ave, Winmalee</t>
  </si>
  <si>
    <t>WN 302588</t>
  </si>
  <si>
    <t>713 and RM Banjo Place, Winmalee</t>
  </si>
  <si>
    <t>WN 302264</t>
  </si>
  <si>
    <t>733 and RM Bee Farm Road, Springwood</t>
  </si>
  <si>
    <t>WN 307112</t>
  </si>
  <si>
    <t>723 and RM Wigram Road, Faulconbridge</t>
  </si>
  <si>
    <t>WN 307116</t>
  </si>
  <si>
    <t>725 Martin Place, Faulconbridge</t>
  </si>
  <si>
    <t>WN 037576</t>
  </si>
  <si>
    <t>710 and RM Emma Pde, Winmalee</t>
  </si>
  <si>
    <t>WN 300380</t>
  </si>
  <si>
    <t>715 and RM Fairway Ave, Springwood</t>
  </si>
  <si>
    <t>WN 302263</t>
  </si>
  <si>
    <t>732 and RM Bee Farm Road, Springwood</t>
  </si>
  <si>
    <t>WN 302265</t>
  </si>
  <si>
    <t>734 and RM Davies Avenue Faulconbridge</t>
  </si>
  <si>
    <t>WN 302544</t>
  </si>
  <si>
    <t>738 and RM Lochinvar  St, Winmalee</t>
  </si>
  <si>
    <t>WN 300844</t>
  </si>
  <si>
    <t>848 Amp Bottlebrush Drive, Faulconbridge</t>
  </si>
  <si>
    <t>WN 307109</t>
  </si>
  <si>
    <t>954 and RM Oaklands Road Hazelbrook</t>
  </si>
  <si>
    <t>WN 300315</t>
  </si>
  <si>
    <t>711 and RM Ellison Road, Winmalee</t>
  </si>
  <si>
    <t>WN 308053</t>
  </si>
  <si>
    <t>951 RM Riches Avenue, Woodford</t>
  </si>
  <si>
    <t>WN 306983</t>
  </si>
  <si>
    <t>936 RM Fifth Avene, North Katoomba</t>
  </si>
  <si>
    <t>WN 308051</t>
  </si>
  <si>
    <t>955 RM Frederica Street, Lawson</t>
  </si>
  <si>
    <t>WN 309656</t>
  </si>
  <si>
    <t>958 RM Boronia Road, Bullaburra</t>
  </si>
  <si>
    <t>WN 308052</t>
  </si>
  <si>
    <t>948 RM Pimela Drive, Woodford</t>
  </si>
  <si>
    <t>WN 309891</t>
  </si>
  <si>
    <t>1021 RM Valley Road, Hazelbrook</t>
  </si>
  <si>
    <t>WN 307023</t>
  </si>
  <si>
    <t>750 and RM Lindsay Road, Faulconbridge</t>
  </si>
  <si>
    <t>PRO 362123</t>
  </si>
  <si>
    <t>Mt Hay Pde RM From SPS 964</t>
  </si>
  <si>
    <t>Lindsay Road, Faulconbridge</t>
  </si>
  <si>
    <t>Hilderleigh Close, Faulconbridge</t>
  </si>
  <si>
    <t>Shelton Avenue, Winmalee</t>
  </si>
  <si>
    <t>Moray Street, Winmalee</t>
  </si>
  <si>
    <t>Vendetta Road, Winmalee</t>
  </si>
  <si>
    <t>Kerry Avenue, Springwood</t>
  </si>
  <si>
    <t>Birdwood Avenue, Winmalee</t>
  </si>
  <si>
    <t>Banjo Place, Winmalee</t>
  </si>
  <si>
    <t>Beefarm Road, Springwood</t>
  </si>
  <si>
    <t>Emma Parade, Winmalee</t>
  </si>
  <si>
    <t>Fairway Avenue, Springwood</t>
  </si>
  <si>
    <t>Davies Avenue, Faulconbridge</t>
  </si>
  <si>
    <t>Lochinvar Street, Winmalee</t>
  </si>
  <si>
    <t>Bottlebrush Drive, Faulconbridge</t>
  </si>
  <si>
    <t>Ellison Road, Winmalee</t>
  </si>
  <si>
    <t>Wigram Road, Faulconbridge</t>
  </si>
  <si>
    <t>Martin Place, Faulconbridge</t>
  </si>
  <si>
    <t>Oaklands Road, Hazelbrook</t>
  </si>
  <si>
    <t>Watkin Wombat Way, Faulconbridge</t>
  </si>
  <si>
    <t>Riches Avenue, Woodford</t>
  </si>
  <si>
    <t>Frederica Street, Lawson</t>
  </si>
  <si>
    <t>Boronia Road, Bullaburra</t>
  </si>
  <si>
    <t>Fifth Avenue, North Katoomba</t>
  </si>
  <si>
    <t>Pimela Drive, Woodford</t>
  </si>
  <si>
    <t>Valley Road, Hazelbrook</t>
  </si>
  <si>
    <t>WN 360351</t>
  </si>
  <si>
    <t>Amplification between Winmalee Carrier Sections 2&amp;3B</t>
  </si>
  <si>
    <t>PRO 309691</t>
  </si>
  <si>
    <t>Horizontal BoreHole to eliminate SPS 858,Lawson/Hazelbrook</t>
  </si>
  <si>
    <t xml:space="preserve">Amplification  Winmalee  Carrier </t>
  </si>
  <si>
    <t>PRO 360345</t>
  </si>
  <si>
    <t>Bore Hole Sandbox Road, Wentworth Falls to eliminate SPS 865</t>
  </si>
  <si>
    <t>PRO 362322</t>
  </si>
  <si>
    <t>PRO 303760</t>
  </si>
  <si>
    <t>Lomond St Reticulation Sewer</t>
  </si>
  <si>
    <t>Gates Ave Reticulation Sewer</t>
  </si>
  <si>
    <t>PRO 3002868</t>
  </si>
  <si>
    <t>Farnham Ave Reticulation main</t>
  </si>
  <si>
    <t>PRO 3002804</t>
  </si>
  <si>
    <t>Lawson View Pde Reticulation main</t>
  </si>
  <si>
    <t>CASE 27412WW</t>
  </si>
  <si>
    <t>Albion St Reticulation main</t>
  </si>
  <si>
    <t>SPS 709 Reticulation Sewer</t>
  </si>
  <si>
    <t>CASE 25582WW</t>
  </si>
  <si>
    <t>SPS 829 Reticulation Sewer serving Russell Ave, Valley Heights</t>
  </si>
  <si>
    <t>SPS 835 (Upstream) Reticulation Sewer Amplification</t>
  </si>
  <si>
    <t>CASE 43662WW</t>
  </si>
  <si>
    <t>Dowling St Reticulation main, Faulconbridge</t>
  </si>
  <si>
    <t>PRO 100078721</t>
  </si>
  <si>
    <t>Shirlow Ave Reticulation Sewer</t>
  </si>
  <si>
    <t>PRO 10007872/2</t>
  </si>
  <si>
    <t>Beefarm Rd Carrier due to development</t>
  </si>
  <si>
    <t>Beefarm Rd, Sasafras Gully Rd Reticulation Sewer</t>
  </si>
  <si>
    <t>PRO 10007871/7</t>
  </si>
  <si>
    <t>Sewer Relocation due to Development</t>
  </si>
  <si>
    <t>PRO 10007871/5</t>
  </si>
  <si>
    <t>PRO 10007871/3</t>
  </si>
  <si>
    <t>PRO 10007870/3</t>
  </si>
  <si>
    <t>North St Reticulation Sewer</t>
  </si>
  <si>
    <t>PRO 10007870/1</t>
  </si>
  <si>
    <t>Twynam St - North St Reticulation Sewer</t>
  </si>
  <si>
    <t>PRO20020073/1</t>
  </si>
  <si>
    <t>Amplification</t>
  </si>
  <si>
    <t>PRO20021385</t>
  </si>
  <si>
    <t>Reticulation at YELLOW ROCK</t>
  </si>
  <si>
    <t>CASE123178WW</t>
  </si>
  <si>
    <t>Reticulation at KATOOMBA</t>
  </si>
  <si>
    <t>PRO10007871/6</t>
  </si>
  <si>
    <t>PRO10007871/1</t>
  </si>
  <si>
    <t>PRO10007871</t>
  </si>
  <si>
    <t>CASE114776WW</t>
  </si>
  <si>
    <t>WO11377503</t>
  </si>
  <si>
    <t>PRO10007871/2</t>
  </si>
  <si>
    <t>Reticulation at WENTWORTH FALLS</t>
  </si>
  <si>
    <t>Reticulation at LEURA</t>
  </si>
  <si>
    <t>Pressure Main at WINMALEE</t>
  </si>
  <si>
    <t>Pressure Main at YELLOW ROCK</t>
  </si>
  <si>
    <t>WNA58792</t>
  </si>
  <si>
    <t>Pressure Main at FAULCONBRIDGE</t>
  </si>
  <si>
    <t>Sewerfix</t>
  </si>
  <si>
    <t>SPS 990 Green Pde, Valley Heights</t>
  </si>
  <si>
    <t xml:space="preserve">SPS Amplification - SPS 704 </t>
  </si>
  <si>
    <t>SPS Amplification - SPS 715</t>
  </si>
  <si>
    <t>SPS 837 Operational Storage Amplification</t>
  </si>
  <si>
    <t>SPS Amplification - SPS 711</t>
  </si>
  <si>
    <t>SPS 835 Operational Storage Amplification</t>
  </si>
  <si>
    <t>SPS Amplification - SPS 830</t>
  </si>
  <si>
    <t>SPS Amplification - SPS 708</t>
  </si>
  <si>
    <t>SPS Amplification - SPS 709</t>
  </si>
  <si>
    <t>Pumping Station - Sewage</t>
  </si>
  <si>
    <t>Plant - General, Preliminary treatment, Secondary treatment, Tertiary treatment, Sludge Processing, Chemical dosing, Odour control</t>
  </si>
  <si>
    <t>Plant - General, Preliminary treatment, Secondary treatment, Tertiary treatment, Sludge Processing, SCADA</t>
  </si>
  <si>
    <t xml:space="preserve">RDP Plant </t>
  </si>
  <si>
    <t>Reticulation at WARRAGAMBA</t>
  </si>
  <si>
    <t>PRO10004109</t>
  </si>
  <si>
    <t>PRO10008321</t>
  </si>
  <si>
    <t>Plant - General, Preliminary treatment, Primary treatment, Secondary treatment, Tertiary treatment, Sludge Processing, Chemical dosing</t>
  </si>
  <si>
    <t>Plant - Primary Treatment, Tertiary Treatment, Chemical Dosing, SCADA</t>
  </si>
  <si>
    <t>Lagoon Liner</t>
  </si>
  <si>
    <t>Plant - Secondary Treatment, RDP Plant</t>
  </si>
  <si>
    <t>1390 m of DN 100 rising main to service new growth areas in Silverdale: 
EDR140145, EDR140143, EDO164141</t>
  </si>
  <si>
    <t>1350 m of DN 100 rising main to service a new growth area in Wallacia: 
WOL-WAL 100</t>
  </si>
  <si>
    <t>New SPS at 3 L/s - Servicing new growth areas in Silverdale: 
EDR140145, EDR140143, EDO164141</t>
  </si>
  <si>
    <t>New SPS at 3 L/s - Servicing a new growth areas in Wallacia: 
WOL-WAL 100</t>
  </si>
  <si>
    <t>Cosgrove Creek catchment</t>
  </si>
  <si>
    <t>12.6km DN225-DN600 trunk gravity mains – Stage 1</t>
  </si>
  <si>
    <t>Badgerys Ck catchment</t>
  </si>
  <si>
    <t>14km DN375-DN750 Trunk main – Stage 1</t>
  </si>
  <si>
    <t>Kemps Creek catchment</t>
  </si>
  <si>
    <t>2.8km DN 375 trunk gravity main – stage 3</t>
  </si>
  <si>
    <t>Agribusiness precinct catchment</t>
  </si>
  <si>
    <t>6km of gravity sewer DN300-DN375</t>
  </si>
  <si>
    <t>Thompson Creek catchment</t>
  </si>
  <si>
    <t>7.5km DN375-DN900 trunk main – Stage1</t>
  </si>
  <si>
    <t>Lowes Creek catchment</t>
  </si>
  <si>
    <t>Lowes Creek Carrier Sect 1</t>
  </si>
  <si>
    <t>South Creek Catchment</t>
  </si>
  <si>
    <t>Trunk Gravity Mains – Stage 1 and Stage 2</t>
  </si>
  <si>
    <t>Badgerys Creek catchment</t>
  </si>
  <si>
    <t xml:space="preserve">1.1km DN 450 rising main to AWRC – Stage 2 </t>
  </si>
  <si>
    <t xml:space="preserve">4km DN450 pressure main to AWRC – Stage 2 </t>
  </si>
  <si>
    <t xml:space="preserve">Lowes Creek catchment </t>
  </si>
  <si>
    <t xml:space="preserve">Rising main – Stage 1 </t>
  </si>
  <si>
    <t xml:space="preserve">Rising main – Stage 1 and Stage 2 </t>
  </si>
  <si>
    <t xml:space="preserve">Rising main for two lift pumps – Stage 1 </t>
  </si>
  <si>
    <t>rising main to AWRC  – stage 3</t>
  </si>
  <si>
    <t>Mamre Rd precinct catchment</t>
  </si>
  <si>
    <t>Rising main to USC AWRC - Stage 2</t>
  </si>
  <si>
    <t>North Luddenham precinct catchment</t>
  </si>
  <si>
    <t xml:space="preserve">SP_CC1 rising main, 2.5km DN300 – stage 2 </t>
  </si>
  <si>
    <t xml:space="preserve">SP_CC2 rising main, 4km DN525 – Stage 1 </t>
  </si>
  <si>
    <t>SP1209 rising main – 2.5km DN750 to Thompson Creek network and pump amplification – Stage 2</t>
  </si>
  <si>
    <t xml:space="preserve">10km DN750 pressure main to treatment works – Stage 1 </t>
  </si>
  <si>
    <t>2.5km, DN200 rising main</t>
  </si>
  <si>
    <t xml:space="preserve">AB_SP1 to deliver 80 l/s to adjacent Cosgrove creek carrier  </t>
  </si>
  <si>
    <t xml:space="preserve">BC_SP1, BC_SP2 pump and Civil works – Stage1 </t>
  </si>
  <si>
    <t xml:space="preserve">BC_SP3 pump and civil works – Stage2 </t>
  </si>
  <si>
    <t xml:space="preserve">Pump Stations – Stage 1 and Stage 2 </t>
  </si>
  <si>
    <t xml:space="preserve">SP_CC1 to deliver 90 l/s to SPCC2 – Stage2 </t>
  </si>
  <si>
    <t xml:space="preserve">SP_CC2 to deliver 90 l/s to AWRC – Stage 1 </t>
  </si>
  <si>
    <t>SP_KC1– stage 3</t>
  </si>
  <si>
    <t xml:space="preserve">SP1209 – Stage 1 </t>
  </si>
  <si>
    <t>SP1211 and carriers – Stage 1</t>
  </si>
  <si>
    <t>SP1221 - Stage 1</t>
  </si>
  <si>
    <t>SP1222 - Stage 1</t>
  </si>
  <si>
    <t xml:space="preserve">SPS1211 upgrade and carrier extension – Stage 2 </t>
  </si>
  <si>
    <t xml:space="preserve">TC_SP1 – Stage 1 </t>
  </si>
  <si>
    <t xml:space="preserve">TC_SP2  – Stage 2 </t>
  </si>
  <si>
    <t>SP1198</t>
  </si>
  <si>
    <t>Storage at SP1198, DWF Contingency</t>
  </si>
  <si>
    <t>New plant at Upper South Creek</t>
  </si>
  <si>
    <t>Stage 1 plant</t>
  </si>
  <si>
    <t>Land acquistion (land + land stamp duty)</t>
  </si>
  <si>
    <t xml:space="preserve">Brine transfer main to Malabar </t>
  </si>
  <si>
    <t>Effluent pipeline to Hawkesbury-Nepean</t>
  </si>
  <si>
    <t>Treatment</t>
  </si>
  <si>
    <t>Gravity Main</t>
  </si>
  <si>
    <t>Rising Main</t>
  </si>
  <si>
    <t>Nepean River Wastewater</t>
  </si>
  <si>
    <t>Orchard Hills within Precinct
(Total of 12.2 km) of trunk sewer DN300</t>
  </si>
  <si>
    <t>Orchard Hills within Precinct
(Total of 12.2 km) of trunk sewer DN375</t>
  </si>
  <si>
    <t>Orchard Hills within Precinct
(Total of 12.2 km) of trunk sewer DN450</t>
  </si>
  <si>
    <t>Orchard Hills within Precinct
(Total of 12.2 km) of trunk sewer DN525</t>
  </si>
  <si>
    <t>Orchard Hills within Precinct
(Total of 12.2 km) of trunk sewer DN600</t>
  </si>
  <si>
    <t>Orchard Hills within Precinct
(Total of 12.2 km) of trunk sewer DN750</t>
  </si>
  <si>
    <t>2x8.9 km of DN750 rising main</t>
  </si>
  <si>
    <t>rising main</t>
  </si>
  <si>
    <t>4.9 km (in total) of DN450 rising main
Orchard Hills within Precinct</t>
  </si>
  <si>
    <t>4.9 km (in total) of DN300 rising main
Orchard Hills within Precinct</t>
  </si>
  <si>
    <t>4.9 km (in total) of DN750 rising main
Orchard Hills within Precinct</t>
  </si>
  <si>
    <t>SPS G</t>
  </si>
  <si>
    <t>SPS E</t>
  </si>
  <si>
    <t>SPS F</t>
  </si>
  <si>
    <t>SPS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</si>
</sst>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s>
  <fonts count="3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i/>
      <sz val="9"/>
      <color rgb="FFC00000"/>
      <name val="Arial"/>
      <family val="2"/>
    </font>
    <font>
      <i/>
      <sz val="9"/>
      <color theme="0" tint="-0.499984740745262"/>
      <name val="Arial"/>
      <family val="2"/>
    </font>
    <font>
      <sz val="8"/>
      <name val="Arial"/>
      <family val="2"/>
    </font>
    <font>
      <sz val="10"/>
      <name val="Book Antiqua"/>
      <family val="2"/>
      <scheme val="minor"/>
    </font>
    <font>
      <i/>
      <sz val="8"/>
      <color rgb="FFC00000"/>
      <name val="Arial"/>
      <family val="2"/>
    </font>
    <font>
      <sz val="8"/>
      <color theme="0" tint="-0.34998626667073579"/>
      <name val="Arial"/>
      <family val="2"/>
    </font>
    <font>
      <sz val="9"/>
      <color theme="0"/>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rgb="FFFFFFCC"/>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6">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0" fillId="0" borderId="0"/>
    <xf numFmtId="43" fontId="1" fillId="0" borderId="0" applyFont="0" applyFill="0" applyBorder="0" applyAlignment="0" applyProtection="0"/>
    <xf numFmtId="41" fontId="1" fillId="0" borderId="0" applyFont="0" applyFill="0" applyBorder="0" applyAlignment="0" applyProtection="0"/>
    <xf numFmtId="41" fontId="5" fillId="5" borderId="0" applyNumberFormat="0" applyBorder="0" applyAlignment="0"/>
  </cellStyleXfs>
  <cellXfs count="345">
    <xf numFmtId="0" fontId="0" fillId="0" borderId="0" xfId="0"/>
    <xf numFmtId="0" fontId="0" fillId="0" borderId="0" xfId="0" applyBorder="1"/>
    <xf numFmtId="0" fontId="0" fillId="6" borderId="0" xfId="0" applyFill="1"/>
    <xf numFmtId="0" fontId="9" fillId="0" borderId="0" xfId="0" applyFont="1"/>
    <xf numFmtId="166" fontId="1" fillId="3" borderId="0" xfId="16" applyBorder="1" applyAlignment="1">
      <protection locked="0"/>
    </xf>
    <xf numFmtId="0" fontId="0" fillId="0" borderId="0" xfId="0" applyFont="1" applyBorder="1" applyAlignment="1">
      <alignment horizontal="left"/>
    </xf>
    <xf numFmtId="0" fontId="10" fillId="6" borderId="0" xfId="14" applyFont="1" applyFill="1"/>
    <xf numFmtId="0" fontId="0" fillId="0" borderId="0" xfId="0" applyAlignment="1"/>
    <xf numFmtId="0" fontId="0" fillId="0" borderId="0" xfId="0" applyFont="1" applyAlignment="1"/>
    <xf numFmtId="0" fontId="1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10"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3"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0" fillId="0" borderId="0" xfId="0" applyAlignmen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1" xfId="0" applyFill="1" applyBorder="1"/>
    <xf numFmtId="0" fontId="0" fillId="0" borderId="2" xfId="0" applyFill="1" applyBorder="1"/>
    <xf numFmtId="0" fontId="0" fillId="0" borderId="19" xfId="0" applyFill="1" applyBorder="1"/>
    <xf numFmtId="0" fontId="0" fillId="0" borderId="3" xfId="0" applyFill="1" applyBorder="1"/>
    <xf numFmtId="0" fontId="7" fillId="0" borderId="0" xfId="0" applyFont="1" applyFill="1"/>
    <xf numFmtId="0" fontId="0" fillId="0" borderId="16" xfId="0" applyFill="1" applyBorder="1"/>
    <xf numFmtId="0" fontId="10" fillId="0" borderId="0" xfId="0" applyFont="1" applyFill="1" applyBorder="1" applyAlignment="1">
      <alignment horizontal="right" wrapText="1"/>
    </xf>
    <xf numFmtId="0" fontId="0" fillId="0" borderId="0" xfId="0" applyFill="1" applyAlignment="1">
      <alignment horizontal="right"/>
    </xf>
    <xf numFmtId="0" fontId="10" fillId="0" borderId="0" xfId="0" applyFont="1" applyFill="1" applyBorder="1"/>
    <xf numFmtId="0" fontId="20" fillId="0" borderId="0" xfId="0" applyFont="1" applyFill="1"/>
    <xf numFmtId="0" fontId="0" fillId="0" borderId="17" xfId="0" applyFill="1" applyBorder="1"/>
    <xf numFmtId="0" fontId="0" fillId="0" borderId="18" xfId="0" applyFill="1" applyBorder="1"/>
    <xf numFmtId="0" fontId="0" fillId="0" borderId="15" xfId="0" applyFill="1" applyBorder="1"/>
    <xf numFmtId="3" fontId="5" fillId="9" borderId="0" xfId="9" applyNumberFormat="1" applyFill="1" applyBorder="1"/>
    <xf numFmtId="170" fontId="0" fillId="0" borderId="0" xfId="0" applyNumberFormat="1" applyFill="1" applyBorder="1" applyAlignment="1">
      <alignment horizontal="right"/>
    </xf>
    <xf numFmtId="0" fontId="7" fillId="0" borderId="3" xfId="0" applyFont="1" applyFill="1" applyBorder="1"/>
    <xf numFmtId="170" fontId="0" fillId="0" borderId="3" xfId="0" applyNumberFormat="1" applyFill="1" applyBorder="1" applyAlignment="1">
      <alignment horizontal="right"/>
    </xf>
    <xf numFmtId="3" fontId="5"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2" xfId="0" applyFill="1" applyBorder="1" applyAlignment="1">
      <alignment horizontal="right"/>
    </xf>
    <xf numFmtId="0" fontId="0" fillId="0" borderId="14" xfId="0" applyFill="1" applyBorder="1" applyAlignment="1">
      <alignment horizontal="right"/>
    </xf>
    <xf numFmtId="0" fontId="0" fillId="0" borderId="13"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70" fontId="0" fillId="0" borderId="0" xfId="0" applyNumberFormat="1" applyFill="1"/>
    <xf numFmtId="0" fontId="10" fillId="0" borderId="0" xfId="0" applyFont="1" applyFill="1"/>
    <xf numFmtId="0" fontId="0" fillId="0" borderId="0" xfId="0" applyFill="1" applyAlignment="1">
      <alignment horizontal="left" indent="1"/>
    </xf>
    <xf numFmtId="170" fontId="0" fillId="0" borderId="6" xfId="0" applyNumberFormat="1" applyFill="1" applyBorder="1"/>
    <xf numFmtId="170" fontId="0" fillId="0" borderId="8" xfId="0" applyNumberFormat="1" applyFill="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0" fillId="0" borderId="0" xfId="0" applyFont="1" applyFill="1" applyAlignment="1">
      <alignment horizontal="left"/>
    </xf>
    <xf numFmtId="0" fontId="0" fillId="0" borderId="6" xfId="0" applyFill="1" applyBorder="1"/>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0" fillId="0" borderId="0" xfId="0" applyAlignment="1"/>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Fill="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0" fillId="0" borderId="0" xfId="0" applyFont="1" applyFill="1" applyBorder="1" applyAlignment="1">
      <alignment horizontal="left" vertical="top"/>
    </xf>
    <xf numFmtId="0" fontId="0" fillId="0" borderId="0" xfId="0" applyFont="1" applyFill="1" applyBorder="1" applyAlignment="1">
      <alignment horizontal="left"/>
    </xf>
    <xf numFmtId="0" fontId="11" fillId="0" borderId="0" xfId="0" quotePrefix="1" applyFont="1"/>
    <xf numFmtId="0" fontId="0" fillId="0" borderId="0" xfId="0" applyAlignme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applyFill="1"/>
    <xf numFmtId="4" fontId="19" fillId="11" borderId="8" xfId="6" applyFont="1" applyFill="1" applyBorder="1" applyAlignment="1">
      <alignment horizontal="center" wrapText="1"/>
      <protection locked="0"/>
    </xf>
    <xf numFmtId="169" fontId="1" fillId="4" borderId="8" xfId="6" applyNumberFormat="1" applyFill="1" applyBorder="1" applyAlignment="1">
      <alignment horizontal="center"/>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Border="1" applyAlignment="1">
      <alignment wrapText="1"/>
    </xf>
    <xf numFmtId="0" fontId="0" fillId="0" borderId="7" xfId="0" applyFill="1"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0" xfId="0" applyFill="1" applyBorder="1"/>
    <xf numFmtId="3" fontId="0" fillId="0" borderId="10" xfId="0" applyNumberFormat="1" applyFill="1" applyBorder="1"/>
    <xf numFmtId="0" fontId="7" fillId="0" borderId="0" xfId="0" applyFont="1" applyFill="1" applyBorder="1"/>
    <xf numFmtId="0" fontId="10" fillId="6" borderId="0" xfId="14" applyFont="1" applyFill="1" applyBorder="1" applyAlignment="1">
      <alignment horizontal="center" wrapText="1"/>
    </xf>
    <xf numFmtId="0" fontId="1" fillId="6" borderId="0" xfId="0" applyFont="1" applyFill="1" applyBorder="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4" fillId="0" borderId="0" xfId="0" applyFont="1"/>
    <xf numFmtId="0" fontId="12" fillId="6" borderId="0" xfId="11" quotePrefix="1" applyFill="1"/>
    <xf numFmtId="172" fontId="10"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9" fillId="0" borderId="0" xfId="0" applyFont="1" applyFill="1"/>
    <xf numFmtId="0" fontId="23" fillId="6" borderId="0" xfId="14" quotePrefix="1" applyFont="1" applyFill="1"/>
    <xf numFmtId="0" fontId="19"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0" fillId="0" borderId="0" xfId="0" applyFont="1" applyFill="1" applyBorder="1" applyAlignment="1">
      <alignment wrapText="1"/>
    </xf>
    <xf numFmtId="0" fontId="0" fillId="0" borderId="0" xfId="0" applyAlignment="1">
      <alignment wrapText="1"/>
    </xf>
    <xf numFmtId="0" fontId="0" fillId="0" borderId="0" xfId="0" applyAlignment="1"/>
    <xf numFmtId="0" fontId="12" fillId="0" borderId="0" xfId="11" applyAlignment="1">
      <alignment vertical="top"/>
    </xf>
    <xf numFmtId="0" fontId="19" fillId="0" borderId="0" xfId="0" applyFont="1" applyAlignment="1">
      <alignment horizontal="left" indent="2"/>
    </xf>
    <xf numFmtId="175" fontId="0" fillId="0" borderId="6" xfId="0" applyNumberFormat="1" applyFill="1" applyBorder="1"/>
    <xf numFmtId="175" fontId="0" fillId="0" borderId="7" xfId="0" applyNumberFormat="1" applyFill="1" applyBorder="1"/>
    <xf numFmtId="3" fontId="1" fillId="4" borderId="17" xfId="6" applyNumberFormat="1" applyBorder="1" applyAlignment="1">
      <protection locked="0"/>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0" fillId="0" borderId="0" xfId="0"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7" fillId="0" borderId="0" xfId="0" applyNumberFormat="1" applyFont="1" applyFill="1" applyBorder="1"/>
    <xf numFmtId="170" fontId="28" fillId="0" borderId="24" xfId="0" applyNumberFormat="1" applyFont="1" applyFill="1" applyBorder="1"/>
    <xf numFmtId="175" fontId="28" fillId="0" borderId="24" xfId="0" applyNumberFormat="1" applyFont="1" applyFill="1" applyBorder="1"/>
    <xf numFmtId="0" fontId="28" fillId="0" borderId="0" xfId="0" applyFont="1" applyFill="1" applyBorder="1"/>
    <xf numFmtId="175" fontId="28" fillId="0" borderId="0" xfId="0" applyNumberFormat="1" applyFont="1" applyFill="1" applyBorder="1"/>
    <xf numFmtId="0" fontId="28" fillId="0" borderId="22" xfId="0" applyFont="1" applyFill="1" applyBorder="1"/>
    <xf numFmtId="175" fontId="28" fillId="0" borderId="22" xfId="0" applyNumberFormat="1" applyFont="1" applyFill="1" applyBorder="1"/>
    <xf numFmtId="176" fontId="28" fillId="0" borderId="0" xfId="1" applyNumberFormat="1" applyFont="1" applyFill="1" applyBorder="1"/>
    <xf numFmtId="0" fontId="28" fillId="0" borderId="0" xfId="0" applyFont="1" applyFill="1" applyBorder="1" applyAlignment="1">
      <alignment horizontal="center"/>
    </xf>
    <xf numFmtId="43" fontId="28" fillId="0" borderId="0" xfId="1" applyFont="1" applyFill="1" applyBorder="1"/>
    <xf numFmtId="0" fontId="25" fillId="0" borderId="0" xfId="0" applyFont="1" applyAlignment="1">
      <alignment horizontal="center"/>
    </xf>
    <xf numFmtId="6" fontId="25" fillId="0" borderId="0" xfId="0" applyNumberFormat="1" applyFont="1"/>
    <xf numFmtId="0" fontId="25" fillId="0" borderId="23" xfId="0" applyFont="1" applyBorder="1" applyAlignment="1">
      <alignment horizontal="right"/>
    </xf>
    <xf numFmtId="0" fontId="25" fillId="0" borderId="0" xfId="0" applyFont="1" applyBorder="1" applyAlignment="1">
      <alignment horizontal="right"/>
    </xf>
    <xf numFmtId="0" fontId="25" fillId="0" borderId="0" xfId="0" applyFont="1" applyBorder="1"/>
    <xf numFmtId="3" fontId="10" fillId="0" borderId="25" xfId="0" applyNumberFormat="1" applyFont="1" applyBorder="1" applyAlignment="1">
      <alignment horizontal="center"/>
    </xf>
    <xf numFmtId="3" fontId="1" fillId="4" borderId="7" xfId="6" applyNumberFormat="1" applyFont="1" applyBorder="1" applyAlignment="1">
      <alignment horizontal="center"/>
      <protection locked="0"/>
    </xf>
    <xf numFmtId="6" fontId="25" fillId="15" borderId="0" xfId="0" applyNumberFormat="1" applyFont="1" applyFill="1"/>
    <xf numFmtId="4" fontId="0" fillId="0" borderId="0" xfId="0" applyNumberFormat="1" applyFont="1" applyAlignment="1">
      <alignment horizontal="right"/>
    </xf>
    <xf numFmtId="0" fontId="0" fillId="0" borderId="6" xfId="0" applyNumberFormat="1" applyFill="1" applyBorder="1"/>
    <xf numFmtId="0" fontId="0" fillId="0" borderId="7" xfId="0" applyNumberFormat="1" applyFill="1" applyBorder="1"/>
    <xf numFmtId="165" fontId="0" fillId="0" borderId="5" xfId="0" applyNumberFormat="1" applyBorder="1" applyAlignment="1">
      <alignment horizontal="center"/>
    </xf>
    <xf numFmtId="0" fontId="0" fillId="6" borderId="0" xfId="0" applyFill="1" applyBorder="1" applyAlignment="1">
      <alignment horizontal="centerContinuous"/>
    </xf>
    <xf numFmtId="0" fontId="25" fillId="0" borderId="23" xfId="0" applyFont="1" applyBorder="1" applyAlignment="1">
      <alignment horizontal="center"/>
    </xf>
    <xf numFmtId="177" fontId="25" fillId="0" borderId="0" xfId="1" applyNumberFormat="1" applyFont="1"/>
    <xf numFmtId="10" fontId="25" fillId="0" borderId="0" xfId="20" applyNumberFormat="1" applyFont="1" applyAlignment="1">
      <alignment horizontal="center"/>
    </xf>
    <xf numFmtId="175" fontId="25" fillId="0" borderId="0" xfId="0" applyNumberFormat="1" applyFont="1" applyAlignment="1">
      <alignment horizontal="center"/>
    </xf>
    <xf numFmtId="6" fontId="25" fillId="0" borderId="0" xfId="0" applyNumberFormat="1" applyFont="1" applyAlignment="1">
      <alignment horizontal="center"/>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175" fontId="1" fillId="4" borderId="6" xfId="6" applyNumberFormat="1" applyBorder="1" applyAlignment="1">
      <protection locked="0"/>
    </xf>
    <xf numFmtId="175" fontId="1" fillId="4" borderId="7" xfId="6" applyNumberFormat="1" applyBorder="1" applyAlignment="1">
      <protection locked="0"/>
    </xf>
    <xf numFmtId="49" fontId="1" fillId="0" borderId="0" xfId="6" applyNumberFormat="1" applyFill="1" applyBorder="1" applyAlignment="1">
      <alignment horizontal="center"/>
      <protection locked="0"/>
    </xf>
    <xf numFmtId="0" fontId="25" fillId="0" borderId="0" xfId="0" applyFont="1" applyFill="1" applyAlignment="1">
      <alignment horizontal="left"/>
    </xf>
    <xf numFmtId="0" fontId="25" fillId="0" borderId="26" xfId="0" applyFont="1" applyBorder="1"/>
    <xf numFmtId="43" fontId="25" fillId="0" borderId="0" xfId="0" applyNumberFormat="1" applyFont="1"/>
    <xf numFmtId="165" fontId="0" fillId="6" borderId="5" xfId="0" applyNumberFormat="1" applyFill="1" applyBorder="1" applyAlignment="1">
      <alignment horizontal="center" wrapText="1"/>
    </xf>
    <xf numFmtId="0" fontId="0" fillId="0" borderId="2" xfId="0" applyFill="1" applyBorder="1" applyAlignment="1">
      <alignment horizontal="right"/>
    </xf>
    <xf numFmtId="175" fontId="0" fillId="0" borderId="8" xfId="0" applyNumberFormat="1" applyFill="1" applyBorder="1"/>
    <xf numFmtId="175" fontId="1" fillId="4" borderId="8" xfId="6" applyNumberFormat="1" applyBorder="1" applyAlignment="1">
      <protection locked="0"/>
    </xf>
    <xf numFmtId="175" fontId="0" fillId="16" borderId="7" xfId="0" applyNumberFormat="1" applyFill="1" applyBorder="1"/>
    <xf numFmtId="0" fontId="25" fillId="0" borderId="0" xfId="0" applyFont="1" applyFill="1" applyBorder="1" applyAlignment="1">
      <alignment horizontal="left"/>
    </xf>
    <xf numFmtId="0" fontId="10" fillId="0" borderId="0" xfId="0" applyFont="1" applyFill="1" applyBorder="1" applyAlignment="1">
      <alignment horizontal="right"/>
    </xf>
    <xf numFmtId="10" fontId="0" fillId="0" borderId="0" xfId="0" applyNumberFormat="1" applyFill="1" applyBorder="1"/>
    <xf numFmtId="0" fontId="0" fillId="0" borderId="0" xfId="0" applyBorder="1" applyAlignment="1">
      <alignment horizontal="center"/>
    </xf>
    <xf numFmtId="175" fontId="25" fillId="15" borderId="0" xfId="0" applyNumberFormat="1" applyFont="1" applyFill="1"/>
    <xf numFmtId="43" fontId="25" fillId="0" borderId="0" xfId="1" applyFont="1" applyFill="1" applyAlignment="1"/>
    <xf numFmtId="165" fontId="1" fillId="0" borderId="7" xfId="18" applyNumberFormat="1" applyFont="1" applyBorder="1" applyAlignment="1" applyProtection="1">
      <alignment horizontal="center"/>
      <protection locked="0"/>
    </xf>
    <xf numFmtId="9" fontId="0" fillId="0" borderId="0" xfId="0" applyNumberFormat="1" applyFill="1"/>
    <xf numFmtId="2" fontId="0" fillId="0" borderId="0" xfId="0" applyNumberFormat="1" applyFill="1"/>
    <xf numFmtId="0" fontId="0" fillId="0" borderId="0" xfId="0" applyFont="1" applyBorder="1"/>
    <xf numFmtId="6" fontId="25" fillId="0" borderId="0" xfId="0" applyNumberFormat="1" applyFont="1" applyBorder="1" applyAlignment="1">
      <alignment horizontal="center"/>
    </xf>
    <xf numFmtId="175" fontId="25" fillId="15" borderId="0" xfId="0" applyNumberFormat="1" applyFont="1" applyFill="1" applyBorder="1"/>
    <xf numFmtId="6" fontId="25" fillId="0" borderId="0" xfId="0" applyNumberFormat="1" applyFont="1" applyBorder="1"/>
    <xf numFmtId="4" fontId="0" fillId="0" borderId="0" xfId="0" applyNumberFormat="1" applyFont="1" applyBorder="1" applyAlignment="1">
      <alignment horizontal="right"/>
    </xf>
    <xf numFmtId="177" fontId="25" fillId="0" borderId="0" xfId="1" applyNumberFormat="1" applyFont="1" applyBorder="1"/>
    <xf numFmtId="43" fontId="25" fillId="0" borderId="0" xfId="1" applyFont="1" applyFill="1" applyBorder="1" applyAlignment="1"/>
    <xf numFmtId="10" fontId="25" fillId="0" borderId="0" xfId="20" applyNumberFormat="1" applyFont="1" applyBorder="1" applyAlignment="1">
      <alignment horizontal="center"/>
    </xf>
    <xf numFmtId="175" fontId="25" fillId="0" borderId="0" xfId="0" applyNumberFormat="1" applyFont="1" applyBorder="1" applyAlignment="1">
      <alignment horizontal="center"/>
    </xf>
    <xf numFmtId="3" fontId="0" fillId="0" borderId="7" xfId="0" applyNumberFormat="1" applyBorder="1" applyAlignment="1">
      <alignment horizontal="center"/>
    </xf>
    <xf numFmtId="0" fontId="27" fillId="0" borderId="0" xfId="0" applyFont="1" applyBorder="1"/>
    <xf numFmtId="0" fontId="33" fillId="0" borderId="0" xfId="0" applyFont="1"/>
    <xf numFmtId="0" fontId="33" fillId="0" borderId="0" xfId="0" applyFont="1" applyFill="1" applyBorder="1"/>
    <xf numFmtId="9" fontId="33" fillId="0" borderId="0" xfId="20" applyFont="1" applyFill="1" applyBorder="1" applyAlignment="1">
      <alignment horizontal="center"/>
    </xf>
    <xf numFmtId="9" fontId="0" fillId="14" borderId="8" xfId="20" applyFont="1" applyFill="1" applyBorder="1" applyAlignment="1">
      <alignment horizontal="center"/>
    </xf>
    <xf numFmtId="0" fontId="31" fillId="0" borderId="0" xfId="0" applyFont="1" applyFill="1" applyBorder="1" applyAlignment="1">
      <alignment horizontal="right"/>
    </xf>
    <xf numFmtId="0" fontId="29" fillId="0" borderId="0" xfId="0" applyFont="1" applyFill="1" applyBorder="1"/>
    <xf numFmtId="175" fontId="32" fillId="0" borderId="0" xfId="0" applyNumberFormat="1" applyFont="1" applyFill="1" applyBorder="1"/>
    <xf numFmtId="165" fontId="0" fillId="0" borderId="5" xfId="20" applyNumberFormat="1" applyFont="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6">
    <cellStyle name="Change in Formula" xfId="3" xr:uid="{00000000-0005-0000-0000-000000000000}"/>
    <cellStyle name="Comma" xfId="1" builtinId="3" customBuiltin="1"/>
    <cellStyle name="Comma [0]" xfId="2" builtinId="6" customBuiltin="1"/>
    <cellStyle name="Comma [0] 2" xfId="24" xr:uid="{7BD54B8E-1376-482C-A2E3-E56AFE6E452B}"/>
    <cellStyle name="Comma 2" xfId="23" xr:uid="{E938F5BE-B75E-4FDE-B6EA-815FB4A7CBA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Key Outputs 2" xfId="25" xr:uid="{8A98B4DE-7B4E-4650-A5F5-AD099DFB8B87}"/>
    <cellStyle name="Links from other files (green) style" xfId="10" xr:uid="{00000000-0005-0000-0000-00000F000000}"/>
    <cellStyle name="Normal" xfId="0" builtinId="0" customBuiltin="1"/>
    <cellStyle name="Normal 2" xfId="22" xr:uid="{4225A961-A2BF-4279-BEED-96294C8038E6}"/>
    <cellStyle name="Normal 2 2" xfId="21" xr:uid="{FCC21B74-89FB-456F-AFD0-29BD3F2E22E9}"/>
    <cellStyle name="Percent" xfId="20" builtinId="5"/>
    <cellStyle name="Percent 2" xfId="18" xr:uid="{00000000-0005-0000-0000-000011000000}"/>
    <cellStyle name="Percent 2 2" xfId="19" xr:uid="{00000000-0005-0000-0000-000012000000}"/>
    <cellStyle name="QA" xfId="14" xr:uid="{00000000-0005-0000-0000-000013000000}"/>
  </cellStyles>
  <dxfs count="42">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8"/>
      </font>
    </dxf>
    <dxf>
      <font>
        <b/>
        <i val="0"/>
        <color rgb="FFFF0000"/>
      </font>
    </dxf>
    <dxf>
      <font>
        <b/>
        <i val="0"/>
        <color rgb="FFFF0000"/>
      </font>
    </dxf>
    <dxf>
      <font>
        <color theme="8"/>
      </font>
    </dxf>
    <dxf>
      <font>
        <b/>
        <i val="0"/>
        <color rgb="FFFF0000"/>
      </font>
    </dxf>
    <dxf>
      <font>
        <color theme="8"/>
      </font>
    </dxf>
    <dxf>
      <font>
        <color theme="8"/>
      </font>
    </dxf>
    <dxf>
      <font>
        <b/>
        <i val="0"/>
        <color rgb="FFFF0000"/>
      </font>
    </dxf>
    <dxf>
      <font>
        <color theme="8"/>
      </font>
    </dxf>
    <dxf>
      <font>
        <color theme="8"/>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FFFFCC"/>
      <color rgb="FFFF9933"/>
      <color rgb="FFDDDDDD"/>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C133"/>
  <sheetViews>
    <sheetView showGridLines="0" zoomScaleNormal="100" workbookViewId="0"/>
  </sheetViews>
  <sheetFormatPr defaultColWidth="9.09765625" defaultRowHeight="11.5" x14ac:dyDescent="0.25"/>
  <cols>
    <col min="1" max="1" width="2.69921875" style="225" customWidth="1"/>
    <col min="2" max="3" width="2.69921875" style="7" customWidth="1"/>
    <col min="4" max="4" width="10.19921875" style="7" customWidth="1"/>
    <col min="5" max="5" width="139.69921875" style="7" customWidth="1"/>
    <col min="6" max="23" width="9.09765625" style="11"/>
    <col min="24" max="29" width="9.09765625" style="10"/>
    <col min="30" max="16384" width="9.09765625" style="7"/>
  </cols>
  <sheetData>
    <row r="1" spans="2:29" ht="12" customHeight="1" x14ac:dyDescent="0.25">
      <c r="B1" s="184"/>
      <c r="C1" s="184"/>
      <c r="D1" s="184"/>
      <c r="E1" s="10"/>
      <c r="J1" s="7"/>
      <c r="K1" s="7"/>
      <c r="L1" s="7"/>
      <c r="M1" s="7"/>
      <c r="N1" s="7"/>
      <c r="O1" s="7"/>
      <c r="P1" s="7"/>
      <c r="Q1" s="7"/>
      <c r="R1" s="7"/>
      <c r="S1" s="7"/>
      <c r="T1" s="7"/>
      <c r="U1" s="7"/>
      <c r="V1" s="7"/>
      <c r="W1" s="7"/>
      <c r="X1" s="7"/>
      <c r="Y1" s="7"/>
      <c r="Z1" s="7"/>
      <c r="AA1" s="7"/>
      <c r="AB1" s="7"/>
      <c r="AC1" s="7"/>
    </row>
    <row r="2" spans="2:29" ht="12" customHeight="1" x14ac:dyDescent="0.35">
      <c r="B2" s="10"/>
      <c r="D2" s="12"/>
      <c r="E2" s="12"/>
      <c r="J2" s="7"/>
      <c r="K2" s="7"/>
      <c r="L2" s="7"/>
      <c r="M2" s="7"/>
      <c r="N2" s="7"/>
      <c r="O2" s="7"/>
      <c r="P2" s="7"/>
      <c r="Q2" s="7"/>
      <c r="R2" s="7"/>
      <c r="S2" s="7"/>
      <c r="T2" s="7"/>
      <c r="U2" s="7"/>
      <c r="V2" s="7"/>
      <c r="W2" s="7"/>
      <c r="X2" s="7"/>
      <c r="Y2" s="7"/>
      <c r="Z2" s="7"/>
      <c r="AA2" s="7"/>
      <c r="AB2" s="7"/>
      <c r="AC2" s="7"/>
    </row>
    <row r="3" spans="2:29" ht="20.25" customHeight="1" x14ac:dyDescent="0.35">
      <c r="B3" s="10"/>
      <c r="C3" s="12" t="s">
        <v>196</v>
      </c>
      <c r="D3" s="13"/>
      <c r="E3" s="13"/>
      <c r="F3" s="14"/>
      <c r="G3" s="14"/>
      <c r="H3" s="14"/>
      <c r="I3" s="14"/>
      <c r="J3" s="7"/>
      <c r="K3" s="7"/>
      <c r="L3" s="7"/>
      <c r="M3" s="7"/>
      <c r="N3" s="7"/>
      <c r="O3" s="7"/>
      <c r="P3" s="7"/>
      <c r="Q3" s="7"/>
      <c r="R3" s="7"/>
      <c r="S3" s="7"/>
      <c r="T3" s="7"/>
      <c r="U3" s="7"/>
      <c r="V3" s="7"/>
      <c r="W3" s="7"/>
      <c r="X3" s="7"/>
      <c r="Y3" s="7"/>
      <c r="Z3" s="7"/>
      <c r="AA3" s="7"/>
      <c r="AB3" s="7"/>
      <c r="AC3" s="7"/>
    </row>
    <row r="4" spans="2:29" ht="12" customHeight="1" x14ac:dyDescent="0.25">
      <c r="B4" s="10"/>
      <c r="C4" s="13"/>
      <c r="D4" s="13"/>
      <c r="E4" s="13"/>
      <c r="F4" s="14"/>
      <c r="G4" s="14"/>
      <c r="H4" s="14"/>
      <c r="I4" s="14"/>
      <c r="J4" s="7"/>
      <c r="K4" s="7"/>
      <c r="L4" s="7"/>
      <c r="M4" s="7"/>
      <c r="N4" s="7"/>
      <c r="O4" s="7"/>
      <c r="P4" s="7"/>
      <c r="Q4" s="7"/>
      <c r="R4" s="7"/>
      <c r="S4" s="7"/>
      <c r="T4" s="7"/>
      <c r="U4" s="7"/>
      <c r="V4" s="7"/>
      <c r="W4" s="7"/>
      <c r="X4" s="7"/>
      <c r="Y4" s="7"/>
      <c r="Z4" s="7"/>
      <c r="AA4" s="7"/>
      <c r="AB4" s="7"/>
      <c r="AC4" s="7"/>
    </row>
    <row r="5" spans="2:29" x14ac:dyDescent="0.25">
      <c r="B5" s="10"/>
      <c r="C5" s="15" t="s">
        <v>1</v>
      </c>
      <c r="D5" s="15"/>
      <c r="E5" s="16" t="s">
        <v>77</v>
      </c>
      <c r="F5" s="17"/>
      <c r="G5" s="17"/>
      <c r="H5"/>
      <c r="I5" s="17"/>
      <c r="J5" s="7"/>
      <c r="K5" s="7"/>
      <c r="L5" s="7"/>
      <c r="M5" s="7"/>
      <c r="N5" s="7"/>
      <c r="O5" s="7"/>
      <c r="P5" s="7"/>
      <c r="Q5" s="7"/>
      <c r="R5" s="7"/>
      <c r="S5" s="7"/>
      <c r="T5" s="7"/>
      <c r="U5" s="7"/>
      <c r="V5" s="7"/>
      <c r="W5" s="7"/>
      <c r="X5" s="7"/>
      <c r="Y5" s="7"/>
      <c r="Z5" s="7"/>
      <c r="AA5" s="7"/>
      <c r="AB5" s="7"/>
      <c r="AC5" s="7"/>
    </row>
    <row r="6" spans="2:29" x14ac:dyDescent="0.25">
      <c r="B6" s="10"/>
      <c r="C6" s="11" t="s">
        <v>2</v>
      </c>
      <c r="D6" s="11"/>
      <c r="E6" s="87" t="s">
        <v>78</v>
      </c>
      <c r="F6" s="17"/>
      <c r="G6" s="17"/>
      <c r="H6"/>
      <c r="I6" s="17"/>
      <c r="J6" s="7"/>
      <c r="K6" s="7"/>
      <c r="L6" s="7"/>
      <c r="M6" s="7"/>
      <c r="N6" s="7"/>
      <c r="O6" s="7"/>
      <c r="P6" s="7"/>
      <c r="Q6" s="7"/>
      <c r="R6" s="7"/>
      <c r="S6" s="7"/>
      <c r="T6" s="7"/>
      <c r="U6" s="7"/>
      <c r="V6" s="7"/>
      <c r="W6" s="7"/>
      <c r="X6" s="7"/>
      <c r="Y6" s="7"/>
      <c r="Z6" s="7"/>
      <c r="AA6" s="7"/>
      <c r="AB6" s="7"/>
      <c r="AC6" s="7"/>
    </row>
    <row r="7" spans="2:29" x14ac:dyDescent="0.25">
      <c r="B7" s="10"/>
      <c r="D7" s="11"/>
      <c r="H7"/>
      <c r="J7" s="7"/>
      <c r="K7" s="7"/>
      <c r="L7" s="7"/>
      <c r="M7" s="7"/>
      <c r="N7" s="7"/>
      <c r="O7" s="7"/>
      <c r="P7" s="7"/>
      <c r="Q7" s="7"/>
      <c r="R7" s="7"/>
      <c r="S7" s="7"/>
      <c r="T7" s="7"/>
      <c r="U7" s="7"/>
      <c r="V7" s="7"/>
      <c r="W7" s="7"/>
      <c r="X7" s="7"/>
      <c r="Y7" s="7"/>
      <c r="Z7" s="7"/>
      <c r="AA7" s="7"/>
      <c r="AB7" s="7"/>
      <c r="AC7" s="7"/>
    </row>
    <row r="8" spans="2:29" ht="15.9" customHeight="1" x14ac:dyDescent="0.25">
      <c r="B8" s="10"/>
      <c r="C8" s="13"/>
      <c r="D8" s="13"/>
      <c r="E8" s="13"/>
      <c r="F8" s="14"/>
      <c r="G8" s="14"/>
      <c r="H8"/>
      <c r="J8" s="7"/>
      <c r="K8" s="7"/>
      <c r="L8" s="7"/>
      <c r="M8" s="7"/>
      <c r="N8" s="7"/>
      <c r="O8" s="7"/>
      <c r="P8" s="7"/>
      <c r="Q8" s="7"/>
      <c r="R8" s="7"/>
      <c r="S8" s="7"/>
      <c r="T8" s="7"/>
      <c r="U8" s="7"/>
      <c r="V8" s="7"/>
      <c r="W8" s="7"/>
      <c r="X8" s="7"/>
      <c r="Y8" s="7"/>
      <c r="Z8" s="7"/>
      <c r="AA8" s="7"/>
      <c r="AB8" s="7"/>
      <c r="AC8" s="7"/>
    </row>
    <row r="9" spans="2:29" x14ac:dyDescent="0.25">
      <c r="H9"/>
    </row>
    <row r="10" spans="2:29" ht="14" x14ac:dyDescent="0.3">
      <c r="B10" s="10"/>
      <c r="C10" s="18" t="s">
        <v>3</v>
      </c>
      <c r="D10" s="18"/>
      <c r="E10" s="19"/>
      <c r="F10" s="20"/>
      <c r="G10" s="20"/>
      <c r="H10"/>
      <c r="I10" s="20"/>
      <c r="J10" s="7"/>
      <c r="K10" s="7"/>
      <c r="L10" s="7"/>
      <c r="M10" s="7"/>
      <c r="N10" s="7"/>
      <c r="O10" s="7"/>
      <c r="P10" s="7"/>
      <c r="Q10" s="7"/>
      <c r="R10" s="7"/>
      <c r="S10" s="7"/>
      <c r="T10" s="7"/>
      <c r="U10" s="7"/>
      <c r="V10" s="7"/>
      <c r="W10" s="7"/>
      <c r="X10" s="7"/>
      <c r="Y10" s="7"/>
      <c r="Z10" s="7"/>
      <c r="AA10" s="7"/>
      <c r="AB10" s="7"/>
      <c r="AC10" s="7"/>
    </row>
    <row r="11" spans="2:29" x14ac:dyDescent="0.25">
      <c r="B11" s="10"/>
      <c r="C11" s="20"/>
      <c r="D11" s="20"/>
      <c r="E11" s="20"/>
      <c r="F11" s="20"/>
      <c r="G11" s="20"/>
      <c r="H11"/>
      <c r="I11" s="20"/>
      <c r="J11" s="7"/>
      <c r="K11" s="7"/>
      <c r="L11" s="7"/>
      <c r="M11" s="7"/>
      <c r="N11" s="7"/>
      <c r="O11" s="7"/>
      <c r="P11" s="7"/>
      <c r="Q11" s="7"/>
      <c r="R11" s="7"/>
      <c r="S11" s="7"/>
      <c r="T11" s="7"/>
      <c r="U11" s="7"/>
      <c r="V11" s="7"/>
      <c r="W11" s="7"/>
      <c r="X11" s="7"/>
      <c r="Y11" s="7"/>
      <c r="Z11" s="7"/>
      <c r="AA11" s="7"/>
      <c r="AB11" s="7"/>
      <c r="AC11" s="7"/>
    </row>
    <row r="12" spans="2:29" ht="27.15" customHeight="1" x14ac:dyDescent="0.25">
      <c r="B12" s="10"/>
      <c r="C12" s="337" t="s">
        <v>206</v>
      </c>
      <c r="D12" s="338"/>
      <c r="E12" s="338"/>
      <c r="F12" s="17"/>
      <c r="G12" s="17"/>
      <c r="H12"/>
      <c r="I12" s="17"/>
      <c r="J12" s="7"/>
      <c r="K12" s="7"/>
      <c r="L12" s="7"/>
      <c r="M12" s="7"/>
      <c r="N12" s="7"/>
      <c r="O12" s="7"/>
      <c r="P12" s="7"/>
      <c r="Q12" s="7"/>
      <c r="R12" s="7"/>
      <c r="S12" s="7"/>
      <c r="T12" s="7"/>
      <c r="U12" s="7"/>
      <c r="V12" s="7"/>
      <c r="W12" s="7"/>
      <c r="X12" s="7"/>
      <c r="Y12" s="7"/>
      <c r="Z12" s="7"/>
      <c r="AA12" s="7"/>
      <c r="AB12" s="7"/>
      <c r="AC12" s="7"/>
    </row>
    <row r="13" spans="2:29" s="245" customFormat="1" x14ac:dyDescent="0.25">
      <c r="B13" s="10"/>
      <c r="C13" s="243"/>
      <c r="D13" s="244"/>
      <c r="E13" s="244"/>
      <c r="F13" s="17"/>
      <c r="G13" s="17"/>
      <c r="H13"/>
      <c r="I13" s="17"/>
    </row>
    <row r="14" spans="2:29" s="245" customFormat="1" ht="35.4" customHeight="1" x14ac:dyDescent="0.25">
      <c r="B14" s="10"/>
      <c r="C14" s="337" t="s">
        <v>239</v>
      </c>
      <c r="D14" s="338"/>
      <c r="E14" s="338"/>
      <c r="F14" s="17"/>
      <c r="G14" s="17"/>
      <c r="H14"/>
      <c r="I14" s="17"/>
    </row>
    <row r="15" spans="2:29" ht="15" customHeight="1" x14ac:dyDescent="0.25">
      <c r="B15" s="10"/>
      <c r="C15" s="21"/>
      <c r="D15" s="21"/>
      <c r="E15" s="17"/>
      <c r="F15" s="17"/>
      <c r="G15" s="17"/>
      <c r="H15"/>
      <c r="I15" s="17"/>
      <c r="J15" s="7"/>
      <c r="K15" s="7"/>
      <c r="L15" s="7"/>
      <c r="M15" s="7"/>
      <c r="N15" s="7"/>
      <c r="O15" s="7"/>
      <c r="P15" s="7"/>
      <c r="Q15" s="7"/>
      <c r="R15" s="7"/>
      <c r="S15" s="7"/>
      <c r="T15" s="7"/>
      <c r="U15" s="7"/>
      <c r="V15" s="7"/>
      <c r="W15" s="7"/>
      <c r="X15" s="7"/>
      <c r="Y15" s="7"/>
      <c r="Z15" s="7"/>
      <c r="AA15" s="7"/>
      <c r="AB15" s="7"/>
      <c r="AC15" s="7"/>
    </row>
    <row r="16" spans="2:29" ht="15" customHeight="1" x14ac:dyDescent="0.3">
      <c r="B16" s="10"/>
      <c r="C16" s="18" t="s">
        <v>211</v>
      </c>
      <c r="D16" s="18"/>
      <c r="E16" s="22"/>
      <c r="F16" s="17"/>
      <c r="G16" s="17"/>
      <c r="H16"/>
      <c r="I16" s="17"/>
      <c r="J16" s="7"/>
      <c r="K16" s="7"/>
      <c r="L16" s="7"/>
      <c r="M16" s="7"/>
      <c r="N16" s="7"/>
      <c r="O16" s="7"/>
      <c r="P16" s="7"/>
      <c r="Q16" s="7"/>
      <c r="R16" s="7"/>
      <c r="S16" s="7"/>
      <c r="T16" s="7"/>
      <c r="U16" s="7"/>
      <c r="V16" s="7"/>
      <c r="W16" s="7"/>
      <c r="X16" s="7"/>
      <c r="Y16" s="7"/>
      <c r="Z16" s="7"/>
      <c r="AA16" s="7"/>
      <c r="AB16" s="7"/>
      <c r="AC16" s="7"/>
    </row>
    <row r="17" spans="1:29" ht="15" customHeight="1" x14ac:dyDescent="0.25">
      <c r="B17" s="10"/>
      <c r="C17" s="21"/>
      <c r="D17" s="21"/>
      <c r="E17" s="17"/>
      <c r="F17" s="17"/>
      <c r="G17" s="17"/>
      <c r="H17"/>
      <c r="I17" s="17"/>
      <c r="J17" s="7"/>
      <c r="K17" s="7"/>
      <c r="L17" s="7"/>
      <c r="M17" s="7"/>
      <c r="N17" s="7"/>
      <c r="O17" s="7"/>
      <c r="P17" s="7"/>
      <c r="Q17" s="7"/>
      <c r="R17" s="7"/>
      <c r="S17" s="7"/>
      <c r="T17" s="7"/>
      <c r="U17" s="7"/>
      <c r="V17" s="7"/>
      <c r="W17" s="7"/>
      <c r="X17" s="7"/>
      <c r="Y17" s="7"/>
      <c r="Z17" s="7"/>
      <c r="AA17" s="7"/>
      <c r="AB17" s="7"/>
      <c r="AC17" s="7"/>
    </row>
    <row r="18" spans="1:29" s="84" customFormat="1" ht="37.65" customHeight="1" x14ac:dyDescent="0.25">
      <c r="A18" s="225"/>
      <c r="B18" s="10"/>
      <c r="C18" s="337"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338"/>
      <c r="E18" s="338"/>
      <c r="F18" s="17"/>
      <c r="G18" s="17"/>
      <c r="H18"/>
      <c r="I18" s="17"/>
    </row>
    <row r="19" spans="1:29" s="84" customFormat="1" ht="6" customHeight="1" x14ac:dyDescent="0.25">
      <c r="A19" s="225"/>
      <c r="B19" s="10"/>
      <c r="C19" s="20"/>
      <c r="D19" s="21"/>
      <c r="E19" s="17"/>
      <c r="F19" s="17"/>
      <c r="G19" s="17"/>
      <c r="H19"/>
      <c r="I19" s="17"/>
    </row>
    <row r="20" spans="1:29" s="155" customFormat="1" ht="37.65" customHeight="1" x14ac:dyDescent="0.25">
      <c r="A20" s="225"/>
      <c r="B20" s="164"/>
      <c r="C20" s="337"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338"/>
      <c r="E20" s="338"/>
      <c r="F20" s="17"/>
      <c r="G20" s="17"/>
      <c r="H20"/>
      <c r="I20" s="17"/>
    </row>
    <row r="21" spans="1:29" s="235" customFormat="1" x14ac:dyDescent="0.25">
      <c r="B21" s="164"/>
      <c r="C21" s="232"/>
      <c r="D21" s="233"/>
      <c r="E21" s="233"/>
      <c r="F21" s="17"/>
      <c r="G21" s="17"/>
      <c r="H21"/>
      <c r="I21" s="17"/>
    </row>
    <row r="22" spans="1:29" s="235" customFormat="1" ht="14" x14ac:dyDescent="0.3">
      <c r="B22" s="164"/>
      <c r="C22" s="18" t="s">
        <v>212</v>
      </c>
      <c r="D22" s="18"/>
      <c r="E22" s="22"/>
      <c r="F22" s="17"/>
      <c r="G22" s="17"/>
      <c r="H22"/>
      <c r="I22" s="17"/>
    </row>
    <row r="23" spans="1:29" s="155" customFormat="1" x14ac:dyDescent="0.25">
      <c r="A23" s="225"/>
      <c r="B23" s="10"/>
      <c r="C23" s="154"/>
      <c r="D23" s="21"/>
      <c r="E23" s="17"/>
      <c r="F23" s="17"/>
      <c r="G23" s="17"/>
      <c r="H23"/>
      <c r="I23" s="17"/>
    </row>
    <row r="24" spans="1:29" s="155" customFormat="1" x14ac:dyDescent="0.25">
      <c r="A24" s="225"/>
      <c r="B24" s="10"/>
      <c r="C24" s="9" t="s">
        <v>216</v>
      </c>
      <c r="D24" s="21"/>
      <c r="E24" s="17"/>
      <c r="F24" s="17"/>
      <c r="G24" s="17"/>
      <c r="H24"/>
      <c r="I24" s="17"/>
    </row>
    <row r="25" spans="1:29" s="155" customFormat="1" ht="6" customHeight="1" x14ac:dyDescent="0.25">
      <c r="A25" s="225"/>
      <c r="B25" s="10"/>
      <c r="C25" s="154"/>
      <c r="D25" s="21"/>
      <c r="E25" s="17"/>
      <c r="F25" s="17"/>
      <c r="G25" s="17"/>
      <c r="H25"/>
      <c r="I25" s="17"/>
    </row>
    <row r="26" spans="1:29" s="84" customFormat="1" ht="15" customHeight="1" x14ac:dyDescent="0.25">
      <c r="A26" s="225"/>
      <c r="B26" s="10"/>
      <c r="C26" s="339" t="s">
        <v>79</v>
      </c>
      <c r="D26" s="340"/>
      <c r="E26" s="340"/>
      <c r="F26" s="17"/>
      <c r="G26" s="17"/>
      <c r="H26" s="17"/>
      <c r="I26" s="17"/>
    </row>
    <row r="27" spans="1:29" s="84" customFormat="1" ht="6" customHeight="1" x14ac:dyDescent="0.25">
      <c r="A27" s="225"/>
      <c r="B27" s="10"/>
      <c r="C27" s="20"/>
      <c r="D27" s="21"/>
      <c r="E27" s="17"/>
      <c r="F27" s="17"/>
      <c r="G27" s="17"/>
      <c r="H27" s="17"/>
      <c r="I27" s="17"/>
    </row>
    <row r="28" spans="1:29" s="84" customFormat="1" ht="15" customHeight="1" x14ac:dyDescent="0.25">
      <c r="A28" s="225"/>
      <c r="B28" s="10"/>
      <c r="C28" s="165" t="s">
        <v>101</v>
      </c>
      <c r="D28" s="88" t="str">
        <f ca="1">MID(CELL("filename",'General inputs'!$A$1),FIND("]",CELL("filename",'General inputs'!$A$1))+1,255)</f>
        <v>General inputs</v>
      </c>
      <c r="E28" s="17"/>
      <c r="F28" s="17"/>
      <c r="G28" s="17"/>
      <c r="H28" s="17"/>
      <c r="I28" s="17"/>
    </row>
    <row r="29" spans="1:29" s="84" customFormat="1" ht="15" customHeight="1" x14ac:dyDescent="0.25">
      <c r="A29" s="225"/>
      <c r="B29" s="10"/>
      <c r="C29" s="165" t="s">
        <v>101</v>
      </c>
      <c r="D29" s="17" t="str">
        <f ca="1">MID(CELL("filename",'Pre-1996 assets'!$A$1),FIND("]",CELL("filename",'Pre-1996 assets'!$A$1))+1,255)</f>
        <v>Pre-1996 assets</v>
      </c>
      <c r="E29" s="17"/>
      <c r="F29" s="17"/>
      <c r="G29" s="17"/>
      <c r="H29" s="17"/>
      <c r="I29" s="17"/>
    </row>
    <row r="30" spans="1:29" s="84" customFormat="1" ht="15" customHeight="1" x14ac:dyDescent="0.25">
      <c r="A30" s="225"/>
      <c r="B30" s="10"/>
      <c r="C30" s="165" t="s">
        <v>101</v>
      </c>
      <c r="D30" s="17" t="str">
        <f ca="1">MID(CELL("filename",'Post-1996 commissioned assets'!$A$1),FIND("]",CELL("filename",'Post-1996 commissioned assets'!$A$1))+1,255)</f>
        <v>Post-1996 commissioned assets</v>
      </c>
      <c r="E30" s="17"/>
      <c r="F30" s="17"/>
      <c r="G30" s="17"/>
      <c r="H30" s="17"/>
      <c r="I30" s="17"/>
    </row>
    <row r="31" spans="1:29" s="84" customFormat="1" ht="15" customHeight="1" x14ac:dyDescent="0.25">
      <c r="A31" s="225"/>
      <c r="B31" s="10"/>
      <c r="C31" s="165" t="s">
        <v>101</v>
      </c>
      <c r="D31" s="17" t="str">
        <f ca="1">MID(CELL("filename",'Uncommissioned assets'!$A$1),FIND("]",CELL("filename",'Uncommissioned assets'!$A$1))+1,255)</f>
        <v>Uncommissioned assets</v>
      </c>
      <c r="E31" s="17"/>
      <c r="F31" s="17"/>
      <c r="G31" s="17"/>
      <c r="H31" s="17"/>
      <c r="I31" s="17"/>
    </row>
    <row r="32" spans="1:29" s="84" customFormat="1" ht="15" customHeight="1" x14ac:dyDescent="0.25">
      <c r="A32" s="225"/>
      <c r="B32" s="10"/>
      <c r="C32" s="165" t="s">
        <v>101</v>
      </c>
      <c r="D32" s="17" t="str">
        <f ca="1">MID(CELL("filename",'ET inputs'!$A$1),FIND("]",CELL("filename",'ET inputs'!$A$1))+1,255)</f>
        <v>ET inputs</v>
      </c>
      <c r="E32" s="17"/>
      <c r="F32" s="17"/>
      <c r="G32" s="17"/>
      <c r="H32" s="17"/>
      <c r="I32" s="17"/>
    </row>
    <row r="33" spans="1:9" s="84" customFormat="1" ht="15" customHeight="1" x14ac:dyDescent="0.25">
      <c r="A33" s="225"/>
      <c r="B33" s="10"/>
      <c r="C33" s="20"/>
      <c r="D33" s="17"/>
      <c r="E33" s="17"/>
      <c r="F33" s="17"/>
      <c r="G33" s="17"/>
      <c r="H33" s="17"/>
      <c r="I33" s="17"/>
    </row>
    <row r="34" spans="1:9" s="84" customFormat="1" x14ac:dyDescent="0.25">
      <c r="A34" s="225"/>
      <c r="B34" s="10"/>
      <c r="C34" s="9" t="s">
        <v>68</v>
      </c>
      <c r="F34" s="17"/>
      <c r="G34" s="17"/>
      <c r="H34" s="17"/>
      <c r="I34" s="17"/>
    </row>
    <row r="35" spans="1:9" s="90" customFormat="1" ht="6" customHeight="1" x14ac:dyDescent="0.25">
      <c r="A35" s="225"/>
      <c r="B35" s="10"/>
      <c r="C35" s="89"/>
      <c r="D35" s="50"/>
      <c r="E35" s="50"/>
      <c r="F35" s="17"/>
      <c r="G35" s="17"/>
      <c r="H35" s="17"/>
      <c r="I35" s="17"/>
    </row>
    <row r="36" spans="1:9" s="84" customFormat="1" ht="15" customHeight="1" x14ac:dyDescent="0.25">
      <c r="A36" s="225"/>
      <c r="B36" s="10"/>
      <c r="C36" s="337" t="s">
        <v>102</v>
      </c>
      <c r="D36" s="338"/>
      <c r="E36" s="338"/>
      <c r="F36" s="17"/>
      <c r="G36" s="17"/>
      <c r="H36" s="17"/>
      <c r="I36" s="17"/>
    </row>
    <row r="37" spans="1:9" s="84" customFormat="1" ht="6" customHeight="1" x14ac:dyDescent="0.25">
      <c r="A37" s="225"/>
      <c r="B37" s="10"/>
      <c r="C37" s="154"/>
      <c r="D37" s="21"/>
      <c r="E37" s="17"/>
      <c r="F37" s="17"/>
      <c r="G37" s="17"/>
      <c r="H37" s="17"/>
      <c r="I37" s="17"/>
    </row>
    <row r="38" spans="1:9" s="84" customFormat="1" ht="15" customHeight="1" x14ac:dyDescent="0.25">
      <c r="A38" s="225"/>
      <c r="B38" s="10"/>
      <c r="C38" s="166" t="s">
        <v>101</v>
      </c>
      <c r="D38" s="17" t="str">
        <f ca="1">MID(CELL("filename",'Reduction amount'!$A$1),FIND("]",CELL("filename",'Reduction amount'!$A$1))+1,255)</f>
        <v>Reduction amount</v>
      </c>
      <c r="E38" s="17"/>
      <c r="F38" s="17"/>
      <c r="G38" s="17"/>
      <c r="H38" s="17"/>
      <c r="I38" s="17"/>
    </row>
    <row r="39" spans="1:9" s="84" customFormat="1" ht="6" customHeight="1" x14ac:dyDescent="0.25">
      <c r="A39" s="225"/>
      <c r="B39" s="10"/>
      <c r="C39" s="20"/>
      <c r="D39" s="21"/>
      <c r="E39" s="17"/>
      <c r="F39" s="17"/>
      <c r="G39" s="17"/>
      <c r="H39" s="17"/>
      <c r="I39" s="17"/>
    </row>
    <row r="40" spans="1:9" s="84" customFormat="1" ht="39" customHeight="1" x14ac:dyDescent="0.25">
      <c r="A40" s="225"/>
      <c r="B40" s="10"/>
      <c r="C40" s="337"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338"/>
      <c r="E40" s="338"/>
      <c r="F40" s="17"/>
      <c r="G40" s="17"/>
      <c r="H40" s="17"/>
      <c r="I40" s="17"/>
    </row>
    <row r="41" spans="1:9" s="84" customFormat="1" ht="6" customHeight="1" x14ac:dyDescent="0.25">
      <c r="A41" s="225"/>
      <c r="B41" s="10"/>
      <c r="C41" s="20"/>
      <c r="D41" s="17"/>
      <c r="E41" s="17"/>
      <c r="F41" s="17"/>
      <c r="G41" s="17"/>
      <c r="H41" s="17"/>
      <c r="I41" s="17"/>
    </row>
    <row r="42" spans="1:9" s="84" customFormat="1" ht="15" customHeight="1" x14ac:dyDescent="0.25">
      <c r="A42" s="225"/>
      <c r="B42" s="10"/>
      <c r="C42" s="154"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21"/>
      <c r="E42" s="17"/>
      <c r="F42" s="17"/>
      <c r="G42" s="17"/>
      <c r="H42" s="17"/>
      <c r="I42" s="17"/>
    </row>
    <row r="43" spans="1:9" s="155" customFormat="1" ht="15" customHeight="1" x14ac:dyDescent="0.25">
      <c r="A43" s="225"/>
      <c r="B43" s="10"/>
      <c r="C43" s="154"/>
      <c r="D43" s="21"/>
      <c r="E43" s="17"/>
      <c r="F43" s="17"/>
      <c r="G43" s="17"/>
      <c r="H43" s="17"/>
      <c r="I43" s="17"/>
    </row>
    <row r="44" spans="1:9" s="155" customFormat="1" ht="15" customHeight="1" x14ac:dyDescent="0.25">
      <c r="A44" s="225"/>
      <c r="B44" s="10"/>
      <c r="C44" s="9" t="s">
        <v>103</v>
      </c>
      <c r="D44" s="17"/>
      <c r="E44" s="17"/>
      <c r="F44" s="17"/>
      <c r="G44" s="17"/>
      <c r="H44" s="17"/>
      <c r="I44" s="17"/>
    </row>
    <row r="45" spans="1:9" s="155" customFormat="1" ht="6" customHeight="1" x14ac:dyDescent="0.25">
      <c r="A45" s="225"/>
      <c r="B45" s="10"/>
      <c r="C45" s="9"/>
      <c r="D45" s="17"/>
      <c r="E45" s="17"/>
      <c r="F45" s="17"/>
      <c r="G45" s="17"/>
      <c r="H45" s="17"/>
      <c r="I45" s="17"/>
    </row>
    <row r="46" spans="1:9" s="155" customFormat="1" ht="15" customHeight="1" x14ac:dyDescent="0.25">
      <c r="A46" s="225"/>
      <c r="B46" s="10"/>
      <c r="C46" s="337" t="s">
        <v>104</v>
      </c>
      <c r="D46" s="338"/>
      <c r="E46" s="338"/>
      <c r="F46" s="17"/>
      <c r="G46" s="17"/>
      <c r="H46" s="17"/>
      <c r="I46" s="17"/>
    </row>
    <row r="47" spans="1:9" s="155" customFormat="1" ht="6" customHeight="1" x14ac:dyDescent="0.25">
      <c r="A47" s="225"/>
      <c r="B47" s="10"/>
      <c r="C47" s="152"/>
      <c r="D47" s="153"/>
      <c r="E47" s="153"/>
      <c r="F47" s="17"/>
      <c r="G47" s="17"/>
      <c r="H47" s="17"/>
      <c r="I47" s="17"/>
    </row>
    <row r="48" spans="1:9" s="155" customFormat="1" ht="15" customHeight="1" x14ac:dyDescent="0.25">
      <c r="A48" s="225"/>
      <c r="B48" s="10"/>
      <c r="C48" s="166" t="s">
        <v>101</v>
      </c>
      <c r="D48" s="17" t="str">
        <f ca="1">MID(CELL("filename",'Headwork assets'!$A$1),FIND("]",CELL("filename",'Headwork assets'!$A$1))+1,255)</f>
        <v>Headwork assets</v>
      </c>
      <c r="E48" s="17"/>
      <c r="F48" s="17"/>
      <c r="G48" s="17"/>
      <c r="H48" s="17"/>
      <c r="I48" s="17"/>
    </row>
    <row r="49" spans="1:9" s="155" customFormat="1" ht="6" customHeight="1" x14ac:dyDescent="0.25">
      <c r="A49" s="225"/>
      <c r="B49" s="10"/>
      <c r="C49" s="166"/>
      <c r="D49" s="17"/>
      <c r="E49" s="17"/>
      <c r="F49" s="17"/>
      <c r="G49" s="17"/>
      <c r="H49" s="17"/>
      <c r="I49" s="17"/>
    </row>
    <row r="50" spans="1:9" s="155" customFormat="1" ht="15" customHeight="1" x14ac:dyDescent="0.25">
      <c r="A50" s="225"/>
      <c r="B50" s="10"/>
      <c r="C50" s="339" t="s">
        <v>105</v>
      </c>
      <c r="D50" s="340"/>
      <c r="E50" s="340"/>
      <c r="F50" s="17"/>
      <c r="G50" s="17"/>
      <c r="H50" s="17"/>
      <c r="I50" s="17"/>
    </row>
    <row r="51" spans="1:9" s="155" customFormat="1" ht="6" customHeight="1" x14ac:dyDescent="0.25">
      <c r="A51" s="225"/>
      <c r="B51" s="10"/>
      <c r="C51" s="154"/>
      <c r="F51" s="17"/>
      <c r="G51" s="17"/>
      <c r="H51" s="17"/>
      <c r="I51" s="17"/>
    </row>
    <row r="52" spans="1:9" s="155" customFormat="1" ht="24" customHeight="1" x14ac:dyDescent="0.25">
      <c r="A52" s="225"/>
      <c r="B52" s="10"/>
      <c r="C52" s="337" t="s">
        <v>84</v>
      </c>
      <c r="D52" s="338"/>
      <c r="E52" s="338"/>
      <c r="F52" s="17"/>
      <c r="G52" s="17"/>
      <c r="H52" s="17"/>
      <c r="I52" s="17"/>
    </row>
    <row r="53" spans="1:9" s="155" customFormat="1" ht="15" customHeight="1" x14ac:dyDescent="0.25">
      <c r="A53" s="225"/>
      <c r="B53" s="10"/>
      <c r="C53" s="152"/>
      <c r="D53" s="153"/>
      <c r="E53" s="153"/>
      <c r="F53" s="17"/>
      <c r="G53" s="17"/>
      <c r="H53" s="17"/>
      <c r="I53" s="17"/>
    </row>
    <row r="54" spans="1:9" s="155" customFormat="1" ht="15" customHeight="1" x14ac:dyDescent="0.25">
      <c r="A54" s="225"/>
      <c r="B54" s="10"/>
      <c r="C54" s="1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153"/>
      <c r="E54" s="153"/>
      <c r="F54" s="17"/>
      <c r="G54" s="17"/>
      <c r="H54" s="17"/>
      <c r="I54" s="17"/>
    </row>
    <row r="55" spans="1:9" s="155" customFormat="1" ht="15" customHeight="1" x14ac:dyDescent="0.25">
      <c r="A55" s="225"/>
      <c r="B55" s="10"/>
      <c r="C55" s="152"/>
      <c r="D55" s="153"/>
      <c r="E55" s="153"/>
      <c r="F55" s="17"/>
      <c r="G55" s="17"/>
      <c r="H55" s="17"/>
      <c r="I55" s="17"/>
    </row>
    <row r="56" spans="1:9" s="235" customFormat="1" ht="15" customHeight="1" x14ac:dyDescent="0.25">
      <c r="B56" s="10"/>
      <c r="C56" s="9" t="s">
        <v>213</v>
      </c>
      <c r="D56" s="17"/>
      <c r="E56" s="17"/>
      <c r="F56" s="17"/>
      <c r="G56" s="17"/>
      <c r="H56" s="17"/>
      <c r="I56" s="17"/>
    </row>
    <row r="57" spans="1:9" s="235" customFormat="1" ht="6" customHeight="1" x14ac:dyDescent="0.25">
      <c r="B57" s="10"/>
      <c r="C57" s="9"/>
      <c r="D57" s="17"/>
      <c r="E57" s="17"/>
      <c r="F57" s="17"/>
      <c r="G57" s="17"/>
      <c r="H57" s="17"/>
      <c r="I57" s="17"/>
    </row>
    <row r="58" spans="1:9" s="235" customFormat="1" ht="15" customHeight="1" x14ac:dyDescent="0.25">
      <c r="B58" s="10"/>
      <c r="C58" s="337" t="s">
        <v>214</v>
      </c>
      <c r="D58" s="338"/>
      <c r="E58" s="338"/>
      <c r="F58" s="17"/>
      <c r="G58" s="17"/>
      <c r="H58" s="17"/>
      <c r="I58" s="17"/>
    </row>
    <row r="59" spans="1:9" s="235" customFormat="1" ht="6" customHeight="1" x14ac:dyDescent="0.25">
      <c r="B59" s="10"/>
      <c r="C59" s="232"/>
      <c r="D59" s="233"/>
      <c r="E59" s="233"/>
      <c r="F59" s="17"/>
      <c r="G59" s="17"/>
      <c r="H59" s="17"/>
      <c r="I59" s="17"/>
    </row>
    <row r="60" spans="1:9" s="235" customFormat="1" ht="15" customHeight="1" x14ac:dyDescent="0.25">
      <c r="B60" s="10"/>
      <c r="C60" s="166" t="s">
        <v>101</v>
      </c>
      <c r="D60" s="17" t="str">
        <f ca="1">MID(CELL("filename",'Scheme cost allocation'!$A$1),FIND("]",CELL("filename",'Scheme cost allocation'!$A$1))+1,255)</f>
        <v>Scheme cost allocation</v>
      </c>
      <c r="E60" s="17"/>
      <c r="F60" s="17"/>
      <c r="G60" s="17"/>
      <c r="H60" s="17"/>
      <c r="I60" s="17"/>
    </row>
    <row r="61" spans="1:9" s="235" customFormat="1" ht="6" customHeight="1" x14ac:dyDescent="0.25">
      <c r="B61" s="10"/>
      <c r="C61" s="166"/>
      <c r="D61" s="17"/>
      <c r="E61" s="17"/>
      <c r="F61" s="17"/>
      <c r="G61" s="17"/>
      <c r="H61" s="17"/>
      <c r="I61" s="17"/>
    </row>
    <row r="62" spans="1:9" s="235" customFormat="1" ht="15" customHeight="1" x14ac:dyDescent="0.25">
      <c r="B62" s="10"/>
      <c r="C62" s="339" t="s">
        <v>215</v>
      </c>
      <c r="D62" s="340"/>
      <c r="E62" s="340"/>
      <c r="F62" s="17"/>
      <c r="G62" s="17"/>
      <c r="H62" s="17"/>
      <c r="I62" s="17"/>
    </row>
    <row r="63" spans="1:9" s="235" customFormat="1" ht="6" customHeight="1" x14ac:dyDescent="0.25">
      <c r="B63" s="10"/>
      <c r="C63" s="234"/>
      <c r="F63" s="17"/>
      <c r="G63" s="17"/>
      <c r="H63" s="17"/>
      <c r="I63" s="17"/>
    </row>
    <row r="64" spans="1:9" s="235" customFormat="1" ht="24" customHeight="1" x14ac:dyDescent="0.25">
      <c r="B64" s="10"/>
      <c r="C64" s="337" t="s">
        <v>84</v>
      </c>
      <c r="D64" s="338"/>
      <c r="E64" s="338"/>
      <c r="F64" s="17"/>
      <c r="G64" s="17"/>
      <c r="H64" s="17"/>
      <c r="I64" s="17"/>
    </row>
    <row r="65" spans="1:9" s="235" customFormat="1" ht="6" customHeight="1" x14ac:dyDescent="0.25">
      <c r="B65" s="10"/>
      <c r="C65" s="232"/>
      <c r="D65" s="233"/>
      <c r="E65" s="233"/>
      <c r="F65" s="17"/>
      <c r="G65" s="17"/>
      <c r="H65" s="17"/>
      <c r="I65" s="17"/>
    </row>
    <row r="66" spans="1:9" s="235" customFormat="1" ht="15" customHeight="1" x14ac:dyDescent="0.25">
      <c r="B66" s="10"/>
      <c r="C66" s="23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233"/>
      <c r="E66" s="233"/>
      <c r="F66" s="17"/>
      <c r="G66" s="17"/>
      <c r="H66" s="17"/>
      <c r="I66" s="17"/>
    </row>
    <row r="67" spans="1:9" s="235" customFormat="1" ht="15" customHeight="1" x14ac:dyDescent="0.25">
      <c r="B67" s="10"/>
      <c r="C67" s="232"/>
      <c r="D67" s="233"/>
      <c r="E67" s="233"/>
      <c r="F67" s="17"/>
      <c r="G67" s="17"/>
      <c r="H67" s="17"/>
      <c r="I67" s="17"/>
    </row>
    <row r="68" spans="1:9" s="155" customFormat="1" ht="15" customHeight="1" x14ac:dyDescent="0.25">
      <c r="A68" s="225"/>
      <c r="B68" s="10"/>
      <c r="C68" s="9" t="s">
        <v>192</v>
      </c>
      <c r="D68" s="9"/>
      <c r="E68" s="167"/>
      <c r="F68" s="17"/>
      <c r="G68" s="17"/>
      <c r="H68" s="17"/>
      <c r="I68" s="17"/>
    </row>
    <row r="69" spans="1:9" s="155" customFormat="1" ht="6" customHeight="1" x14ac:dyDescent="0.25">
      <c r="A69" s="225"/>
      <c r="B69" s="10"/>
      <c r="C69" s="9"/>
      <c r="D69" s="9"/>
      <c r="E69" s="167"/>
      <c r="F69" s="17"/>
      <c r="G69" s="17"/>
      <c r="H69" s="17"/>
      <c r="I69" s="17"/>
    </row>
    <row r="70" spans="1:9" s="155" customFormat="1" ht="15" customHeight="1" x14ac:dyDescent="0.25">
      <c r="A70" s="225"/>
      <c r="B70" s="10"/>
      <c r="C70" s="168" t="s">
        <v>193</v>
      </c>
      <c r="D70" s="9"/>
      <c r="E70" s="167"/>
      <c r="F70" s="17"/>
      <c r="G70" s="17"/>
      <c r="H70" s="17"/>
      <c r="I70" s="17"/>
    </row>
    <row r="71" spans="1:9" s="155" customFormat="1" ht="6" customHeight="1" x14ac:dyDescent="0.25">
      <c r="A71" s="225"/>
      <c r="B71" s="10"/>
      <c r="C71" s="168"/>
      <c r="D71" s="9"/>
      <c r="E71" s="167"/>
      <c r="F71" s="17"/>
      <c r="G71" s="17"/>
      <c r="H71" s="17"/>
      <c r="I71" s="17"/>
    </row>
    <row r="72" spans="1:9" s="84" customFormat="1" x14ac:dyDescent="0.25">
      <c r="A72" s="225"/>
      <c r="B72" s="10"/>
      <c r="C72" s="166" t="s">
        <v>101</v>
      </c>
      <c r="D72" s="88" t="str">
        <f ca="1">MID(CELL("filename",'MP Calculations'!A8),FIND("]",CELL("filename",'MP Calculations'!A8))+1,255)</f>
        <v>MP Calculations</v>
      </c>
      <c r="E72" s="167"/>
      <c r="F72" s="17"/>
      <c r="G72" s="17"/>
      <c r="H72" s="17"/>
      <c r="I72" s="17"/>
    </row>
    <row r="73" spans="1:9" s="84" customFormat="1" x14ac:dyDescent="0.25">
      <c r="A73" s="225"/>
      <c r="B73" s="10"/>
      <c r="C73" s="166" t="s">
        <v>101</v>
      </c>
      <c r="D73" s="88" t="str">
        <f ca="1">MID(CELL("filename",'Summary of result'!A11),FIND("]",CELL("filename",'Summary of result'!A11))+1,255)</f>
        <v>Summary of result</v>
      </c>
      <c r="E73" s="167"/>
      <c r="F73" s="17"/>
      <c r="G73" s="17"/>
      <c r="H73" s="17"/>
      <c r="I73" s="17"/>
    </row>
    <row r="74" spans="1:9" s="155" customFormat="1" ht="6" customHeight="1" x14ac:dyDescent="0.25">
      <c r="A74" s="225"/>
      <c r="B74" s="10"/>
      <c r="C74" s="166"/>
      <c r="D74" s="88"/>
      <c r="E74" s="167"/>
      <c r="F74" s="17"/>
      <c r="G74" s="17"/>
      <c r="H74" s="17"/>
      <c r="I74" s="17"/>
    </row>
    <row r="75" spans="1:9" s="90" customFormat="1" x14ac:dyDescent="0.25">
      <c r="A75" s="225"/>
      <c r="B75" s="10"/>
      <c r="C75" s="337" t="s">
        <v>197</v>
      </c>
      <c r="D75" s="338"/>
      <c r="E75" s="338"/>
      <c r="F75" s="17"/>
      <c r="G75" s="17"/>
      <c r="H75" s="17"/>
      <c r="I75" s="17"/>
    </row>
    <row r="76" spans="1:9" s="84" customFormat="1" ht="15" customHeight="1" x14ac:dyDescent="0.25">
      <c r="A76" s="225"/>
      <c r="B76" s="10"/>
      <c r="C76" s="154"/>
      <c r="D76" s="21"/>
      <c r="E76" s="17"/>
      <c r="F76" s="17"/>
      <c r="G76" s="17"/>
      <c r="H76" s="17"/>
      <c r="I76" s="17"/>
    </row>
    <row r="77" spans="1:9" s="155" customFormat="1" ht="15" customHeight="1" x14ac:dyDescent="0.25">
      <c r="A77" s="225"/>
      <c r="B77" s="10"/>
      <c r="C77" s="9" t="s">
        <v>106</v>
      </c>
      <c r="D77" s="21"/>
      <c r="E77" s="17"/>
      <c r="F77" s="17"/>
      <c r="G77" s="17"/>
      <c r="H77" s="17"/>
      <c r="I77" s="17"/>
    </row>
    <row r="78" spans="1:9" s="155" customFormat="1" ht="6" customHeight="1" x14ac:dyDescent="0.25">
      <c r="A78" s="225"/>
      <c r="B78" s="10"/>
      <c r="C78" s="154"/>
      <c r="D78" s="21"/>
      <c r="E78" s="17"/>
      <c r="F78" s="17"/>
      <c r="G78" s="17"/>
      <c r="H78" s="17"/>
      <c r="I78" s="17"/>
    </row>
    <row r="79" spans="1:9" s="155" customFormat="1" ht="15" customHeight="1" x14ac:dyDescent="0.25">
      <c r="A79" s="225"/>
      <c r="B79" s="10"/>
      <c r="C79" s="17" t="s">
        <v>107</v>
      </c>
      <c r="D79" s="21"/>
      <c r="E79" s="17"/>
      <c r="F79" s="17"/>
      <c r="G79" s="17"/>
      <c r="H79" s="17"/>
      <c r="I79" s="17"/>
    </row>
    <row r="80" spans="1:9" s="155" customFormat="1" ht="6" customHeight="1" x14ac:dyDescent="0.25">
      <c r="A80" s="225"/>
      <c r="B80" s="10"/>
      <c r="C80" s="17"/>
      <c r="D80" s="21"/>
      <c r="E80" s="17"/>
      <c r="F80" s="17"/>
      <c r="G80" s="17"/>
      <c r="H80" s="17"/>
      <c r="I80" s="17"/>
    </row>
    <row r="81" spans="1:29" s="84" customFormat="1" ht="15" customHeight="1" x14ac:dyDescent="0.25">
      <c r="A81" s="225"/>
      <c r="B81" s="10"/>
      <c r="C81" s="166" t="s">
        <v>101</v>
      </c>
      <c r="D81" s="88" t="str">
        <f ca="1">MID(CELL("filename",'Asset exclusions'!A14),FIND("]",CELL("filename",'Asset exclusions'!A14))+1,255)</f>
        <v>Asset exclusions</v>
      </c>
      <c r="E81" s="17"/>
      <c r="F81" s="17"/>
      <c r="G81" s="17"/>
      <c r="H81" s="17"/>
      <c r="I81" s="17"/>
    </row>
    <row r="82" spans="1:29" s="84" customFormat="1" ht="15" customHeight="1" x14ac:dyDescent="0.25">
      <c r="A82" s="225"/>
      <c r="B82" s="10"/>
      <c r="C82" s="21"/>
      <c r="D82" s="21"/>
      <c r="E82" s="17"/>
      <c r="F82" s="17"/>
      <c r="G82" s="17"/>
      <c r="H82" s="17"/>
      <c r="I82" s="17"/>
    </row>
    <row r="83" spans="1:29" s="170" customFormat="1" ht="15" customHeight="1" x14ac:dyDescent="0.25">
      <c r="A83" s="225"/>
      <c r="B83" s="10"/>
      <c r="C83" s="167" t="s">
        <v>194</v>
      </c>
      <c r="D83" s="21"/>
      <c r="E83" s="17"/>
      <c r="F83" s="17"/>
      <c r="G83" s="17"/>
      <c r="H83" s="17"/>
      <c r="I83" s="17"/>
    </row>
    <row r="84" spans="1:29" s="170" customFormat="1" ht="15" customHeight="1" x14ac:dyDescent="0.25">
      <c r="A84" s="225"/>
      <c r="B84" s="10"/>
      <c r="C84" s="166" t="s">
        <v>101</v>
      </c>
      <c r="D84" s="172" t="s">
        <v>113</v>
      </c>
      <c r="F84" s="17"/>
      <c r="G84" s="17"/>
      <c r="H84" s="17"/>
      <c r="I84" s="17"/>
    </row>
    <row r="85" spans="1:29" s="245" customFormat="1" ht="15" customHeight="1" x14ac:dyDescent="0.25">
      <c r="B85" s="10"/>
      <c r="C85" s="166" t="s">
        <v>101</v>
      </c>
      <c r="D85" s="246" t="s">
        <v>234</v>
      </c>
      <c r="F85" s="17"/>
      <c r="G85" s="17"/>
      <c r="H85" s="17"/>
      <c r="I85" s="17"/>
    </row>
    <row r="86" spans="1:29" s="245" customFormat="1" ht="15" customHeight="1" x14ac:dyDescent="0.25">
      <c r="B86" s="10"/>
      <c r="C86" s="166"/>
      <c r="D86" s="246"/>
      <c r="F86" s="17"/>
      <c r="G86" s="17"/>
      <c r="H86" s="17"/>
      <c r="I86" s="17"/>
    </row>
    <row r="87" spans="1:29" s="245" customFormat="1" ht="15" customHeight="1" x14ac:dyDescent="0.25">
      <c r="B87" s="10"/>
      <c r="C87" s="17" t="s">
        <v>240</v>
      </c>
      <c r="D87" s="246"/>
      <c r="F87" s="17"/>
      <c r="G87" s="17"/>
      <c r="H87" s="17"/>
      <c r="I87" s="17"/>
    </row>
    <row r="88" spans="1:29" s="245" customFormat="1" ht="15" customHeight="1" x14ac:dyDescent="0.25">
      <c r="B88" s="10"/>
      <c r="C88" s="17"/>
      <c r="D88" s="246"/>
      <c r="F88" s="17"/>
      <c r="G88" s="17"/>
      <c r="H88" s="17"/>
      <c r="I88" s="17"/>
    </row>
    <row r="89" spans="1:29" ht="15" customHeight="1" x14ac:dyDescent="0.25">
      <c r="B89" s="10"/>
      <c r="C89" s="21"/>
      <c r="D89" s="21"/>
      <c r="E89" s="17"/>
      <c r="F89" s="17"/>
      <c r="G89" s="17"/>
      <c r="H89" s="17"/>
      <c r="I89" s="17"/>
      <c r="J89" s="7"/>
      <c r="K89" s="7"/>
      <c r="L89" s="7"/>
      <c r="M89" s="7"/>
      <c r="N89" s="7"/>
      <c r="O89" s="7"/>
      <c r="P89" s="7"/>
      <c r="Q89" s="7"/>
      <c r="R89" s="7"/>
      <c r="S89" s="7"/>
      <c r="T89" s="7"/>
      <c r="U89" s="7"/>
      <c r="V89" s="7"/>
      <c r="W89" s="7"/>
      <c r="X89" s="7"/>
      <c r="Y89" s="7"/>
      <c r="Z89" s="7"/>
      <c r="AA89" s="7"/>
      <c r="AB89" s="7"/>
      <c r="AC89" s="7"/>
    </row>
    <row r="90" spans="1:29" ht="15" customHeight="1" x14ac:dyDescent="0.3">
      <c r="B90" s="10"/>
      <c r="C90" s="18" t="s">
        <v>4</v>
      </c>
      <c r="D90" s="18"/>
      <c r="E90" s="22"/>
      <c r="F90" s="17"/>
      <c r="G90" s="17"/>
      <c r="H90" s="17"/>
      <c r="I90" s="17"/>
      <c r="J90" s="7"/>
      <c r="K90" s="7"/>
      <c r="L90" s="7"/>
      <c r="M90" s="7"/>
      <c r="N90" s="7"/>
      <c r="O90" s="7"/>
      <c r="P90" s="7"/>
      <c r="Q90" s="7"/>
      <c r="R90" s="7"/>
      <c r="S90" s="7"/>
      <c r="T90" s="7"/>
      <c r="U90" s="7"/>
      <c r="V90" s="7"/>
      <c r="W90" s="7"/>
      <c r="X90" s="7"/>
      <c r="Y90" s="7"/>
      <c r="Z90" s="7"/>
      <c r="AA90" s="7"/>
      <c r="AB90" s="7"/>
      <c r="AC90" s="7"/>
    </row>
    <row r="91" spans="1:29" ht="15" customHeight="1" x14ac:dyDescent="0.25">
      <c r="B91" s="10"/>
      <c r="C91" s="23" t="s">
        <v>5</v>
      </c>
      <c r="D91" s="23"/>
      <c r="E91" s="17"/>
      <c r="F91" s="17"/>
      <c r="G91" s="17"/>
      <c r="H91" s="17"/>
      <c r="I91" s="17"/>
      <c r="J91" s="7"/>
      <c r="K91" s="7"/>
      <c r="L91" s="7"/>
      <c r="M91" s="7"/>
      <c r="N91" s="7"/>
      <c r="O91" s="7"/>
      <c r="P91" s="7"/>
      <c r="Q91" s="7"/>
      <c r="R91" s="7"/>
      <c r="S91" s="7"/>
      <c r="T91" s="7"/>
      <c r="U91" s="7"/>
      <c r="V91" s="7"/>
      <c r="W91" s="7"/>
      <c r="X91" s="7"/>
      <c r="Y91" s="7"/>
      <c r="Z91" s="7"/>
      <c r="AA91" s="7"/>
      <c r="AB91" s="7"/>
      <c r="AC91" s="7"/>
    </row>
    <row r="92" spans="1:29" ht="15" customHeight="1" x14ac:dyDescent="0.25">
      <c r="B92" s="10"/>
      <c r="C92" s="24" t="s">
        <v>6</v>
      </c>
      <c r="D92" s="24"/>
      <c r="E92" s="24"/>
      <c r="F92" s="17"/>
      <c r="G92" s="17"/>
      <c r="H92" s="17"/>
      <c r="I92" s="17"/>
      <c r="J92" s="7"/>
      <c r="K92" s="7"/>
      <c r="L92" s="7"/>
      <c r="M92" s="7"/>
      <c r="N92" s="7"/>
      <c r="O92" s="7"/>
      <c r="P92" s="7"/>
      <c r="Q92" s="7"/>
      <c r="R92" s="7"/>
      <c r="S92" s="7"/>
      <c r="T92" s="7"/>
      <c r="U92" s="7"/>
      <c r="V92" s="7"/>
      <c r="W92" s="7"/>
      <c r="X92" s="7"/>
      <c r="Y92" s="7"/>
      <c r="Z92" s="7"/>
      <c r="AA92" s="7"/>
      <c r="AB92" s="7"/>
      <c r="AC92" s="7"/>
    </row>
    <row r="93" spans="1:29" ht="15" customHeight="1" x14ac:dyDescent="0.25">
      <c r="B93" s="10"/>
      <c r="C93" s="4" t="s">
        <v>7</v>
      </c>
      <c r="D93" s="25"/>
      <c r="E93" s="25"/>
      <c r="F93" s="17"/>
      <c r="G93" s="17"/>
      <c r="H93" s="17"/>
      <c r="I93" s="17"/>
      <c r="J93" s="7"/>
      <c r="K93" s="7"/>
      <c r="L93" s="7"/>
      <c r="M93" s="7"/>
      <c r="N93" s="7"/>
      <c r="O93" s="7"/>
      <c r="P93" s="7"/>
      <c r="Q93" s="7"/>
      <c r="R93" s="7"/>
      <c r="S93" s="7"/>
      <c r="T93" s="7"/>
      <c r="U93" s="7"/>
      <c r="V93" s="7"/>
      <c r="W93" s="7"/>
      <c r="X93" s="7"/>
      <c r="Y93" s="7"/>
      <c r="Z93" s="7"/>
      <c r="AA93" s="7"/>
      <c r="AB93" s="7"/>
      <c r="AC93" s="7"/>
    </row>
    <row r="94" spans="1:29" ht="15" customHeight="1" x14ac:dyDescent="0.3">
      <c r="B94" s="10"/>
      <c r="C94" s="5"/>
      <c r="D94" s="5"/>
      <c r="E94" s="5" t="s">
        <v>8</v>
      </c>
      <c r="F94" s="17"/>
      <c r="G94" s="17"/>
      <c r="H94" s="17"/>
      <c r="I94" s="17"/>
      <c r="J94" s="7"/>
      <c r="K94" s="7"/>
      <c r="L94" s="7"/>
      <c r="M94" s="7"/>
      <c r="N94" s="7"/>
      <c r="O94" s="7"/>
      <c r="P94" s="7"/>
      <c r="Q94" s="7"/>
      <c r="R94" s="7"/>
      <c r="S94" s="7"/>
      <c r="T94" s="7"/>
      <c r="U94" s="7"/>
      <c r="V94" s="7"/>
      <c r="W94" s="7"/>
      <c r="X94" s="7"/>
      <c r="Y94" s="7"/>
      <c r="Z94" s="7"/>
      <c r="AA94" s="7"/>
      <c r="AB94" s="7"/>
      <c r="AC94" s="7"/>
    </row>
    <row r="95" spans="1:29" s="145" customFormat="1" ht="15" customHeight="1" x14ac:dyDescent="0.25">
      <c r="A95" s="225"/>
      <c r="B95" s="10"/>
      <c r="C95" s="149" t="s">
        <v>99</v>
      </c>
      <c r="D95" s="150"/>
      <c r="E95" s="150"/>
      <c r="F95" s="17"/>
      <c r="G95" s="17"/>
      <c r="H95" s="17"/>
      <c r="I95" s="17"/>
    </row>
    <row r="96" spans="1:29" ht="15" customHeight="1" x14ac:dyDescent="0.25">
      <c r="B96" s="10"/>
      <c r="C96" s="26" t="s">
        <v>9</v>
      </c>
      <c r="D96" s="26"/>
      <c r="E96" s="26"/>
      <c r="F96" s="17"/>
      <c r="G96" s="17"/>
      <c r="H96" s="17"/>
      <c r="I96" s="17"/>
      <c r="J96" s="7"/>
      <c r="K96" s="7"/>
      <c r="L96" s="7"/>
      <c r="M96" s="7"/>
      <c r="N96" s="7"/>
      <c r="O96" s="7"/>
      <c r="P96" s="7"/>
      <c r="Q96" s="7"/>
      <c r="R96" s="7"/>
      <c r="S96" s="7"/>
      <c r="T96" s="7"/>
      <c r="U96" s="7"/>
      <c r="V96" s="7"/>
      <c r="W96" s="7"/>
      <c r="X96" s="7"/>
      <c r="Y96" s="7"/>
      <c r="Z96" s="7"/>
      <c r="AA96" s="7"/>
      <c r="AB96" s="7"/>
      <c r="AC96" s="7"/>
    </row>
    <row r="97" spans="2:29" ht="15" customHeight="1" x14ac:dyDescent="0.25">
      <c r="B97" s="10"/>
      <c r="C97" s="27" t="s">
        <v>0</v>
      </c>
      <c r="D97" s="27"/>
      <c r="E97" s="27"/>
      <c r="F97" s="17"/>
      <c r="G97" s="17"/>
      <c r="H97" s="17"/>
      <c r="I97" s="17"/>
      <c r="J97" s="7"/>
      <c r="K97" s="7"/>
      <c r="L97" s="7"/>
      <c r="M97" s="7"/>
      <c r="N97" s="7"/>
      <c r="O97" s="7"/>
      <c r="P97" s="7"/>
      <c r="Q97" s="7"/>
      <c r="R97" s="7"/>
      <c r="S97" s="7"/>
      <c r="T97" s="7"/>
      <c r="U97" s="7"/>
      <c r="V97" s="7"/>
      <c r="W97" s="7"/>
      <c r="X97" s="7"/>
      <c r="Y97" s="7"/>
      <c r="Z97" s="7"/>
      <c r="AA97" s="7"/>
      <c r="AB97" s="7"/>
      <c r="AC97" s="7"/>
    </row>
    <row r="98" spans="2:29" ht="15" customHeight="1" x14ac:dyDescent="0.25">
      <c r="B98" s="10"/>
      <c r="C98" s="28" t="s">
        <v>10</v>
      </c>
      <c r="D98" s="28"/>
      <c r="E98" s="29"/>
      <c r="F98" s="17"/>
      <c r="G98" s="17"/>
      <c r="H98" s="17"/>
      <c r="I98" s="17"/>
      <c r="J98" s="7"/>
      <c r="K98" s="7"/>
      <c r="L98" s="7"/>
      <c r="M98" s="7"/>
      <c r="N98" s="7"/>
      <c r="O98" s="7"/>
      <c r="P98" s="7"/>
      <c r="Q98" s="7"/>
      <c r="R98" s="7"/>
      <c r="S98" s="7"/>
      <c r="T98" s="7"/>
      <c r="U98" s="7"/>
      <c r="V98" s="7"/>
      <c r="W98" s="7"/>
      <c r="X98" s="7"/>
      <c r="Y98" s="7"/>
      <c r="Z98" s="7"/>
      <c r="AA98" s="7"/>
      <c r="AB98" s="7"/>
      <c r="AC98" s="7"/>
    </row>
    <row r="99" spans="2:29" ht="15" customHeight="1" x14ac:dyDescent="0.25">
      <c r="B99" s="10"/>
      <c r="C99" s="30" t="s">
        <v>11</v>
      </c>
      <c r="D99" s="30"/>
      <c r="E99" s="31"/>
      <c r="F99" s="17"/>
      <c r="G99" s="17"/>
      <c r="H99" s="17"/>
      <c r="I99" s="17"/>
      <c r="J99" s="7"/>
      <c r="K99" s="7"/>
      <c r="L99" s="7"/>
      <c r="M99" s="7"/>
      <c r="N99" s="7"/>
      <c r="O99" s="7"/>
      <c r="P99" s="7"/>
      <c r="Q99" s="7"/>
      <c r="R99" s="7"/>
      <c r="S99" s="7"/>
      <c r="T99" s="7"/>
      <c r="U99" s="7"/>
      <c r="V99" s="7"/>
      <c r="W99" s="7"/>
      <c r="X99" s="7"/>
      <c r="Y99" s="7"/>
      <c r="Z99" s="7"/>
      <c r="AA99" s="7"/>
      <c r="AB99" s="7"/>
      <c r="AC99" s="7"/>
    </row>
    <row r="100" spans="2:29" ht="15" customHeight="1" x14ac:dyDescent="0.25">
      <c r="B100" s="10"/>
      <c r="C100" s="32" t="s">
        <v>80</v>
      </c>
      <c r="D100" s="33"/>
      <c r="E100" s="33"/>
      <c r="F100" s="17"/>
      <c r="G100" s="17"/>
      <c r="H100" s="17"/>
      <c r="I100" s="17"/>
      <c r="J100" s="7"/>
      <c r="K100" s="7"/>
      <c r="L100" s="7"/>
      <c r="M100" s="7"/>
      <c r="N100" s="7"/>
      <c r="O100" s="7"/>
      <c r="P100" s="7"/>
      <c r="Q100" s="7"/>
      <c r="R100" s="7"/>
      <c r="S100" s="7"/>
      <c r="T100" s="7"/>
      <c r="U100" s="7"/>
      <c r="V100" s="7"/>
      <c r="W100" s="7"/>
      <c r="X100" s="7"/>
      <c r="Y100" s="7"/>
      <c r="Z100" s="7"/>
      <c r="AA100" s="7"/>
      <c r="AB100" s="7"/>
      <c r="AC100" s="7"/>
    </row>
    <row r="101" spans="2:29" ht="15" customHeight="1" x14ac:dyDescent="0.25">
      <c r="B101" s="10"/>
      <c r="C101" s="21"/>
      <c r="D101" s="21"/>
      <c r="E101" s="17"/>
      <c r="F101" s="17"/>
      <c r="G101" s="17"/>
      <c r="H101" s="17"/>
      <c r="I101" s="17"/>
      <c r="J101" s="7"/>
      <c r="K101" s="7"/>
      <c r="L101" s="7"/>
      <c r="M101" s="7"/>
      <c r="N101" s="7"/>
      <c r="O101" s="7"/>
      <c r="P101" s="7"/>
      <c r="Q101" s="7"/>
      <c r="R101" s="7"/>
      <c r="S101" s="7"/>
      <c r="T101" s="7"/>
      <c r="U101" s="7"/>
      <c r="V101" s="7"/>
      <c r="W101" s="7"/>
      <c r="X101" s="7"/>
      <c r="Y101" s="7"/>
      <c r="Z101" s="7"/>
      <c r="AA101" s="7"/>
      <c r="AB101" s="7"/>
      <c r="AC101" s="7"/>
    </row>
    <row r="102" spans="2:29" x14ac:dyDescent="0.25">
      <c r="B102" s="10"/>
      <c r="C102" s="21"/>
      <c r="D102" s="21"/>
      <c r="E102" s="17"/>
      <c r="F102" s="17"/>
      <c r="G102" s="17"/>
      <c r="H102" s="17"/>
      <c r="I102" s="17"/>
      <c r="J102" s="7"/>
      <c r="K102" s="7"/>
      <c r="L102" s="7"/>
      <c r="M102" s="7"/>
      <c r="N102" s="7"/>
      <c r="O102" s="7"/>
      <c r="P102" s="7"/>
      <c r="Q102" s="7"/>
      <c r="R102" s="7"/>
      <c r="S102" s="7"/>
      <c r="T102" s="7"/>
      <c r="U102" s="7"/>
      <c r="V102" s="7"/>
      <c r="W102" s="7"/>
      <c r="X102" s="7"/>
      <c r="Y102" s="7"/>
      <c r="Z102" s="7"/>
      <c r="AA102" s="7"/>
      <c r="AB102" s="7"/>
      <c r="AC102" s="7"/>
    </row>
    <row r="106" spans="2:29" x14ac:dyDescent="0.25">
      <c r="B106" s="10"/>
      <c r="C106" s="11"/>
      <c r="D106" s="11"/>
      <c r="E106" s="11"/>
      <c r="J106" s="7"/>
      <c r="K106" s="7"/>
      <c r="L106" s="7"/>
      <c r="M106" s="7"/>
      <c r="N106" s="7"/>
      <c r="O106" s="7"/>
      <c r="P106" s="7"/>
      <c r="Q106" s="7"/>
      <c r="R106" s="7"/>
      <c r="S106" s="7"/>
      <c r="T106" s="7"/>
      <c r="U106" s="7"/>
      <c r="V106" s="7"/>
      <c r="W106" s="7"/>
      <c r="X106" s="7"/>
      <c r="Y106" s="7"/>
      <c r="Z106" s="7"/>
      <c r="AA106" s="7"/>
      <c r="AB106" s="7"/>
      <c r="AC106" s="7"/>
    </row>
    <row r="107" spans="2:29" x14ac:dyDescent="0.25">
      <c r="C107" s="8"/>
      <c r="D107" s="8"/>
      <c r="E107" s="8"/>
      <c r="J107" s="7"/>
      <c r="K107" s="7"/>
      <c r="L107" s="7"/>
      <c r="M107" s="7"/>
      <c r="N107" s="7"/>
      <c r="O107" s="7"/>
      <c r="P107" s="7"/>
      <c r="Q107" s="7"/>
      <c r="R107" s="7"/>
      <c r="S107" s="7"/>
      <c r="T107" s="7"/>
      <c r="U107" s="7"/>
      <c r="V107" s="7"/>
      <c r="W107" s="7"/>
      <c r="X107" s="7"/>
      <c r="Y107" s="7"/>
      <c r="Z107" s="7"/>
      <c r="AA107" s="7"/>
      <c r="AB107" s="7"/>
      <c r="AC107" s="7"/>
    </row>
    <row r="108" spans="2:29" x14ac:dyDescent="0.25">
      <c r="C108" s="8"/>
      <c r="D108" s="8"/>
      <c r="E108" s="8"/>
      <c r="J108" s="7"/>
      <c r="K108" s="7"/>
      <c r="L108" s="7"/>
      <c r="M108" s="7"/>
      <c r="N108" s="7"/>
      <c r="O108" s="7"/>
      <c r="P108" s="7"/>
      <c r="Q108" s="7"/>
      <c r="R108" s="7"/>
      <c r="S108" s="7"/>
      <c r="T108" s="7"/>
      <c r="U108" s="7"/>
      <c r="V108" s="7"/>
      <c r="W108" s="7"/>
      <c r="X108" s="7"/>
      <c r="Y108" s="7"/>
      <c r="Z108" s="7"/>
      <c r="AA108" s="7"/>
      <c r="AB108" s="7"/>
      <c r="AC108" s="7"/>
    </row>
    <row r="109" spans="2:29" x14ac:dyDescent="0.25">
      <c r="C109" s="8"/>
      <c r="D109" s="8"/>
      <c r="E109" s="8"/>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2:29" x14ac:dyDescent="0.25">
      <c r="C110" s="8"/>
      <c r="D110" s="8"/>
      <c r="E110" s="8"/>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2:29" x14ac:dyDescent="0.25">
      <c r="C111" s="8"/>
      <c r="D111" s="8"/>
      <c r="E111" s="8"/>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2:29" x14ac:dyDescent="0.25">
      <c r="C112" s="8"/>
      <c r="D112" s="8"/>
      <c r="E112" s="8"/>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3:29" x14ac:dyDescent="0.25">
      <c r="C113" s="8"/>
      <c r="D113" s="8"/>
      <c r="E113" s="8"/>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3:29" x14ac:dyDescent="0.25">
      <c r="C114" s="8"/>
      <c r="D114" s="8"/>
      <c r="E114" s="8"/>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3:29" x14ac:dyDescent="0.25">
      <c r="C115" s="8"/>
      <c r="D115" s="8"/>
      <c r="E115" s="8"/>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3:29" x14ac:dyDescent="0.25">
      <c r="C116" s="8"/>
      <c r="D116" s="8"/>
      <c r="E116" s="8"/>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3:29" x14ac:dyDescent="0.25">
      <c r="C117" s="8"/>
      <c r="D117" s="8"/>
      <c r="E117" s="8"/>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3:29" x14ac:dyDescent="0.25">
      <c r="C118" s="8"/>
      <c r="D118" s="8"/>
      <c r="E118" s="8"/>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3:29" x14ac:dyDescent="0.25">
      <c r="C119" s="8"/>
      <c r="D119" s="8"/>
      <c r="E119" s="8"/>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3:29" x14ac:dyDescent="0.25">
      <c r="C120" s="8"/>
      <c r="D120" s="8"/>
      <c r="E120" s="8"/>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3:29" x14ac:dyDescent="0.25">
      <c r="C121" s="8"/>
      <c r="D121" s="8"/>
      <c r="E121" s="8"/>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3:29" x14ac:dyDescent="0.25">
      <c r="C122" s="8"/>
      <c r="D122" s="8"/>
      <c r="E122" s="8"/>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3:29" x14ac:dyDescent="0.25">
      <c r="C123" s="8"/>
      <c r="D123" s="8"/>
      <c r="E123" s="8"/>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3:29" x14ac:dyDescent="0.25">
      <c r="C124" s="8"/>
      <c r="D124" s="8"/>
      <c r="E124" s="8"/>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3:29" x14ac:dyDescent="0.25">
      <c r="C125" s="8"/>
      <c r="D125" s="8"/>
      <c r="E125" s="8"/>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3:29" x14ac:dyDescent="0.25">
      <c r="C126" s="8"/>
      <c r="D126" s="8"/>
      <c r="E126" s="8"/>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3:29" x14ac:dyDescent="0.25">
      <c r="C127" s="8"/>
      <c r="D127" s="8"/>
      <c r="E127" s="8"/>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3:29" x14ac:dyDescent="0.25">
      <c r="C128" s="8"/>
      <c r="D128" s="8"/>
      <c r="E128" s="8"/>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3:29" x14ac:dyDescent="0.25">
      <c r="C129" s="8"/>
      <c r="D129" s="8"/>
      <c r="E129" s="8"/>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3:29" x14ac:dyDescent="0.25">
      <c r="C130" s="8"/>
      <c r="D130" s="8"/>
      <c r="E130" s="8"/>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3:29" x14ac:dyDescent="0.25">
      <c r="C131" s="8"/>
      <c r="D131" s="8"/>
      <c r="E131" s="8"/>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3:29" x14ac:dyDescent="0.25">
      <c r="C132" s="8"/>
      <c r="D132" s="8"/>
      <c r="E132" s="8"/>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3:29" x14ac:dyDescent="0.25">
      <c r="C133" s="8"/>
      <c r="D133" s="8"/>
      <c r="E133" s="8"/>
      <c r="F133" s="7"/>
      <c r="G133" s="7"/>
      <c r="H133" s="7"/>
      <c r="I133" s="7"/>
      <c r="J133" s="7"/>
      <c r="K133" s="7"/>
      <c r="L133" s="7"/>
      <c r="M133" s="7"/>
      <c r="N133" s="7"/>
      <c r="O133" s="7"/>
      <c r="P133" s="7"/>
      <c r="Q133" s="7"/>
      <c r="R133" s="7"/>
      <c r="S133" s="7"/>
      <c r="T133" s="7"/>
      <c r="U133" s="7"/>
      <c r="V133" s="7"/>
      <c r="W133" s="7"/>
      <c r="X133" s="7"/>
      <c r="Y133" s="7"/>
      <c r="Z133" s="7"/>
      <c r="AA133" s="7"/>
      <c r="AB133" s="7"/>
      <c r="AC133" s="7"/>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 zoomScale="70" zoomScaleNormal="70" workbookViewId="0">
      <selection activeCell="A3" sqref="A3"/>
    </sheetView>
  </sheetViews>
  <sheetFormatPr defaultRowHeight="11.5" outlineLevelRow="1" x14ac:dyDescent="0.25"/>
  <cols>
    <col min="1" max="1" width="2.69921875" customWidth="1"/>
    <col min="2" max="2" width="4.19921875" customWidth="1"/>
    <col min="3" max="3" width="11.09765625" customWidth="1"/>
    <col min="4" max="4" width="13.5976562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5" bestFit="1" customWidth="1"/>
    <col min="14" max="15" width="3.59765625" customWidth="1"/>
    <col min="16" max="16" width="15.69921875" bestFit="1" customWidth="1"/>
    <col min="17" max="17" width="14.8984375" bestFit="1" customWidth="1"/>
    <col min="18" max="18" width="17.5" bestFit="1" customWidth="1"/>
    <col min="19" max="19" width="15.5" bestFit="1" customWidth="1"/>
    <col min="20" max="20" width="17.8984375" bestFit="1" customWidth="1"/>
    <col min="22" max="22" width="13.8984375" bestFit="1" customWidth="1"/>
    <col min="24" max="24" width="18.8984375" bestFit="1" customWidth="1"/>
  </cols>
  <sheetData>
    <row r="1" spans="3:8" hidden="1" x14ac:dyDescent="0.25"/>
    <row r="2" spans="3:8" hidden="1" x14ac:dyDescent="0.25"/>
    <row r="3" spans="3:8" ht="20" x14ac:dyDescent="0.4">
      <c r="C3" s="169" t="s">
        <v>109</v>
      </c>
    </row>
    <row r="4" spans="3:8" hidden="1" x14ac:dyDescent="0.25"/>
    <row r="6" spans="3:8" x14ac:dyDescent="0.25">
      <c r="C6" t="s">
        <v>195</v>
      </c>
      <c r="H6" s="172" t="s">
        <v>113</v>
      </c>
    </row>
    <row r="8" spans="3:8" ht="13.5" x14ac:dyDescent="0.35">
      <c r="C8" t="s">
        <v>67</v>
      </c>
    </row>
    <row r="10" spans="3:8" x14ac:dyDescent="0.25">
      <c r="C10" t="s">
        <v>60</v>
      </c>
    </row>
    <row r="12" spans="3:8" ht="13.5" x14ac:dyDescent="0.35">
      <c r="C12" s="39" t="s">
        <v>62</v>
      </c>
      <c r="D12" s="230" t="s">
        <v>198</v>
      </c>
    </row>
    <row r="13" spans="3:8" ht="13.5" x14ac:dyDescent="0.35">
      <c r="C13" s="39" t="s">
        <v>63</v>
      </c>
      <c r="D13" s="230" t="s">
        <v>199</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60" t="s">
        <v>64</v>
      </c>
      <c r="D17" s="205"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206"/>
      <c r="F17" s="287"/>
      <c r="G17" s="287"/>
    </row>
    <row r="18" spans="1:21" ht="13.5" hidden="1" outlineLevel="1" x14ac:dyDescent="0.35">
      <c r="C18" s="60" t="s">
        <v>65</v>
      </c>
      <c r="D18" s="205"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206"/>
      <c r="F18" s="287"/>
      <c r="G18" s="287"/>
    </row>
    <row r="19" spans="1:21" hidden="1" outlineLevel="1" x14ac:dyDescent="0.25">
      <c r="C19" s="39"/>
    </row>
    <row r="20" spans="1:21" ht="13.5" hidden="1" outlineLevel="1" x14ac:dyDescent="0.35">
      <c r="C20" t="s">
        <v>81</v>
      </c>
      <c r="H20" t="s">
        <v>82</v>
      </c>
      <c r="I20" t="s">
        <v>83</v>
      </c>
      <c r="J20" s="207" t="e">
        <f>LEFT(#REF!,4)+'General inputs'!$H$38-1&amp;"-"&amp;RIGHT(#REF!,2)+'General inputs'!$H$38-1</f>
        <v>#REF!</v>
      </c>
    </row>
    <row r="21" spans="1:21" hidden="1" outlineLevel="1" x14ac:dyDescent="0.25">
      <c r="C21" s="39"/>
    </row>
    <row r="22" spans="1:21" hidden="1" outlineLevel="1" x14ac:dyDescent="0.25">
      <c r="C22" s="85" t="s">
        <v>129</v>
      </c>
    </row>
    <row r="23" spans="1:21" hidden="1" outlineLevel="1" x14ac:dyDescent="0.25">
      <c r="C23" s="85"/>
      <c r="D23" s="85" t="s">
        <v>130</v>
      </c>
    </row>
    <row r="24" spans="1:21" hidden="1" outlineLevel="1" x14ac:dyDescent="0.25">
      <c r="C24" s="85"/>
      <c r="D2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85"/>
      <c r="D25" s="85" t="s">
        <v>247</v>
      </c>
    </row>
    <row r="26" spans="1:21" hidden="1" outlineLevel="1" x14ac:dyDescent="0.25">
      <c r="C26" s="85"/>
      <c r="D26" s="247" t="s">
        <v>249</v>
      </c>
    </row>
    <row r="27" spans="1:21" hidden="1" outlineLevel="1" x14ac:dyDescent="0.25">
      <c r="C27" s="85"/>
      <c r="D27" s="247" t="s">
        <v>248</v>
      </c>
    </row>
    <row r="28" spans="1:21" hidden="1" outlineLevel="1" x14ac:dyDescent="0.25">
      <c r="C28" s="85"/>
      <c r="D28" s="85" t="s">
        <v>250</v>
      </c>
    </row>
    <row r="29" spans="1:21" hidden="1" outlineLevel="1" x14ac:dyDescent="0.25">
      <c r="C29" s="85"/>
      <c r="D29" s="247" t="s">
        <v>251</v>
      </c>
    </row>
    <row r="30" spans="1:21" hidden="1" outlineLevel="1" x14ac:dyDescent="0.25">
      <c r="C30" s="85"/>
      <c r="D30" s="247" t="s">
        <v>252</v>
      </c>
    </row>
    <row r="31" spans="1:21" hidden="1" outlineLevel="1" x14ac:dyDescent="0.25"/>
    <row r="32" spans="1:21" collapsed="1" x14ac:dyDescent="0.25">
      <c r="A32" s="81"/>
      <c r="B32" s="81"/>
      <c r="C32" s="81" t="s">
        <v>69</v>
      </c>
      <c r="D32" s="81"/>
      <c r="E32" s="81"/>
      <c r="F32" s="81"/>
      <c r="G32" s="81"/>
      <c r="H32" s="81"/>
      <c r="I32" s="81"/>
      <c r="J32" s="81"/>
      <c r="K32" s="81"/>
      <c r="L32" s="81"/>
      <c r="M32" s="81"/>
      <c r="N32" s="81"/>
      <c r="O32" s="81"/>
      <c r="P32" s="81"/>
      <c r="Q32" s="81"/>
      <c r="R32" s="81"/>
      <c r="S32" s="81"/>
      <c r="T32" s="81"/>
      <c r="U32" s="81"/>
    </row>
    <row r="33" spans="2:24" s="92" customFormat="1" x14ac:dyDescent="0.25"/>
    <row r="34" spans="2:24" ht="12.5" x14ac:dyDescent="0.25">
      <c r="I34" s="91"/>
      <c r="J34" s="101"/>
      <c r="K34" s="297"/>
      <c r="L34" s="306"/>
      <c r="M34" s="91"/>
      <c r="N34" s="91"/>
      <c r="O34" s="91"/>
      <c r="P34" s="91"/>
      <c r="Q34" s="307"/>
      <c r="R34" s="91"/>
      <c r="S34" s="308"/>
      <c r="T34" s="91"/>
    </row>
    <row r="35" spans="2:24" s="92" customFormat="1" ht="12.5" x14ac:dyDescent="0.25">
      <c r="J35" s="122"/>
      <c r="K35" s="297"/>
      <c r="L35" s="298"/>
    </row>
    <row r="36" spans="2:24" s="254" customFormat="1" ht="13" x14ac:dyDescent="0.3">
      <c r="D36" s="255" t="s">
        <v>278</v>
      </c>
      <c r="J36" s="255" t="s">
        <v>272</v>
      </c>
      <c r="Q36" s="254" t="s">
        <v>532</v>
      </c>
      <c r="V36" s="309" t="s">
        <v>551</v>
      </c>
      <c r="X36" s="275" t="s">
        <v>533</v>
      </c>
    </row>
    <row r="37" spans="2:24" s="254" customFormat="1" ht="13.5" thickBot="1" x14ac:dyDescent="0.35">
      <c r="C37" s="259" t="s">
        <v>22</v>
      </c>
      <c r="D37" s="258" t="s">
        <v>521</v>
      </c>
      <c r="E37" s="258" t="s">
        <v>522</v>
      </c>
      <c r="F37" s="258" t="s">
        <v>279</v>
      </c>
      <c r="G37" s="258" t="s">
        <v>280</v>
      </c>
      <c r="H37" s="288" t="s">
        <v>523</v>
      </c>
      <c r="J37" s="277" t="s">
        <v>274</v>
      </c>
      <c r="K37" s="277" t="s">
        <v>275</v>
      </c>
      <c r="L37" s="277" t="s">
        <v>276</v>
      </c>
      <c r="M37" s="277" t="s">
        <v>277</v>
      </c>
      <c r="N37" s="278"/>
      <c r="Q37" s="299" t="s">
        <v>524</v>
      </c>
      <c r="R37" s="299" t="s">
        <v>525</v>
      </c>
      <c r="S37" s="299" t="s">
        <v>526</v>
      </c>
      <c r="T37" s="299" t="s">
        <v>527</v>
      </c>
      <c r="V37" s="288" t="s">
        <v>535</v>
      </c>
      <c r="X37" s="288" t="s">
        <v>534</v>
      </c>
    </row>
    <row r="38" spans="2:24" s="254" customFormat="1" ht="12.5" x14ac:dyDescent="0.25">
      <c r="B38" s="257">
        <v>0</v>
      </c>
      <c r="C38" s="256" t="str">
        <f>'General inputs'!I16</f>
        <v>2022-23</v>
      </c>
      <c r="D38" s="292">
        <f t="shared" ref="D38:D67" si="0">Q38*$V38</f>
        <v>391076.39236297243</v>
      </c>
      <c r="E38" s="292">
        <f t="shared" ref="E38:E67" si="1">R38*$X38</f>
        <v>25155.495229358126</v>
      </c>
      <c r="F38" s="292">
        <f t="shared" ref="F38:F67" si="2">S38*$V38</f>
        <v>90625.179105954187</v>
      </c>
      <c r="G38" s="292">
        <f t="shared" ref="G38:G67" si="3">T38*$X38</f>
        <v>9624.5324848389464</v>
      </c>
      <c r="H38" s="292">
        <f t="shared" ref="H38:H67" si="4">SUM(D38:G38)</f>
        <v>516481.59918312373</v>
      </c>
      <c r="J38" s="310">
        <v>-1502.7520221504974</v>
      </c>
      <c r="K38" s="282">
        <v>-1923.5225883526368</v>
      </c>
      <c r="L38" s="282">
        <v>718533.0357219479</v>
      </c>
      <c r="M38" s="276">
        <f>K38+L38</f>
        <v>716609.51313359523</v>
      </c>
      <c r="N38" s="279"/>
      <c r="P38" s="283" t="str">
        <f t="shared" ref="P38:P67" si="5">C38</f>
        <v>2022-23</v>
      </c>
      <c r="Q38" s="289">
        <v>29470702.62812731</v>
      </c>
      <c r="R38" s="311">
        <v>0.35393382057568018</v>
      </c>
      <c r="S38" s="289">
        <v>6829324.7974260123</v>
      </c>
      <c r="T38" s="311">
        <v>0.13541564268781492</v>
      </c>
      <c r="U38" s="300"/>
      <c r="V38" s="290">
        <v>1.3270005717126094E-2</v>
      </c>
      <c r="X38" s="291">
        <v>71074.008096887235</v>
      </c>
    </row>
    <row r="39" spans="2:24" s="254" customFormat="1" ht="12.5" x14ac:dyDescent="0.25">
      <c r="B39" s="257">
        <f>B38+1</f>
        <v>1</v>
      </c>
      <c r="C39" s="254" t="str">
        <f ca="1">OFFSET('MP Calculations'!$D$38,MATCH($C$38,'MP Calculations'!$D$39:$D$129)+'Reduction amount'!B39,)</f>
        <v>2023-24</v>
      </c>
      <c r="D39" s="292">
        <f t="shared" si="0"/>
        <v>908615.12867239094</v>
      </c>
      <c r="E39" s="292">
        <f t="shared" si="1"/>
        <v>50554.839912428943</v>
      </c>
      <c r="F39" s="292">
        <f t="shared" si="2"/>
        <v>189472.87675017986</v>
      </c>
      <c r="G39" s="292">
        <f t="shared" si="3"/>
        <v>18592.8676737192</v>
      </c>
      <c r="H39" s="292">
        <f t="shared" si="4"/>
        <v>1167235.713008719</v>
      </c>
      <c r="J39" s="310">
        <v>-9412.3452955899411</v>
      </c>
      <c r="K39" s="282">
        <v>-12047.801978355124</v>
      </c>
      <c r="L39" s="282">
        <v>1433830.2633347441</v>
      </c>
      <c r="M39" s="276">
        <f t="shared" ref="M39:M67" si="6">K39+L39</f>
        <v>1421782.4613563891</v>
      </c>
      <c r="P39" s="283" t="str">
        <f t="shared" ca="1" si="5"/>
        <v>2023-24</v>
      </c>
      <c r="Q39" s="289">
        <v>34967798.096270815</v>
      </c>
      <c r="R39" s="311">
        <v>0.38428969650657435</v>
      </c>
      <c r="S39" s="289">
        <v>7291810.459507281</v>
      </c>
      <c r="T39" s="311">
        <v>0.14133261005073094</v>
      </c>
      <c r="U39" s="300"/>
      <c r="V39" s="290">
        <v>2.5984339253242582E-2</v>
      </c>
      <c r="X39" s="291">
        <v>131553.982248296</v>
      </c>
    </row>
    <row r="40" spans="2:24" s="254" customFormat="1" ht="12.5" x14ac:dyDescent="0.25">
      <c r="B40" s="257">
        <f t="shared" ref="B40:B67" si="7">B39+1</f>
        <v>2</v>
      </c>
      <c r="C40" s="254" t="str">
        <f ca="1">OFFSET('MP Calculations'!$D$38,MATCH($C$38,'MP Calculations'!$D$39:$D$129)+'Reduction amount'!B40,)</f>
        <v>2024-25</v>
      </c>
      <c r="D40" s="292">
        <f t="shared" si="0"/>
        <v>1402347.3555221842</v>
      </c>
      <c r="E40" s="292">
        <f t="shared" si="1"/>
        <v>77775.713755794481</v>
      </c>
      <c r="F40" s="292">
        <f t="shared" si="2"/>
        <v>288829.59265792358</v>
      </c>
      <c r="G40" s="292">
        <f t="shared" si="3"/>
        <v>27290.478359268964</v>
      </c>
      <c r="H40" s="292">
        <f t="shared" si="4"/>
        <v>1796243.1402951712</v>
      </c>
      <c r="J40" s="310">
        <v>-11043.021899256975</v>
      </c>
      <c r="K40" s="282">
        <v>-13803.777374071225</v>
      </c>
      <c r="L40" s="282">
        <v>2079831.5189614845</v>
      </c>
      <c r="M40" s="276">
        <f t="shared" si="6"/>
        <v>2066027.7415874132</v>
      </c>
      <c r="P40" s="283" t="str">
        <f t="shared" ca="1" si="5"/>
        <v>2024-25</v>
      </c>
      <c r="Q40" s="289">
        <v>36206730.999880277</v>
      </c>
      <c r="R40" s="311">
        <v>0.40157312754497426</v>
      </c>
      <c r="S40" s="289">
        <v>7457193.3444238612</v>
      </c>
      <c r="T40" s="311">
        <v>0.14090674604851947</v>
      </c>
      <c r="U40" s="300"/>
      <c r="V40" s="290">
        <v>3.8731675486716029E-2</v>
      </c>
      <c r="X40" s="291">
        <v>193677.58552789112</v>
      </c>
    </row>
    <row r="41" spans="2:24" s="254" customFormat="1" ht="12.5" x14ac:dyDescent="0.25">
      <c r="B41" s="257">
        <f t="shared" si="7"/>
        <v>3</v>
      </c>
      <c r="C41" s="254" t="str">
        <f ca="1">OFFSET('MP Calculations'!$D$38,MATCH($C$38,'MP Calculations'!$D$39:$D$129)+'Reduction amount'!B41,)</f>
        <v>2025-26</v>
      </c>
      <c r="D41" s="292">
        <f t="shared" si="0"/>
        <v>2151413.1308031604</v>
      </c>
      <c r="E41" s="292">
        <f t="shared" si="1"/>
        <v>79511.870859694638</v>
      </c>
      <c r="F41" s="292">
        <f t="shared" si="2"/>
        <v>961012.23412196373</v>
      </c>
      <c r="G41" s="292">
        <f t="shared" si="3"/>
        <v>26807.143714941943</v>
      </c>
      <c r="H41" s="292">
        <f t="shared" si="4"/>
        <v>3218744.3794997609</v>
      </c>
      <c r="J41" s="310">
        <v>-6063.8969314712504</v>
      </c>
      <c r="K41" s="282">
        <v>-7579.8711643390616</v>
      </c>
      <c r="L41" s="282">
        <v>2787733.3590723434</v>
      </c>
      <c r="M41" s="276">
        <f t="shared" si="6"/>
        <v>2780153.4879080043</v>
      </c>
      <c r="P41" s="283" t="str">
        <f t="shared" ca="1" si="5"/>
        <v>2025-26</v>
      </c>
      <c r="Q41" s="289">
        <v>40979032.234146632</v>
      </c>
      <c r="R41" s="311">
        <v>0.32366313411339664</v>
      </c>
      <c r="S41" s="289">
        <v>18304876.341807708</v>
      </c>
      <c r="T41" s="311">
        <v>0.10912187145887607</v>
      </c>
      <c r="U41" s="300"/>
      <c r="V41" s="290">
        <v>5.2500340137619221E-2</v>
      </c>
      <c r="X41" s="291">
        <v>245662.42639125328</v>
      </c>
    </row>
    <row r="42" spans="2:24" s="254" customFormat="1" ht="12.5" x14ac:dyDescent="0.25">
      <c r="B42" s="257">
        <f t="shared" si="7"/>
        <v>4</v>
      </c>
      <c r="C42" s="254" t="str">
        <f ca="1">OFFSET('MP Calculations'!$D$38,MATCH($C$38,'MP Calculations'!$D$39:$D$129)+'Reduction amount'!B42,)</f>
        <v>2026-27</v>
      </c>
      <c r="D42" s="292">
        <f t="shared" si="0"/>
        <v>2746558.2479279493</v>
      </c>
      <c r="E42" s="292">
        <f t="shared" si="1"/>
        <v>106459.24649710882</v>
      </c>
      <c r="F42" s="292">
        <f t="shared" si="2"/>
        <v>1215023.640657946</v>
      </c>
      <c r="G42" s="292">
        <f t="shared" si="3"/>
        <v>33439.346672504733</v>
      </c>
      <c r="H42" s="292">
        <f t="shared" si="4"/>
        <v>4101480.4817555086</v>
      </c>
      <c r="J42" s="310">
        <v>-1119.372756955252</v>
      </c>
      <c r="K42" s="282">
        <v>-1399.2159461940664</v>
      </c>
      <c r="L42" s="282">
        <v>3510298.6791832023</v>
      </c>
      <c r="M42" s="276">
        <f t="shared" si="6"/>
        <v>3508899.4632370081</v>
      </c>
      <c r="P42" s="283" t="str">
        <f t="shared" ca="1" si="5"/>
        <v>2026-27</v>
      </c>
      <c r="Q42" s="289">
        <v>41721154.415756121</v>
      </c>
      <c r="R42" s="311">
        <v>0.33405128047118765</v>
      </c>
      <c r="S42" s="289">
        <v>18456622.563503761</v>
      </c>
      <c r="T42" s="311">
        <v>0.10492706778995958</v>
      </c>
      <c r="U42" s="300"/>
      <c r="V42" s="290">
        <v>6.5831309952696399E-2</v>
      </c>
      <c r="X42" s="291">
        <v>318691.3289089789</v>
      </c>
    </row>
    <row r="43" spans="2:24" s="254" customFormat="1" ht="12.5" x14ac:dyDescent="0.25">
      <c r="B43" s="257">
        <f t="shared" si="7"/>
        <v>5</v>
      </c>
      <c r="C43" s="254" t="str">
        <f ca="1">OFFSET('MP Calculations'!$D$38,MATCH($C$38,'MP Calculations'!$D$39:$D$129)+'Reduction amount'!B43,)</f>
        <v>2027-28</v>
      </c>
      <c r="D43" s="292">
        <f t="shared" si="0"/>
        <v>3396231.5834765453</v>
      </c>
      <c r="E43" s="292">
        <f t="shared" si="1"/>
        <v>130633.60268468715</v>
      </c>
      <c r="F43" s="292">
        <f t="shared" si="2"/>
        <v>1492654.2791086906</v>
      </c>
      <c r="G43" s="292">
        <f t="shared" si="3"/>
        <v>38438.437496813713</v>
      </c>
      <c r="H43" s="292">
        <f t="shared" si="4"/>
        <v>5057957.9027667372</v>
      </c>
      <c r="J43" s="310">
        <v>3640.5456150515938</v>
      </c>
      <c r="K43" s="282">
        <v>4550.6820188144893</v>
      </c>
      <c r="L43" s="282">
        <v>4309404.9226326421</v>
      </c>
      <c r="M43" s="276">
        <f t="shared" si="6"/>
        <v>4313955.6046514567</v>
      </c>
      <c r="P43" s="283" t="str">
        <f t="shared" ca="1" si="5"/>
        <v>2027-28</v>
      </c>
      <c r="Q43" s="289">
        <v>42299257.19634749</v>
      </c>
      <c r="R43" s="311">
        <v>0.34272618624442314</v>
      </c>
      <c r="S43" s="289">
        <v>18590654.29001632</v>
      </c>
      <c r="T43" s="311">
        <v>0.1008458682738437</v>
      </c>
      <c r="U43" s="300"/>
      <c r="V43" s="290">
        <v>8.0290572662108289E-2</v>
      </c>
      <c r="X43" s="291">
        <v>381160.2612457595</v>
      </c>
    </row>
    <row r="44" spans="2:24" s="254" customFormat="1" ht="12.5" x14ac:dyDescent="0.25">
      <c r="B44" s="257">
        <f t="shared" si="7"/>
        <v>6</v>
      </c>
      <c r="C44" s="254" t="str">
        <f ca="1">OFFSET('MP Calculations'!$D$38,MATCH($C$38,'MP Calculations'!$D$39:$D$129)+'Reduction amount'!B44,)</f>
        <v>2028-29</v>
      </c>
      <c r="D44" s="292">
        <f t="shared" si="0"/>
        <v>4213717.488776736</v>
      </c>
      <c r="E44" s="292">
        <f t="shared" si="1"/>
        <v>166643.7958809995</v>
      </c>
      <c r="F44" s="292">
        <f t="shared" si="2"/>
        <v>1834510.9364144017</v>
      </c>
      <c r="G44" s="292">
        <f t="shared" si="3"/>
        <v>46396.080306090102</v>
      </c>
      <c r="H44" s="292">
        <f t="shared" si="4"/>
        <v>6261268.3013782278</v>
      </c>
      <c r="J44" s="310">
        <v>8407.3842139825283</v>
      </c>
      <c r="K44" s="282">
        <v>10509.23026747816</v>
      </c>
      <c r="L44" s="282">
        <v>5323821.283451112</v>
      </c>
      <c r="M44" s="276">
        <f t="shared" si="6"/>
        <v>5334330.5137185901</v>
      </c>
      <c r="P44" s="283" t="str">
        <f t="shared" ca="1" si="5"/>
        <v>2028-29</v>
      </c>
      <c r="Q44" s="289">
        <v>43180914.251163669</v>
      </c>
      <c r="R44" s="311">
        <v>0.35246190132668925</v>
      </c>
      <c r="S44" s="289">
        <v>18799518.394179061</v>
      </c>
      <c r="T44" s="311">
        <v>9.8130570012146548E-2</v>
      </c>
      <c r="U44" s="300"/>
      <c r="V44" s="290">
        <v>9.7582868770852427E-2</v>
      </c>
      <c r="X44" s="291">
        <v>472799.4579094692</v>
      </c>
    </row>
    <row r="45" spans="2:24" s="254" customFormat="1" ht="12.5" x14ac:dyDescent="0.25">
      <c r="B45" s="257">
        <f t="shared" si="7"/>
        <v>7</v>
      </c>
      <c r="C45" s="254" t="str">
        <f ca="1">OFFSET('MP Calculations'!$D$38,MATCH($C$38,'MP Calculations'!$D$39:$D$129)+'Reduction amount'!B45,)</f>
        <v>2029-30</v>
      </c>
      <c r="D45" s="292">
        <f t="shared" si="0"/>
        <v>4950924.9412363255</v>
      </c>
      <c r="E45" s="292">
        <f t="shared" si="1"/>
        <v>195752.73340043725</v>
      </c>
      <c r="F45" s="292">
        <f t="shared" si="2"/>
        <v>2142421.6640518811</v>
      </c>
      <c r="G45" s="292">
        <f t="shared" si="3"/>
        <v>51554.571677283413</v>
      </c>
      <c r="H45" s="292">
        <f t="shared" si="4"/>
        <v>7340653.910365927</v>
      </c>
      <c r="J45" s="310">
        <v>10769.817681968858</v>
      </c>
      <c r="K45" s="282">
        <v>13462.272102461073</v>
      </c>
      <c r="L45" s="282">
        <v>6260593.8242473397</v>
      </c>
      <c r="M45" s="276">
        <f t="shared" si="6"/>
        <v>6274056.0963498009</v>
      </c>
      <c r="P45" s="283" t="str">
        <f t="shared" ca="1" si="5"/>
        <v>2029-30</v>
      </c>
      <c r="Q45" s="289">
        <v>43741802.074221492</v>
      </c>
      <c r="R45" s="311">
        <v>0.35922033024785088</v>
      </c>
      <c r="S45" s="289">
        <v>18928459.934413768</v>
      </c>
      <c r="T45" s="311">
        <v>9.4606343124805023E-2</v>
      </c>
      <c r="U45" s="300"/>
      <c r="V45" s="290">
        <v>0.11318520743236757</v>
      </c>
      <c r="X45" s="291">
        <v>544937.79142559646</v>
      </c>
    </row>
    <row r="46" spans="2:24" s="254" customFormat="1" ht="12.5" x14ac:dyDescent="0.25">
      <c r="B46" s="257">
        <f t="shared" si="7"/>
        <v>8</v>
      </c>
      <c r="C46" s="254" t="str">
        <f ca="1">OFFSET('MP Calculations'!$D$38,MATCH($C$38,'MP Calculations'!$D$39:$D$129)+'Reduction amount'!B46,)</f>
        <v>2030-31</v>
      </c>
      <c r="D46" s="292">
        <f t="shared" si="0"/>
        <v>6158235.3529761881</v>
      </c>
      <c r="E46" s="292">
        <f t="shared" si="1"/>
        <v>233766.1747657001</v>
      </c>
      <c r="F46" s="292">
        <f t="shared" si="2"/>
        <v>2658367.7652732963</v>
      </c>
      <c r="G46" s="292">
        <f t="shared" si="3"/>
        <v>58572.384280041806</v>
      </c>
      <c r="H46" s="292">
        <f t="shared" si="4"/>
        <v>9108941.6772952285</v>
      </c>
      <c r="J46" s="310">
        <v>21296.577075960697</v>
      </c>
      <c r="K46" s="282">
        <v>26620.721344950871</v>
      </c>
      <c r="L46" s="282">
        <v>7838503.031146219</v>
      </c>
      <c r="M46" s="276">
        <f t="shared" si="6"/>
        <v>7865123.7524911696</v>
      </c>
      <c r="P46" s="283" t="str">
        <f t="shared" ca="1" si="5"/>
        <v>2030-31</v>
      </c>
      <c r="Q46" s="289">
        <v>44418187.215729982</v>
      </c>
      <c r="R46" s="311">
        <v>0.36603730071812574</v>
      </c>
      <c r="S46" s="289">
        <v>19174304.05271937</v>
      </c>
      <c r="T46" s="311">
        <v>9.1714198856955712E-2</v>
      </c>
      <c r="U46" s="300"/>
      <c r="V46" s="290">
        <v>0.13864220354304213</v>
      </c>
      <c r="X46" s="291">
        <v>638640.30880753428</v>
      </c>
    </row>
    <row r="47" spans="2:24" s="254" customFormat="1" ht="12.5" x14ac:dyDescent="0.25">
      <c r="B47" s="257">
        <f t="shared" si="7"/>
        <v>9</v>
      </c>
      <c r="C47" s="254" t="str">
        <f ca="1">OFFSET('MP Calculations'!$D$38,MATCH($C$38,'MP Calculations'!$D$39:$D$129)+'Reduction amount'!B47,)</f>
        <v>2031-32</v>
      </c>
      <c r="D47" s="292">
        <f t="shared" si="0"/>
        <v>7351387.8148197178</v>
      </c>
      <c r="E47" s="292">
        <f t="shared" si="1"/>
        <v>273534.99004468677</v>
      </c>
      <c r="F47" s="292">
        <f t="shared" si="2"/>
        <v>3156738.1130940984</v>
      </c>
      <c r="G47" s="292">
        <f t="shared" si="3"/>
        <v>65190.542380330065</v>
      </c>
      <c r="H47" s="292">
        <f t="shared" si="4"/>
        <v>10846851.460338833</v>
      </c>
      <c r="J47" s="310">
        <v>26719.742339241475</v>
      </c>
      <c r="K47" s="282">
        <v>33399.677924051837</v>
      </c>
      <c r="L47" s="282">
        <v>9496970.0027325284</v>
      </c>
      <c r="M47" s="276">
        <f t="shared" si="6"/>
        <v>9530369.6806565803</v>
      </c>
      <c r="P47" s="283" t="str">
        <f t="shared" ca="1" si="5"/>
        <v>2031-32</v>
      </c>
      <c r="Q47" s="289">
        <v>44887225.182366148</v>
      </c>
      <c r="R47" s="311">
        <v>0.37151869493639739</v>
      </c>
      <c r="S47" s="289">
        <v>19274893.13494847</v>
      </c>
      <c r="T47" s="311">
        <v>8.8542622000130397E-2</v>
      </c>
      <c r="U47" s="300"/>
      <c r="V47" s="290">
        <v>0.16377461036971594</v>
      </c>
      <c r="X47" s="291">
        <v>736261.71111393173</v>
      </c>
    </row>
    <row r="48" spans="2:24" s="254" customFormat="1" ht="12.5" x14ac:dyDescent="0.25">
      <c r="B48" s="257">
        <f t="shared" si="7"/>
        <v>10</v>
      </c>
      <c r="C48" s="254" t="str">
        <f ca="1">OFFSET('MP Calculations'!$D$38,MATCH($C$38,'MP Calculations'!$D$39:$D$129)+'Reduction amount'!B48,)</f>
        <v>2032-33</v>
      </c>
      <c r="D48" s="292">
        <f t="shared" si="0"/>
        <v>8521494.4527479317</v>
      </c>
      <c r="E48" s="292">
        <f t="shared" si="1"/>
        <v>312672.44989929005</v>
      </c>
      <c r="F48" s="292">
        <f t="shared" si="2"/>
        <v>3640927.4439189746</v>
      </c>
      <c r="G48" s="292">
        <f t="shared" si="3"/>
        <v>71037.269804573705</v>
      </c>
      <c r="H48" s="292">
        <f t="shared" si="4"/>
        <v>12546131.616370771</v>
      </c>
      <c r="J48" s="310">
        <v>32423.291157607469</v>
      </c>
      <c r="K48" s="282">
        <v>40529.11394700934</v>
      </c>
      <c r="L48" s="282">
        <v>11184506.863639614</v>
      </c>
      <c r="M48" s="276">
        <f t="shared" si="6"/>
        <v>11225035.977586623</v>
      </c>
      <c r="P48" s="283" t="str">
        <f t="shared" ca="1" si="5"/>
        <v>2032-33</v>
      </c>
      <c r="Q48" s="289">
        <v>45328912.995591924</v>
      </c>
      <c r="R48" s="311">
        <v>0.37629350877255957</v>
      </c>
      <c r="S48" s="289">
        <v>19367410.756859176</v>
      </c>
      <c r="T48" s="311">
        <v>8.5491585577801593E-2</v>
      </c>
      <c r="V48" s="290">
        <v>0.18799247300672348</v>
      </c>
      <c r="X48" s="291">
        <v>830927.03597041441</v>
      </c>
    </row>
    <row r="49" spans="2:24" s="254" customFormat="1" ht="12.5" x14ac:dyDescent="0.25">
      <c r="B49" s="257">
        <f t="shared" si="7"/>
        <v>11</v>
      </c>
      <c r="C49" s="254" t="str">
        <f ca="1">OFFSET('MP Calculations'!$D$38,MATCH($C$38,'MP Calculations'!$D$39:$D$129)+'Reduction amount'!B49,)</f>
        <v>2033-34</v>
      </c>
      <c r="D49" s="292">
        <f t="shared" si="0"/>
        <v>9795197.1971316189</v>
      </c>
      <c r="E49" s="292">
        <f t="shared" si="1"/>
        <v>355083.91337383242</v>
      </c>
      <c r="F49" s="292">
        <f t="shared" si="2"/>
        <v>4144562.0027480307</v>
      </c>
      <c r="G49" s="292">
        <f t="shared" si="3"/>
        <v>76872.978056975073</v>
      </c>
      <c r="H49" s="292">
        <f t="shared" si="4"/>
        <v>14371716.091310456</v>
      </c>
      <c r="J49" s="310">
        <v>39855.999858183604</v>
      </c>
      <c r="K49" s="282">
        <v>49819.999822729507</v>
      </c>
      <c r="L49" s="282">
        <v>13040399.618608989</v>
      </c>
      <c r="M49" s="276">
        <f t="shared" si="6"/>
        <v>13090219.618431719</v>
      </c>
      <c r="P49" s="283" t="str">
        <f t="shared" ca="1" si="5"/>
        <v>2033-34</v>
      </c>
      <c r="Q49" s="289">
        <v>45951934.62294548</v>
      </c>
      <c r="R49" s="311">
        <v>0.38003354563248071</v>
      </c>
      <c r="S49" s="289">
        <v>19443267.793198913</v>
      </c>
      <c r="T49" s="311">
        <v>8.2274384487712043E-2</v>
      </c>
      <c r="V49" s="290">
        <v>0.2131618021636138</v>
      </c>
      <c r="X49" s="291">
        <v>934348.86855283997</v>
      </c>
    </row>
    <row r="50" spans="2:24" s="254" customFormat="1" ht="12.5" x14ac:dyDescent="0.25">
      <c r="B50" s="257">
        <f t="shared" si="7"/>
        <v>12</v>
      </c>
      <c r="C50" s="254" t="str">
        <f ca="1">OFFSET('MP Calculations'!$D$38,MATCH($C$38,'MP Calculations'!$D$39:$D$129)+'Reduction amount'!B50,)</f>
        <v>2034-35</v>
      </c>
      <c r="D50" s="292">
        <f t="shared" si="0"/>
        <v>10899203.11904777</v>
      </c>
      <c r="E50" s="292">
        <f t="shared" si="1"/>
        <v>395282.3175890093</v>
      </c>
      <c r="F50" s="292">
        <f t="shared" si="2"/>
        <v>4592079.5803185496</v>
      </c>
      <c r="G50" s="292">
        <f t="shared" si="3"/>
        <v>81726.102099289987</v>
      </c>
      <c r="H50" s="292">
        <f t="shared" si="4"/>
        <v>15968291.119054619</v>
      </c>
      <c r="J50" s="310">
        <v>45036.989170007124</v>
      </c>
      <c r="K50" s="282">
        <v>56296.236462508903</v>
      </c>
      <c r="L50" s="282">
        <v>14786006.694904972</v>
      </c>
      <c r="M50" s="276">
        <f t="shared" si="6"/>
        <v>14842302.931367481</v>
      </c>
      <c r="P50" s="283" t="str">
        <f t="shared" ca="1" si="5"/>
        <v>2034-35</v>
      </c>
      <c r="Q50" s="289">
        <v>46285314.240037195</v>
      </c>
      <c r="R50" s="311">
        <v>0.38338696884006496</v>
      </c>
      <c r="S50" s="289">
        <v>19501044.623973541</v>
      </c>
      <c r="T50" s="311">
        <v>7.9266694118957093E-2</v>
      </c>
      <c r="V50" s="290">
        <v>0.23547864582973635</v>
      </c>
      <c r="X50" s="291">
        <v>1031027.0033040864</v>
      </c>
    </row>
    <row r="51" spans="2:24" s="254" customFormat="1" ht="12.5" x14ac:dyDescent="0.25">
      <c r="B51" s="257">
        <f t="shared" si="7"/>
        <v>13</v>
      </c>
      <c r="C51" s="254" t="str">
        <f ca="1">OFFSET('MP Calculations'!$D$38,MATCH($C$38,'MP Calculations'!$D$39:$D$129)+'Reduction amount'!B51,)</f>
        <v>2035-36</v>
      </c>
      <c r="D51" s="292">
        <f t="shared" si="0"/>
        <v>12466234.486986695</v>
      </c>
      <c r="E51" s="292">
        <f t="shared" si="1"/>
        <v>440591.11850190657</v>
      </c>
      <c r="F51" s="292">
        <f t="shared" si="2"/>
        <v>6056329.8974238485</v>
      </c>
      <c r="G51" s="292">
        <f t="shared" si="3"/>
        <v>87172.5067958906</v>
      </c>
      <c r="H51" s="292">
        <f t="shared" si="4"/>
        <v>19050328.009708341</v>
      </c>
      <c r="J51" s="310">
        <v>51970.796234410394</v>
      </c>
      <c r="K51" s="282">
        <v>64963.495293012988</v>
      </c>
      <c r="L51" s="282">
        <v>16553445.965186918</v>
      </c>
      <c r="M51" s="276">
        <f t="shared" si="6"/>
        <v>16618409.460479932</v>
      </c>
      <c r="P51" s="283" t="str">
        <f t="shared" ca="1" si="5"/>
        <v>2035-36</v>
      </c>
      <c r="Q51" s="289">
        <v>48560913.873005688</v>
      </c>
      <c r="R51" s="311">
        <v>0.38656051661831514</v>
      </c>
      <c r="S51" s="289">
        <v>23591800.302033156</v>
      </c>
      <c r="T51" s="311">
        <v>7.6482361642946375E-2</v>
      </c>
      <c r="V51" s="290">
        <v>0.25671334191913747</v>
      </c>
      <c r="X51" s="291">
        <v>1139772.6864509045</v>
      </c>
    </row>
    <row r="52" spans="2:24" s="254" customFormat="1" ht="12.5" x14ac:dyDescent="0.25">
      <c r="B52" s="257">
        <f t="shared" si="7"/>
        <v>14</v>
      </c>
      <c r="C52" s="254" t="str">
        <f ca="1">OFFSET('MP Calculations'!$D$38,MATCH($C$38,'MP Calculations'!$D$39:$D$129)+'Reduction amount'!B52,)</f>
        <v>2036-37</v>
      </c>
      <c r="D52" s="292">
        <f t="shared" si="0"/>
        <v>13604003.84510011</v>
      </c>
      <c r="E52" s="292">
        <f t="shared" si="1"/>
        <v>475496.36807198741</v>
      </c>
      <c r="F52" s="292">
        <f t="shared" si="2"/>
        <v>6578010.2764928984</v>
      </c>
      <c r="G52" s="292">
        <f t="shared" si="3"/>
        <v>91926.042684756991</v>
      </c>
      <c r="H52" s="292">
        <f t="shared" si="4"/>
        <v>20749436.532349754</v>
      </c>
      <c r="J52" s="310">
        <v>62179.757440775116</v>
      </c>
      <c r="K52" s="282">
        <v>77724.696800968886</v>
      </c>
      <c r="L52" s="282">
        <v>18394111.260156292</v>
      </c>
      <c r="M52" s="276">
        <f t="shared" si="6"/>
        <v>18471835.956957262</v>
      </c>
      <c r="P52" s="283" t="str">
        <f t="shared" ca="1" si="5"/>
        <v>2036-37</v>
      </c>
      <c r="Q52" s="289">
        <v>48937622.505551189</v>
      </c>
      <c r="R52" s="311">
        <v>0.38808706894011885</v>
      </c>
      <c r="S52" s="289">
        <v>23663047.100989476</v>
      </c>
      <c r="T52" s="311">
        <v>7.5027509903904374E-2</v>
      </c>
      <c r="V52" s="290">
        <v>0.27798661129393759</v>
      </c>
      <c r="X52" s="291">
        <v>1225231.1559119627</v>
      </c>
    </row>
    <row r="53" spans="2:24" s="254" customFormat="1" ht="12.5" x14ac:dyDescent="0.25">
      <c r="B53" s="257">
        <f t="shared" si="7"/>
        <v>15</v>
      </c>
      <c r="C53" s="254" t="str">
        <f ca="1">OFFSET('MP Calculations'!$D$38,MATCH($C$38,'MP Calculations'!$D$39:$D$129)+'Reduction amount'!B53,)</f>
        <v>2037-38</v>
      </c>
      <c r="D53" s="292">
        <f t="shared" si="0"/>
        <v>14746468.005797923</v>
      </c>
      <c r="E53" s="292">
        <f t="shared" si="1"/>
        <v>519086.99697947031</v>
      </c>
      <c r="F53" s="292">
        <f t="shared" si="2"/>
        <v>7095030.0275993291</v>
      </c>
      <c r="G53" s="292">
        <f t="shared" si="3"/>
        <v>98108.469295451796</v>
      </c>
      <c r="H53" s="292">
        <f t="shared" si="4"/>
        <v>22458693.499672174</v>
      </c>
      <c r="J53" s="310">
        <v>71059.421680696454</v>
      </c>
      <c r="K53" s="282">
        <v>88824.277100870575</v>
      </c>
      <c r="L53" s="282">
        <v>20319614.152450211</v>
      </c>
      <c r="M53" s="276">
        <f t="shared" si="6"/>
        <v>20408438.429551084</v>
      </c>
      <c r="P53" s="283" t="str">
        <f t="shared" ca="1" si="5"/>
        <v>2037-38</v>
      </c>
      <c r="Q53" s="289">
        <v>49338063.781947069</v>
      </c>
      <c r="R53" s="311">
        <v>0.38943372256225539</v>
      </c>
      <c r="S53" s="289">
        <v>23738229.649221286</v>
      </c>
      <c r="T53" s="311">
        <v>7.3603743948384023E-2</v>
      </c>
      <c r="V53" s="290">
        <v>0.29888623256419106</v>
      </c>
      <c r="X53" s="291">
        <v>1332927.7022137917</v>
      </c>
    </row>
    <row r="54" spans="2:24" s="254" customFormat="1" ht="12.5" x14ac:dyDescent="0.25">
      <c r="B54" s="257">
        <f t="shared" si="7"/>
        <v>16</v>
      </c>
      <c r="C54" s="254" t="str">
        <f ca="1">OFFSET('MP Calculations'!$D$38,MATCH($C$38,'MP Calculations'!$D$39:$D$129)+'Reduction amount'!B54,)</f>
        <v>2038-39</v>
      </c>
      <c r="D54" s="292">
        <f t="shared" si="0"/>
        <v>15913951.422180867</v>
      </c>
      <c r="E54" s="292">
        <f t="shared" si="1"/>
        <v>561791.00112063333</v>
      </c>
      <c r="F54" s="292">
        <f t="shared" si="2"/>
        <v>7616630.8006586228</v>
      </c>
      <c r="G54" s="292">
        <f t="shared" si="3"/>
        <v>103856.45142842688</v>
      </c>
      <c r="H54" s="292">
        <f t="shared" si="4"/>
        <v>24196229.675388552</v>
      </c>
      <c r="J54" s="310">
        <v>80724.856651613169</v>
      </c>
      <c r="K54" s="282">
        <v>100906.07081451645</v>
      </c>
      <c r="L54" s="282">
        <v>22359823.188104957</v>
      </c>
      <c r="M54" s="276">
        <f t="shared" si="6"/>
        <v>22460729.258919474</v>
      </c>
      <c r="P54" s="283" t="str">
        <f t="shared" ca="1" si="5"/>
        <v>2038-39</v>
      </c>
      <c r="Q54" s="289">
        <v>49763732.858755887</v>
      </c>
      <c r="R54" s="311">
        <v>0.39083732819110406</v>
      </c>
      <c r="S54" s="289">
        <v>23817590.640590549</v>
      </c>
      <c r="T54" s="311">
        <v>7.2252809159859502E-2</v>
      </c>
      <c r="V54" s="290">
        <v>0.31979014651793392</v>
      </c>
      <c r="X54" s="291">
        <v>1437403.6474989401</v>
      </c>
    </row>
    <row r="55" spans="2:24" s="254" customFormat="1" ht="12.5" x14ac:dyDescent="0.25">
      <c r="B55" s="257">
        <f t="shared" si="7"/>
        <v>17</v>
      </c>
      <c r="C55" s="254" t="str">
        <f ca="1">OFFSET('MP Calculations'!$D$38,MATCH($C$38,'MP Calculations'!$D$39:$D$129)+'Reduction amount'!B55,)</f>
        <v>2039-40</v>
      </c>
      <c r="D55" s="292">
        <f t="shared" si="0"/>
        <v>17088944.964380771</v>
      </c>
      <c r="E55" s="292">
        <f t="shared" si="1"/>
        <v>609425.11803017394</v>
      </c>
      <c r="F55" s="292">
        <f t="shared" si="2"/>
        <v>8133816.3565278854</v>
      </c>
      <c r="G55" s="292">
        <f t="shared" si="3"/>
        <v>110250.19217243588</v>
      </c>
      <c r="H55" s="292">
        <f t="shared" si="4"/>
        <v>25942436.631111268</v>
      </c>
      <c r="J55" s="310">
        <v>89708.964624953456</v>
      </c>
      <c r="K55" s="282">
        <v>112136.20578119181</v>
      </c>
      <c r="L55" s="282">
        <v>24501764.157767907</v>
      </c>
      <c r="M55" s="276">
        <f t="shared" si="6"/>
        <v>24613900.363549098</v>
      </c>
      <c r="P55" s="283" t="str">
        <f t="shared" ca="1" si="5"/>
        <v>2039-40</v>
      </c>
      <c r="Q55" s="289">
        <v>50216219.087403655</v>
      </c>
      <c r="R55" s="311">
        <v>0.39215180827069723</v>
      </c>
      <c r="S55" s="289">
        <v>23901388.004201587</v>
      </c>
      <c r="T55" s="311">
        <v>7.0943600687741845E-2</v>
      </c>
      <c r="V55" s="290">
        <v>0.34030728069424482</v>
      </c>
      <c r="X55" s="291">
        <v>1554054.0810396972</v>
      </c>
    </row>
    <row r="56" spans="2:24" s="254" customFormat="1" ht="12.5" x14ac:dyDescent="0.25">
      <c r="B56" s="257">
        <f t="shared" si="7"/>
        <v>18</v>
      </c>
      <c r="C56" s="254" t="str">
        <f ca="1">OFFSET('MP Calculations'!$D$38,MATCH($C$38,'MP Calculations'!$D$39:$D$129)+'Reduction amount'!B56,)</f>
        <v>2040-41</v>
      </c>
      <c r="D56" s="292">
        <f t="shared" si="0"/>
        <v>18204783.597137559</v>
      </c>
      <c r="E56" s="292">
        <f t="shared" si="1"/>
        <v>652849.83890844148</v>
      </c>
      <c r="F56" s="292">
        <f t="shared" si="2"/>
        <v>8614494.681884326</v>
      </c>
      <c r="G56" s="292">
        <f t="shared" si="3"/>
        <v>115630.3262182836</v>
      </c>
      <c r="H56" s="292">
        <f t="shared" si="4"/>
        <v>27587758.444148611</v>
      </c>
      <c r="J56" s="310">
        <v>96814.204108759324</v>
      </c>
      <c r="K56" s="282">
        <v>121017.75513594916</v>
      </c>
      <c r="L56" s="282">
        <v>26572334.068757467</v>
      </c>
      <c r="M56" s="276">
        <f t="shared" si="6"/>
        <v>26693351.823893417</v>
      </c>
      <c r="P56" s="283" t="str">
        <f t="shared" ca="1" si="5"/>
        <v>2040-41</v>
      </c>
      <c r="Q56" s="289">
        <v>50697211.948456228</v>
      </c>
      <c r="R56" s="311">
        <v>0.39345746656493263</v>
      </c>
      <c r="S56" s="289">
        <v>23989895.863689825</v>
      </c>
      <c r="T56" s="311">
        <v>6.9687717604389382E-2</v>
      </c>
      <c r="V56" s="290">
        <v>0.35908845669158951</v>
      </c>
      <c r="X56" s="291">
        <v>1659264.0739750739</v>
      </c>
    </row>
    <row r="57" spans="2:24" s="254" customFormat="1" ht="12.5" x14ac:dyDescent="0.25">
      <c r="B57" s="257">
        <f t="shared" si="7"/>
        <v>19</v>
      </c>
      <c r="C57" s="254" t="str">
        <f ca="1">OFFSET('MP Calculations'!$D$38,MATCH($C$38,'MP Calculations'!$D$39:$D$129)+'Reduction amount'!B57,)</f>
        <v>2041-42</v>
      </c>
      <c r="D57" s="292">
        <f t="shared" si="0"/>
        <v>19321753.009265419</v>
      </c>
      <c r="E57" s="292">
        <f t="shared" si="1"/>
        <v>697999.49094616657</v>
      </c>
      <c r="F57" s="292">
        <f t="shared" si="2"/>
        <v>9087037.2480116207</v>
      </c>
      <c r="G57" s="292">
        <f t="shared" si="3"/>
        <v>121088.77276168005</v>
      </c>
      <c r="H57" s="292">
        <f t="shared" si="4"/>
        <v>29227878.520984888</v>
      </c>
      <c r="J57" s="310">
        <v>105754.86041798288</v>
      </c>
      <c r="K57" s="282">
        <v>132193.57552247861</v>
      </c>
      <c r="L57" s="282">
        <v>28695262.744434454</v>
      </c>
      <c r="M57" s="276">
        <f t="shared" si="6"/>
        <v>28827456.319956932</v>
      </c>
      <c r="P57" s="283" t="str">
        <f t="shared" ca="1" si="5"/>
        <v>2041-42</v>
      </c>
      <c r="Q57" s="289">
        <v>51208507.359755129</v>
      </c>
      <c r="R57" s="311">
        <v>0.39507176588537679</v>
      </c>
      <c r="S57" s="289">
        <v>24083405.556940366</v>
      </c>
      <c r="T57" s="311">
        <v>6.8536948671699863E-2</v>
      </c>
      <c r="V57" s="290">
        <v>0.37731529399059238</v>
      </c>
      <c r="X57" s="291">
        <v>1766766.3225234856</v>
      </c>
    </row>
    <row r="58" spans="2:24" s="254" customFormat="1" ht="12.5" x14ac:dyDescent="0.25">
      <c r="B58" s="257">
        <f t="shared" si="7"/>
        <v>20</v>
      </c>
      <c r="C58" s="254" t="str">
        <f ca="1">OFFSET('MP Calculations'!$D$38,MATCH($C$38,'MP Calculations'!$D$39:$D$129)+'Reduction amount'!B58,)</f>
        <v>2042-43</v>
      </c>
      <c r="D58" s="292">
        <f t="shared" si="0"/>
        <v>20437939.862404063</v>
      </c>
      <c r="E58" s="292">
        <f t="shared" si="1"/>
        <v>743882.93847314699</v>
      </c>
      <c r="F58" s="292">
        <f t="shared" si="2"/>
        <v>9550061.0236244984</v>
      </c>
      <c r="G58" s="292">
        <f t="shared" si="3"/>
        <v>126452.32244828455</v>
      </c>
      <c r="H58" s="292">
        <f t="shared" si="4"/>
        <v>30858336.146949992</v>
      </c>
      <c r="J58" s="310">
        <v>115484.42238835144</v>
      </c>
      <c r="K58" s="282">
        <v>144355.52798543929</v>
      </c>
      <c r="L58" s="282">
        <v>30860890.874097403</v>
      </c>
      <c r="M58" s="276">
        <f t="shared" si="6"/>
        <v>31005246.402082842</v>
      </c>
      <c r="P58" s="283" t="str">
        <f t="shared" ca="1" si="5"/>
        <v>2042-43</v>
      </c>
      <c r="Q58" s="289">
        <v>51752014.381965853</v>
      </c>
      <c r="R58" s="311">
        <v>0.39653218162228243</v>
      </c>
      <c r="S58" s="289">
        <v>24182226.720043346</v>
      </c>
      <c r="T58" s="311">
        <v>6.7406325240557535E-2</v>
      </c>
      <c r="V58" s="290">
        <v>0.3949206636007993</v>
      </c>
      <c r="X58" s="291">
        <v>1875971.1643826533</v>
      </c>
    </row>
    <row r="59" spans="2:24" s="254" customFormat="1" ht="12.5" x14ac:dyDescent="0.25">
      <c r="B59" s="257">
        <f t="shared" si="7"/>
        <v>21</v>
      </c>
      <c r="C59" s="254" t="str">
        <f ca="1">OFFSET('MP Calculations'!$D$38,MATCH($C$38,'MP Calculations'!$D$39:$D$129)+'Reduction amount'!B59,)</f>
        <v>2043-44</v>
      </c>
      <c r="D59" s="292">
        <f t="shared" si="0"/>
        <v>21556495.643342946</v>
      </c>
      <c r="E59" s="292">
        <f t="shared" si="1"/>
        <v>790679.31912821939</v>
      </c>
      <c r="F59" s="292">
        <f t="shared" si="2"/>
        <v>10004553.242009455</v>
      </c>
      <c r="G59" s="292">
        <f t="shared" si="3"/>
        <v>131756.44090225868</v>
      </c>
      <c r="H59" s="292">
        <f t="shared" si="4"/>
        <v>32483484.645382877</v>
      </c>
      <c r="J59" s="310">
        <v>126605.90720466696</v>
      </c>
      <c r="K59" s="282">
        <v>158257.38400583371</v>
      </c>
      <c r="L59" s="282">
        <v>33069782.437746316</v>
      </c>
      <c r="M59" s="276">
        <f t="shared" si="6"/>
        <v>33228039.82175215</v>
      </c>
      <c r="P59" s="283" t="str">
        <f t="shared" ca="1" si="5"/>
        <v>2043-44</v>
      </c>
      <c r="Q59" s="289">
        <v>52329762.346575856</v>
      </c>
      <c r="R59" s="311">
        <v>0.3980087813369681</v>
      </c>
      <c r="S59" s="289">
        <v>24286688.439532965</v>
      </c>
      <c r="T59" s="311">
        <v>6.6322994933803683E-2</v>
      </c>
      <c r="V59" s="290">
        <v>0.41193566866549075</v>
      </c>
      <c r="X59" s="291">
        <v>1986587.6237007009</v>
      </c>
    </row>
    <row r="60" spans="2:24" s="254" customFormat="1" ht="12.5" x14ac:dyDescent="0.25">
      <c r="B60" s="315">
        <f t="shared" si="7"/>
        <v>22</v>
      </c>
      <c r="C60" s="279" t="str">
        <f ca="1">OFFSET('MP Calculations'!$D$38,MATCH($C$38,'MP Calculations'!$D$39:$D$129)+'Reduction amount'!B60,)</f>
        <v>2044-45</v>
      </c>
      <c r="D60" s="316">
        <f t="shared" si="0"/>
        <v>22675571.539438713</v>
      </c>
      <c r="E60" s="316">
        <f t="shared" si="1"/>
        <v>837205.3338447893</v>
      </c>
      <c r="F60" s="316">
        <f t="shared" si="2"/>
        <v>10449154.975955497</v>
      </c>
      <c r="G60" s="316">
        <f t="shared" si="3"/>
        <v>136811.20859566334</v>
      </c>
      <c r="H60" s="316">
        <f t="shared" si="4"/>
        <v>34098743.057834662</v>
      </c>
      <c r="I60" s="279"/>
      <c r="J60" s="317">
        <v>135872.97287095792</v>
      </c>
      <c r="K60" s="317">
        <v>169841.21608869743</v>
      </c>
      <c r="L60" s="317">
        <v>35322338.389367163</v>
      </c>
      <c r="M60" s="318">
        <f t="shared" si="6"/>
        <v>35492179.60545586</v>
      </c>
      <c r="N60" s="279"/>
      <c r="O60" s="279"/>
      <c r="P60" s="319" t="str">
        <f t="shared" ca="1" si="5"/>
        <v>2044-45</v>
      </c>
      <c r="Q60" s="320">
        <v>52943908.432956278</v>
      </c>
      <c r="R60" s="321">
        <v>0.39947477841559648</v>
      </c>
      <c r="S60" s="320">
        <v>24397140.477212027</v>
      </c>
      <c r="T60" s="321">
        <v>6.5279836414246603E-2</v>
      </c>
      <c r="U60" s="279"/>
      <c r="V60" s="322">
        <v>0.42829424971813623</v>
      </c>
      <c r="W60" s="279"/>
      <c r="X60" s="323">
        <v>2095765.1873926236</v>
      </c>
    </row>
    <row r="61" spans="2:24" s="254" customFormat="1" ht="12.5" x14ac:dyDescent="0.25">
      <c r="B61" s="257">
        <f t="shared" si="7"/>
        <v>23</v>
      </c>
      <c r="C61" s="254" t="str">
        <f ca="1">OFFSET('MP Calculations'!$D$38,MATCH($C$38,'MP Calculations'!$D$39:$D$129)+'Reduction amount'!B61,)</f>
        <v>2045-46</v>
      </c>
      <c r="D61" s="292">
        <f t="shared" si="0"/>
        <v>25067609.869109292</v>
      </c>
      <c r="E61" s="292">
        <f t="shared" si="1"/>
        <v>884771.13516814681</v>
      </c>
      <c r="F61" s="292">
        <f t="shared" si="2"/>
        <v>11111086.870720517</v>
      </c>
      <c r="G61" s="292">
        <f t="shared" si="3"/>
        <v>141840.8540493077</v>
      </c>
      <c r="H61" s="292">
        <f t="shared" si="4"/>
        <v>37205308.729047269</v>
      </c>
      <c r="J61" s="310">
        <v>146919.45753839644</v>
      </c>
      <c r="K61" s="282">
        <v>183649.32192299556</v>
      </c>
      <c r="L61" s="282">
        <v>37619755.088404968</v>
      </c>
      <c r="M61" s="276">
        <f t="shared" si="6"/>
        <v>37803404.410327964</v>
      </c>
      <c r="P61" s="283" t="str">
        <f t="shared" ca="1" si="5"/>
        <v>2045-46</v>
      </c>
      <c r="Q61" s="289">
        <v>56441987.002778679</v>
      </c>
      <c r="R61" s="311">
        <v>0.40088015435816798</v>
      </c>
      <c r="S61" s="289">
        <v>25017615.321864575</v>
      </c>
      <c r="T61" s="311">
        <v>6.4266544426513902E-2</v>
      </c>
      <c r="V61" s="290">
        <v>0.44413053473605024</v>
      </c>
      <c r="X61" s="291">
        <v>2207071.4290776402</v>
      </c>
    </row>
    <row r="62" spans="2:24" s="254" customFormat="1" ht="12.5" x14ac:dyDescent="0.25">
      <c r="B62" s="315">
        <f t="shared" si="7"/>
        <v>24</v>
      </c>
      <c r="C62" s="279" t="str">
        <f ca="1">OFFSET('MP Calculations'!$D$38,MATCH($C$38,'MP Calculations'!$D$39:$D$129)+'Reduction amount'!B62,)</f>
        <v>2046-47</v>
      </c>
      <c r="D62" s="316">
        <f t="shared" si="0"/>
        <v>25067609.869109292</v>
      </c>
      <c r="E62" s="316">
        <f t="shared" si="1"/>
        <v>896207.6511747397</v>
      </c>
      <c r="F62" s="316">
        <f t="shared" si="2"/>
        <v>11111086.870720517</v>
      </c>
      <c r="G62" s="316">
        <f t="shared" si="3"/>
        <v>140999.0254520778</v>
      </c>
      <c r="H62" s="316">
        <f t="shared" si="4"/>
        <v>37215903.416456625</v>
      </c>
      <c r="I62" s="279"/>
      <c r="J62" s="317">
        <f t="shared" ref="J62:J67" si="8">J61</f>
        <v>146919.45753839644</v>
      </c>
      <c r="K62" s="317">
        <f t="shared" ref="K62:K67" si="9">K61</f>
        <v>183649.32192299556</v>
      </c>
      <c r="L62" s="317">
        <f t="shared" ref="L62:L67" si="10">L61</f>
        <v>37619755.088404968</v>
      </c>
      <c r="M62" s="318">
        <f t="shared" si="6"/>
        <v>37803404.410327964</v>
      </c>
      <c r="N62" s="279"/>
      <c r="O62" s="279"/>
      <c r="P62" s="319" t="str">
        <f t="shared" ca="1" si="5"/>
        <v>2046-47</v>
      </c>
      <c r="Q62" s="320">
        <f t="shared" ref="Q62:S67" si="11">Q61</f>
        <v>56441987.002778679</v>
      </c>
      <c r="R62" s="321">
        <v>0.40606191506419659</v>
      </c>
      <c r="S62" s="320">
        <f t="shared" si="11"/>
        <v>25017615.321864575</v>
      </c>
      <c r="T62" s="321">
        <v>6.3885121067877207E-2</v>
      </c>
      <c r="U62" s="279"/>
      <c r="V62" s="322">
        <f t="shared" ref="V62:V67" si="12">V61</f>
        <v>0.44413053473605024</v>
      </c>
      <c r="W62" s="279"/>
      <c r="X62" s="323">
        <f t="shared" ref="X62:X67" si="13">X61</f>
        <v>2207071.4290776402</v>
      </c>
    </row>
    <row r="63" spans="2:24" s="254" customFormat="1" ht="12.5" x14ac:dyDescent="0.25">
      <c r="B63" s="257">
        <f t="shared" si="7"/>
        <v>25</v>
      </c>
      <c r="C63" s="254" t="str">
        <f ca="1">OFFSET('MP Calculations'!$D$38,MATCH($C$38,'MP Calculations'!$D$39:$D$129)+'Reduction amount'!B63,)</f>
        <v>2047-48</v>
      </c>
      <c r="D63" s="292">
        <f t="shared" si="0"/>
        <v>25067609.869109292</v>
      </c>
      <c r="E63" s="292">
        <f t="shared" si="1"/>
        <v>907336.35104000091</v>
      </c>
      <c r="F63" s="292">
        <f t="shared" si="2"/>
        <v>11111086.870720517</v>
      </c>
      <c r="G63" s="292">
        <f t="shared" si="3"/>
        <v>140140.43097798317</v>
      </c>
      <c r="H63" s="292">
        <f t="shared" si="4"/>
        <v>37226173.521847799</v>
      </c>
      <c r="J63" s="310">
        <f t="shared" si="8"/>
        <v>146919.45753839644</v>
      </c>
      <c r="K63" s="310">
        <f t="shared" si="9"/>
        <v>183649.32192299556</v>
      </c>
      <c r="L63" s="310">
        <f t="shared" si="10"/>
        <v>37619755.088404968</v>
      </c>
      <c r="M63" s="276">
        <f t="shared" si="6"/>
        <v>37803404.410327964</v>
      </c>
      <c r="P63" s="283" t="str">
        <f t="shared" ca="1" si="5"/>
        <v>2047-48</v>
      </c>
      <c r="Q63" s="289">
        <f t="shared" si="11"/>
        <v>56441987.002778679</v>
      </c>
      <c r="R63" s="311">
        <v>0.41110420763282091</v>
      </c>
      <c r="S63" s="289">
        <f t="shared" si="11"/>
        <v>25017615.321864575</v>
      </c>
      <c r="T63" s="311">
        <v>6.349610127323764E-2</v>
      </c>
      <c r="V63" s="290">
        <f t="shared" si="12"/>
        <v>0.44413053473605024</v>
      </c>
      <c r="X63" s="291">
        <f t="shared" si="13"/>
        <v>2207071.4290776402</v>
      </c>
    </row>
    <row r="64" spans="2:24" s="254" customFormat="1" ht="12.5" x14ac:dyDescent="0.25">
      <c r="B64" s="257">
        <f t="shared" si="7"/>
        <v>26</v>
      </c>
      <c r="C64" s="254" t="str">
        <f ca="1">OFFSET('MP Calculations'!$D$38,MATCH($C$38,'MP Calculations'!$D$39:$D$129)+'Reduction amount'!B64,)</f>
        <v>2048-49</v>
      </c>
      <c r="D64" s="292">
        <f t="shared" si="0"/>
        <v>25067609.869109292</v>
      </c>
      <c r="E64" s="292">
        <f t="shared" si="1"/>
        <v>918469.98984525807</v>
      </c>
      <c r="F64" s="292">
        <f t="shared" si="2"/>
        <v>11111086.870720517</v>
      </c>
      <c r="G64" s="292">
        <f t="shared" si="3"/>
        <v>139313.41220941651</v>
      </c>
      <c r="H64" s="292">
        <f t="shared" si="4"/>
        <v>37236480.141884483</v>
      </c>
      <c r="J64" s="310">
        <f t="shared" si="8"/>
        <v>146919.45753839644</v>
      </c>
      <c r="K64" s="310">
        <f t="shared" si="9"/>
        <v>183649.32192299556</v>
      </c>
      <c r="L64" s="310">
        <f t="shared" si="10"/>
        <v>37619755.088404968</v>
      </c>
      <c r="M64" s="276">
        <f t="shared" si="6"/>
        <v>37803404.410327964</v>
      </c>
      <c r="P64" s="283" t="str">
        <f t="shared" ca="1" si="5"/>
        <v>2048-49</v>
      </c>
      <c r="Q64" s="289">
        <f t="shared" si="11"/>
        <v>56441987.002778679</v>
      </c>
      <c r="R64" s="311">
        <v>0.41614873798130625</v>
      </c>
      <c r="S64" s="289">
        <f t="shared" si="11"/>
        <v>25017615.321864575</v>
      </c>
      <c r="T64" s="311">
        <v>6.3121388086491217E-2</v>
      </c>
      <c r="V64" s="290">
        <f t="shared" si="12"/>
        <v>0.44413053473605024</v>
      </c>
      <c r="X64" s="291">
        <f t="shared" si="13"/>
        <v>2207071.4290776402</v>
      </c>
    </row>
    <row r="65" spans="2:24" s="254" customFormat="1" ht="12.5" x14ac:dyDescent="0.25">
      <c r="B65" s="257">
        <f t="shared" si="7"/>
        <v>27</v>
      </c>
      <c r="C65" s="254" t="str">
        <f ca="1">OFFSET('MP Calculations'!$D$38,MATCH($C$38,'MP Calculations'!$D$39:$D$129)+'Reduction amount'!B65,)</f>
        <v>2049-50</v>
      </c>
      <c r="D65" s="292">
        <f t="shared" si="0"/>
        <v>25067609.869109292</v>
      </c>
      <c r="E65" s="292">
        <f t="shared" si="1"/>
        <v>929332.49637400697</v>
      </c>
      <c r="F65" s="292">
        <f t="shared" si="2"/>
        <v>11111086.870720517</v>
      </c>
      <c r="G65" s="292">
        <f t="shared" si="3"/>
        <v>138475.1626327603</v>
      </c>
      <c r="H65" s="292">
        <f t="shared" si="4"/>
        <v>37246504.398836583</v>
      </c>
      <c r="J65" s="310">
        <f t="shared" si="8"/>
        <v>146919.45753839644</v>
      </c>
      <c r="K65" s="310">
        <f t="shared" si="9"/>
        <v>183649.32192299556</v>
      </c>
      <c r="L65" s="310">
        <f t="shared" si="10"/>
        <v>37619755.088404968</v>
      </c>
      <c r="M65" s="276">
        <f t="shared" si="6"/>
        <v>37803404.410327964</v>
      </c>
      <c r="P65" s="283" t="str">
        <f t="shared" ca="1" si="5"/>
        <v>2049-50</v>
      </c>
      <c r="Q65" s="289">
        <f t="shared" si="11"/>
        <v>56441987.002778679</v>
      </c>
      <c r="R65" s="311">
        <v>0.42107042125156113</v>
      </c>
      <c r="S65" s="289">
        <f t="shared" si="11"/>
        <v>25017615.321864575</v>
      </c>
      <c r="T65" s="311">
        <v>6.2741586343053074E-2</v>
      </c>
      <c r="V65" s="290">
        <f t="shared" si="12"/>
        <v>0.44413053473605024</v>
      </c>
      <c r="X65" s="291">
        <f t="shared" si="13"/>
        <v>2207071.4290776402</v>
      </c>
    </row>
    <row r="66" spans="2:24" s="254" customFormat="1" ht="12.5" x14ac:dyDescent="0.25">
      <c r="B66" s="257">
        <f t="shared" si="7"/>
        <v>28</v>
      </c>
      <c r="C66" s="254" t="str">
        <f ca="1">OFFSET('MP Calculations'!$D$38,MATCH($C$38,'MP Calculations'!$D$39:$D$129)+'Reduction amount'!B66,)</f>
        <v>2050-51</v>
      </c>
      <c r="D66" s="292">
        <f t="shared" si="0"/>
        <v>25067609.869109292</v>
      </c>
      <c r="E66" s="292">
        <f t="shared" si="1"/>
        <v>940206.33366140502</v>
      </c>
      <c r="F66" s="292">
        <f t="shared" si="2"/>
        <v>11111086.870720517</v>
      </c>
      <c r="G66" s="292">
        <f t="shared" si="3"/>
        <v>137667.62514608086</v>
      </c>
      <c r="H66" s="292">
        <f t="shared" si="4"/>
        <v>37256570.698637299</v>
      </c>
      <c r="J66" s="310">
        <f t="shared" si="8"/>
        <v>146919.45753839644</v>
      </c>
      <c r="K66" s="310">
        <f t="shared" si="9"/>
        <v>183649.32192299556</v>
      </c>
      <c r="L66" s="310">
        <f t="shared" si="10"/>
        <v>37619755.088404968</v>
      </c>
      <c r="M66" s="276">
        <f t="shared" si="6"/>
        <v>37803404.410327964</v>
      </c>
      <c r="P66" s="283" t="str">
        <f t="shared" ca="1" si="5"/>
        <v>2050-51</v>
      </c>
      <c r="Q66" s="289">
        <f t="shared" si="11"/>
        <v>56441987.002778679</v>
      </c>
      <c r="R66" s="311">
        <v>0.42599723836501646</v>
      </c>
      <c r="S66" s="289">
        <f t="shared" si="11"/>
        <v>25017615.321864575</v>
      </c>
      <c r="T66" s="311">
        <v>6.2375699912718144E-2</v>
      </c>
      <c r="V66" s="290">
        <f t="shared" si="12"/>
        <v>0.44413053473605024</v>
      </c>
      <c r="X66" s="291">
        <f t="shared" si="13"/>
        <v>2207071.4290776402</v>
      </c>
    </row>
    <row r="67" spans="2:24" s="254" customFormat="1" ht="12.5" x14ac:dyDescent="0.25">
      <c r="B67" s="257">
        <f t="shared" si="7"/>
        <v>29</v>
      </c>
      <c r="C67" s="254" t="str">
        <f ca="1">OFFSET('MP Calculations'!$D$38,MATCH($C$38,'MP Calculations'!$D$39:$D$129)+'Reduction amount'!B67,)</f>
        <v>2051-52</v>
      </c>
      <c r="D67" s="292">
        <f t="shared" si="0"/>
        <v>25067609.869109292</v>
      </c>
      <c r="E67" s="292">
        <f t="shared" si="1"/>
        <v>950952.23175085348</v>
      </c>
      <c r="F67" s="292">
        <f t="shared" si="2"/>
        <v>11111086.870720517</v>
      </c>
      <c r="G67" s="292">
        <f t="shared" si="3"/>
        <v>136869.18534164221</v>
      </c>
      <c r="H67" s="292">
        <f t="shared" si="4"/>
        <v>37266518.156922303</v>
      </c>
      <c r="J67" s="310">
        <f t="shared" si="8"/>
        <v>146919.45753839644</v>
      </c>
      <c r="K67" s="310">
        <f t="shared" si="9"/>
        <v>183649.32192299556</v>
      </c>
      <c r="L67" s="310">
        <f t="shared" si="10"/>
        <v>37619755.088404968</v>
      </c>
      <c r="M67" s="276">
        <f t="shared" si="6"/>
        <v>37803404.410327964</v>
      </c>
      <c r="P67" s="283" t="str">
        <f t="shared" ca="1" si="5"/>
        <v>2051-52</v>
      </c>
      <c r="Q67" s="289">
        <f t="shared" si="11"/>
        <v>56441987.002778679</v>
      </c>
      <c r="R67" s="311">
        <v>0.43086608762284917</v>
      </c>
      <c r="S67" s="289">
        <f t="shared" si="11"/>
        <v>25017615.321864575</v>
      </c>
      <c r="T67" s="311">
        <v>6.2013935543011121E-2</v>
      </c>
      <c r="V67" s="290">
        <f t="shared" si="12"/>
        <v>0.44413053473605024</v>
      </c>
      <c r="X67" s="291">
        <f t="shared" si="13"/>
        <v>2207071.4290776402</v>
      </c>
    </row>
    <row r="68" spans="2:24" s="254" customFormat="1" ht="12.5" x14ac:dyDescent="0.25">
      <c r="P68" s="256"/>
    </row>
    <row r="69" spans="2:24" s="254" customFormat="1" ht="12.5" x14ac:dyDescent="0.25"/>
    <row r="70" spans="2:24" s="254" customFormat="1" ht="12.5" x14ac:dyDescent="0.25"/>
    <row r="71" spans="2:24" s="254" customFormat="1" ht="12.5" x14ac:dyDescent="0.25"/>
    <row r="72" spans="2:24" s="254" customFormat="1" ht="12.5" x14ac:dyDescent="0.25"/>
    <row r="73" spans="2:24" s="254" customFormat="1" ht="12.5" x14ac:dyDescent="0.25"/>
    <row r="74" spans="2:24" s="254" customFormat="1" ht="12.5" x14ac:dyDescent="0.25"/>
    <row r="75" spans="2:24" s="254"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69" t="s">
        <v>108</v>
      </c>
      <c r="M3" s="172"/>
    </row>
    <row r="6" spans="1:30" x14ac:dyDescent="0.25">
      <c r="C6" t="s">
        <v>195</v>
      </c>
      <c r="G6" s="172" t="s">
        <v>113</v>
      </c>
    </row>
    <row r="8" spans="1:30" x14ac:dyDescent="0.25">
      <c r="C8" t="s">
        <v>205</v>
      </c>
    </row>
    <row r="10" spans="1:30" x14ac:dyDescent="0.25">
      <c r="C10" t="s">
        <v>168</v>
      </c>
      <c r="J10" s="207" t="str">
        <f>ADDRESS(ROW('MP Calculations'!$F$22),COLUMN('MP Calculations'!$F$22))</f>
        <v>$F$22</v>
      </c>
      <c r="K10" t="str">
        <f ca="1">"on the "&amp;MID(CELL("filename",'MP Calculations'!$A$1),FIND("]",CELL("filename",'MP Calculations'!$A$1))+1,255)&amp;" worksheet."</f>
        <v>on the MP Calculations worksheet.</v>
      </c>
    </row>
    <row r="12" spans="1:30" x14ac:dyDescent="0.25">
      <c r="C12" s="86" t="s">
        <v>76</v>
      </c>
    </row>
    <row r="13" spans="1:30" x14ac:dyDescent="0.25">
      <c r="D13" s="231" t="s">
        <v>189</v>
      </c>
    </row>
    <row r="14" spans="1:30" x14ac:dyDescent="0.25">
      <c r="D1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1"/>
      <c r="B16" s="81"/>
      <c r="C16" s="81" t="s">
        <v>69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row r="18" spans="4:4" x14ac:dyDescent="0.25">
      <c r="D18" s="85"/>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69" t="s">
        <v>217</v>
      </c>
      <c r="M3" s="172"/>
    </row>
    <row r="6" spans="1:30" x14ac:dyDescent="0.25">
      <c r="C6" t="s">
        <v>195</v>
      </c>
      <c r="G6" s="242" t="s">
        <v>234</v>
      </c>
    </row>
    <row r="8" spans="1:30" x14ac:dyDescent="0.25">
      <c r="C8" t="s">
        <v>218</v>
      </c>
    </row>
    <row r="10" spans="1:30" x14ac:dyDescent="0.25">
      <c r="C10" t="s">
        <v>168</v>
      </c>
      <c r="J10" s="207" t="str">
        <f>ADDRESS(ROW('MP Calculations'!$G$22),COLUMN('MP Calculations'!$G$22))</f>
        <v>$G$22</v>
      </c>
      <c r="K10" t="str">
        <f ca="1">"on the "&amp;MID(CELL("filename",'MP Calculations'!$A$1),FIND("]",CELL("filename",'MP Calculations'!$A$1))+1,255)&amp;" worksheet."</f>
        <v>on the MP Calculations worksheet.</v>
      </c>
    </row>
    <row r="12" spans="1:30" x14ac:dyDescent="0.25">
      <c r="C12" s="86" t="s">
        <v>76</v>
      </c>
    </row>
    <row r="13" spans="1:30" x14ac:dyDescent="0.25">
      <c r="D13" s="85" t="s">
        <v>235</v>
      </c>
    </row>
    <row r="14" spans="1:30" x14ac:dyDescent="0.25">
      <c r="D1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1"/>
      <c r="B16" s="81"/>
      <c r="C16" s="81" t="s">
        <v>69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70" t="s">
        <v>177</v>
      </c>
    </row>
    <row r="6" spans="3:7" x14ac:dyDescent="0.25">
      <c r="C6" t="s">
        <v>195</v>
      </c>
      <c r="G6" s="172" t="s">
        <v>113</v>
      </c>
    </row>
    <row r="8" spans="3:7" x14ac:dyDescent="0.25">
      <c r="C8" s="56" t="s">
        <v>178</v>
      </c>
      <c r="G8" s="172"/>
    </row>
    <row r="10" spans="3:7" x14ac:dyDescent="0.25">
      <c r="C10" t="s">
        <v>179</v>
      </c>
      <c r="D10" t="s">
        <v>180</v>
      </c>
    </row>
    <row r="12" spans="3:7" x14ac:dyDescent="0.25">
      <c r="C12" t="s">
        <v>181</v>
      </c>
      <c r="D12" t="s">
        <v>182</v>
      </c>
    </row>
    <row r="14" spans="3:7" x14ac:dyDescent="0.25">
      <c r="C14" t="s">
        <v>183</v>
      </c>
      <c r="D14" t="s">
        <v>184</v>
      </c>
    </row>
    <row r="16" spans="3:7" x14ac:dyDescent="0.25">
      <c r="C16" t="s">
        <v>185</v>
      </c>
      <c r="D16" t="s">
        <v>253</v>
      </c>
    </row>
    <row r="18" spans="3:4" x14ac:dyDescent="0.25">
      <c r="C18" t="s">
        <v>186</v>
      </c>
      <c r="D18" t="s">
        <v>262</v>
      </c>
    </row>
    <row r="20" spans="3:4" x14ac:dyDescent="0.25">
      <c r="C20" t="s">
        <v>187</v>
      </c>
      <c r="D20" t="s">
        <v>254</v>
      </c>
    </row>
    <row r="22" spans="3:4" x14ac:dyDescent="0.25">
      <c r="D22" t="s">
        <v>61</v>
      </c>
    </row>
    <row r="24" spans="3:4" x14ac:dyDescent="0.25">
      <c r="C24" s="56" t="s">
        <v>255</v>
      </c>
    </row>
    <row r="26" spans="3:4" x14ac:dyDescent="0.25">
      <c r="C26" t="s">
        <v>263</v>
      </c>
    </row>
    <row r="28" spans="3:4" x14ac:dyDescent="0.25">
      <c r="C28" t="s">
        <v>256</v>
      </c>
      <c r="D28" t="s">
        <v>257</v>
      </c>
    </row>
    <row r="30" spans="3:4" x14ac:dyDescent="0.25">
      <c r="C30" t="s">
        <v>258</v>
      </c>
      <c r="D30" t="s">
        <v>259</v>
      </c>
    </row>
    <row r="32" spans="3:4" x14ac:dyDescent="0.25">
      <c r="C32" t="s">
        <v>260</v>
      </c>
      <c r="D32" t="s">
        <v>261</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12" t="s">
        <v>233</v>
      </c>
    </row>
    <row r="5" spans="3:7" x14ac:dyDescent="0.25">
      <c r="C5" s="56" t="s">
        <v>221</v>
      </c>
      <c r="D5" s="56" t="s">
        <v>222</v>
      </c>
      <c r="E5" s="56" t="s">
        <v>223</v>
      </c>
      <c r="F5" s="56" t="s">
        <v>224</v>
      </c>
      <c r="G5" s="56" t="s">
        <v>229</v>
      </c>
    </row>
    <row r="6" spans="3:7" ht="34.5" x14ac:dyDescent="0.25">
      <c r="C6" s="237" t="s">
        <v>225</v>
      </c>
      <c r="D6" s="237" t="s">
        <v>230</v>
      </c>
      <c r="E6" s="237" t="s">
        <v>226</v>
      </c>
      <c r="F6" s="240" t="s">
        <v>227</v>
      </c>
      <c r="G6" s="241">
        <v>43678</v>
      </c>
    </row>
    <row r="7" spans="3:7" ht="23" x14ac:dyDescent="0.25">
      <c r="C7" s="237" t="s">
        <v>225</v>
      </c>
      <c r="D7" s="237" t="s">
        <v>231</v>
      </c>
      <c r="E7" s="237" t="s">
        <v>228</v>
      </c>
      <c r="F7" s="240" t="s">
        <v>227</v>
      </c>
      <c r="G7" s="241">
        <v>43678</v>
      </c>
    </row>
    <row r="8" spans="3:7" ht="46" x14ac:dyDescent="0.25">
      <c r="C8" s="239" t="s">
        <v>236</v>
      </c>
      <c r="D8" s="239" t="s">
        <v>232</v>
      </c>
      <c r="E8" s="239" t="s">
        <v>268</v>
      </c>
      <c r="F8" s="240" t="s">
        <v>227</v>
      </c>
      <c r="G8" s="241">
        <v>43678</v>
      </c>
    </row>
    <row r="9" spans="3:7" x14ac:dyDescent="0.25">
      <c r="C9" s="238"/>
      <c r="D9" s="238"/>
      <c r="E9" s="238"/>
      <c r="F9" s="240"/>
      <c r="G9" s="241"/>
    </row>
    <row r="10" spans="3:7" x14ac:dyDescent="0.25">
      <c r="C10" s="238"/>
      <c r="D10" s="238"/>
      <c r="E10" s="238"/>
      <c r="F10" s="240"/>
      <c r="G10" s="241"/>
    </row>
    <row r="11" spans="3:7" x14ac:dyDescent="0.25">
      <c r="C11" s="238"/>
      <c r="D11" s="238"/>
      <c r="E11" s="238"/>
      <c r="F11" s="240"/>
      <c r="G11" s="241"/>
    </row>
    <row r="12" spans="3:7" x14ac:dyDescent="0.25">
      <c r="C12" s="238"/>
      <c r="D12" s="238"/>
      <c r="E12" s="238"/>
      <c r="F12" s="240"/>
      <c r="G12" s="241"/>
    </row>
    <row r="13" spans="3:7" x14ac:dyDescent="0.25">
      <c r="C13" s="238"/>
      <c r="D13" s="238"/>
      <c r="E13" s="238"/>
      <c r="F13" s="240"/>
      <c r="G13" s="241"/>
    </row>
    <row r="14" spans="3:7" x14ac:dyDescent="0.25">
      <c r="C14" s="238"/>
      <c r="D14" s="238"/>
      <c r="E14" s="238"/>
      <c r="F14" s="240"/>
      <c r="G14" s="241"/>
    </row>
    <row r="15" spans="3:7" x14ac:dyDescent="0.25">
      <c r="C15" s="238"/>
      <c r="D15" s="238"/>
      <c r="E15" s="238"/>
      <c r="F15" s="240"/>
      <c r="G15" s="241"/>
    </row>
    <row r="16" spans="3:7" x14ac:dyDescent="0.25">
      <c r="C16" s="238"/>
      <c r="D16" s="238"/>
      <c r="E16" s="238"/>
      <c r="F16" s="240"/>
      <c r="G16" s="241"/>
    </row>
    <row r="17" spans="3:7" x14ac:dyDescent="0.25">
      <c r="C17" s="238"/>
      <c r="D17" s="238"/>
      <c r="E17" s="238"/>
      <c r="F17" s="240"/>
      <c r="G17" s="241"/>
    </row>
    <row r="18" spans="3:7" x14ac:dyDescent="0.25">
      <c r="C18" s="238"/>
      <c r="D18" s="238"/>
      <c r="E18" s="238"/>
      <c r="F18" s="240"/>
      <c r="G18" s="241"/>
    </row>
    <row r="19" spans="3:7" x14ac:dyDescent="0.25">
      <c r="C19" s="238"/>
      <c r="D19" s="238"/>
      <c r="E19" s="238"/>
      <c r="F19" s="240"/>
      <c r="G19" s="241"/>
    </row>
    <row r="20" spans="3:7" x14ac:dyDescent="0.25">
      <c r="C20" s="238"/>
      <c r="D20" s="238"/>
      <c r="E20" s="238"/>
      <c r="F20" s="240"/>
      <c r="G20" s="241"/>
    </row>
    <row r="21" spans="3:7" x14ac:dyDescent="0.25">
      <c r="C21" s="238"/>
      <c r="D21" s="238"/>
      <c r="E21" s="238"/>
      <c r="F21" s="240"/>
      <c r="G21" s="241"/>
    </row>
    <row r="22" spans="3:7" x14ac:dyDescent="0.25">
      <c r="C22" s="238"/>
      <c r="D22" s="238"/>
      <c r="E22" s="238"/>
      <c r="F22" s="240"/>
      <c r="G22" s="241"/>
    </row>
    <row r="23" spans="3:7" x14ac:dyDescent="0.25">
      <c r="C23" s="238"/>
      <c r="D23" s="238"/>
      <c r="E23" s="238"/>
      <c r="F23" s="240"/>
      <c r="G23" s="2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O10" sqref="O10"/>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224" t="s">
        <v>190</v>
      </c>
    </row>
    <row r="5" spans="1:17" hidden="1" outlineLevel="1" x14ac:dyDescent="0.25">
      <c r="D5" t="s">
        <v>241</v>
      </c>
      <c r="Q5" s="246" t="s">
        <v>234</v>
      </c>
    </row>
    <row r="6" spans="1:17" hidden="1" outlineLevel="1" x14ac:dyDescent="0.25">
      <c r="Q6" s="246"/>
    </row>
    <row r="7" spans="1:17" hidden="1" outlineLevel="1" x14ac:dyDescent="0.25"/>
    <row r="8" spans="1:17" collapsed="1" x14ac:dyDescent="0.25">
      <c r="D8" s="2" t="str">
        <f>"The maximum price for the new development area '"&amp;'General inputs'!H7&amp;"' is:"</f>
        <v>The maximum price for the new development area 'Nepean River Wastewater' is:</v>
      </c>
      <c r="J8" s="83">
        <f>G19</f>
        <v>16020.401258019292</v>
      </c>
      <c r="K8" t="str">
        <f>"per ET ($"&amp;'General inputs'!$I$40&amp;")."</f>
        <v>per ET ($2022-23).</v>
      </c>
    </row>
    <row r="10" spans="1:17" x14ac:dyDescent="0.25">
      <c r="A10" s="147"/>
      <c r="B10" s="147"/>
      <c r="C10" s="2"/>
      <c r="D10" s="148" t="s">
        <v>100</v>
      </c>
      <c r="E10" s="2"/>
      <c r="F10" s="2"/>
      <c r="G10" s="2"/>
      <c r="H10" s="2"/>
      <c r="J10" s="210">
        <f>IF($J$8&lt;=0,0,IF('General inputs'!$H$42='General inputs'!$L$37,'MP Calculations'!F22,IF('General inputs'!$H$42='General inputs'!$L$38,'MP Calculations'!F22*1000,'MP Calculations'!F22*1000000)))</f>
        <v>0</v>
      </c>
      <c r="K10" s="2" t="s">
        <v>87</v>
      </c>
      <c r="L10" s="2"/>
      <c r="M10" s="2"/>
    </row>
    <row r="12" spans="1:17" x14ac:dyDescent="0.25">
      <c r="G12" s="2"/>
    </row>
    <row r="13" spans="1:17" x14ac:dyDescent="0.25">
      <c r="D13" s="148" t="s">
        <v>191</v>
      </c>
      <c r="G13" s="2"/>
    </row>
    <row r="14" spans="1:17" x14ac:dyDescent="0.25">
      <c r="G14" s="2"/>
    </row>
    <row r="15" spans="1:17" x14ac:dyDescent="0.25">
      <c r="G15" s="2"/>
    </row>
    <row r="17" spans="4:21" x14ac:dyDescent="0.25">
      <c r="D17" t="str">
        <f>"in $, $"&amp;'General inputs'!$I$40&amp;", where:"</f>
        <v>in $, $2022-23, where:</v>
      </c>
    </row>
    <row r="19" spans="4:21" x14ac:dyDescent="0.25">
      <c r="E19" t="s">
        <v>207</v>
      </c>
      <c r="F19" s="47" t="s">
        <v>66</v>
      </c>
      <c r="G19" s="171">
        <f>IF('General inputs'!$H$42='General inputs'!$L$37,'MP Calculations'!C22,IF('General inputs'!$H$42='General inputs'!$L$38,'MP Calculations'!C22*1000,'MP Calculations'!C22*1000000))</f>
        <v>16020.401258019292</v>
      </c>
      <c r="H19" s="47" t="s">
        <v>66</v>
      </c>
      <c r="I19" s="228" t="s">
        <v>242</v>
      </c>
      <c r="J19" s="2"/>
      <c r="K19" s="2"/>
      <c r="L19" s="2"/>
      <c r="M19" s="2"/>
      <c r="N19" s="2"/>
      <c r="O19" s="2"/>
      <c r="P19" s="2"/>
      <c r="Q19" s="2"/>
      <c r="R19" s="2"/>
      <c r="S19" s="2"/>
      <c r="T19" s="2"/>
      <c r="U19" s="2"/>
    </row>
    <row r="20" spans="4:21" ht="13.5" x14ac:dyDescent="0.35">
      <c r="E20" t="s">
        <v>70</v>
      </c>
      <c r="F20" s="47" t="s">
        <v>66</v>
      </c>
      <c r="G20" s="171">
        <f>IF('General inputs'!$H$42='General inputs'!$L$37,'MP Calculations'!H20,IF('General inputs'!$H$42='General inputs'!$L$38,'MP Calculations'!H20*1000,'MP Calculations'!H20*1000000))</f>
        <v>437541752.17301565</v>
      </c>
      <c r="H20" s="47" t="s">
        <v>66</v>
      </c>
      <c r="I20" s="2" t="s">
        <v>170</v>
      </c>
      <c r="J20" s="2"/>
      <c r="K20" s="2"/>
      <c r="L20" s="2"/>
      <c r="M20" s="2"/>
      <c r="N20" s="2"/>
      <c r="O20" s="2"/>
      <c r="P20" s="2"/>
      <c r="Q20" s="2"/>
      <c r="R20" s="2"/>
      <c r="S20" s="2"/>
      <c r="T20" s="2"/>
      <c r="U20" s="2"/>
    </row>
    <row r="21" spans="4:21" ht="13.5" x14ac:dyDescent="0.35">
      <c r="E21" t="s">
        <v>71</v>
      </c>
      <c r="F21" s="47" t="s">
        <v>66</v>
      </c>
      <c r="G21" s="171">
        <f>IF('General inputs'!$H$42='General inputs'!$L$37,SUM('MP Calculations'!I20:K20),IF('General inputs'!$H$42='General inputs'!$L$38,SUM('MP Calculations'!I20:K20)*1000,SUM('MP Calculations'!I20:K20)*1000000))</f>
        <v>2718850294.8897796</v>
      </c>
      <c r="H21" s="47" t="s">
        <v>66</v>
      </c>
      <c r="I21" s="2" t="s">
        <v>171</v>
      </c>
      <c r="J21" s="2"/>
      <c r="K21" s="2"/>
      <c r="L21" s="2"/>
      <c r="M21" s="2"/>
      <c r="N21" s="2"/>
      <c r="O21" s="2"/>
      <c r="P21" s="2"/>
      <c r="Q21" s="2"/>
      <c r="R21" s="2"/>
      <c r="S21" s="2"/>
      <c r="T21" s="2"/>
      <c r="U21" s="2"/>
    </row>
    <row r="22" spans="4:21" ht="13.5" x14ac:dyDescent="0.35">
      <c r="E22" t="s">
        <v>265</v>
      </c>
      <c r="F22" s="47" t="s">
        <v>66</v>
      </c>
      <c r="G22" s="82">
        <f>'MP Calculations'!H21</f>
        <v>208965.72865470476</v>
      </c>
      <c r="H22" s="47" t="s">
        <v>66</v>
      </c>
      <c r="I22" s="226" t="s">
        <v>172</v>
      </c>
      <c r="J22" s="227"/>
      <c r="K22" s="227"/>
      <c r="L22" s="227"/>
      <c r="M22" s="227"/>
      <c r="N22" s="227"/>
      <c r="O22" s="227"/>
      <c r="P22" s="227"/>
      <c r="Q22" s="227"/>
      <c r="R22" s="227"/>
      <c r="S22" s="227"/>
      <c r="T22" s="227"/>
      <c r="U22" s="227"/>
    </row>
    <row r="23" spans="4:21" ht="13.5" x14ac:dyDescent="0.35">
      <c r="E23" t="s">
        <v>266</v>
      </c>
      <c r="F23" s="47" t="s">
        <v>66</v>
      </c>
      <c r="G23" s="82">
        <f>'MP Calculations'!J21</f>
        <v>196228.15030357256</v>
      </c>
      <c r="H23" s="47" t="s">
        <v>66</v>
      </c>
      <c r="I23" s="226" t="s">
        <v>173</v>
      </c>
      <c r="J23" s="227"/>
      <c r="K23" s="227"/>
      <c r="L23" s="227"/>
      <c r="M23" s="227"/>
      <c r="N23" s="227"/>
      <c r="O23" s="227"/>
      <c r="P23" s="227"/>
      <c r="Q23" s="227"/>
      <c r="R23" s="227"/>
      <c r="S23" s="227"/>
      <c r="T23" s="227"/>
      <c r="U23" s="227"/>
    </row>
    <row r="24" spans="4:21" ht="13.5" x14ac:dyDescent="0.35">
      <c r="E24" t="s">
        <v>267</v>
      </c>
      <c r="F24" s="47" t="s">
        <v>66</v>
      </c>
      <c r="G24" s="82">
        <f>'MP Calculations'!L21</f>
        <v>143314.44582995048</v>
      </c>
      <c r="H24" s="47" t="s">
        <v>66</v>
      </c>
      <c r="I24" s="226" t="s">
        <v>174</v>
      </c>
      <c r="J24" s="227"/>
      <c r="K24" s="227"/>
      <c r="L24" s="227"/>
      <c r="M24" s="227"/>
      <c r="N24" s="227"/>
      <c r="O24" s="227"/>
      <c r="P24" s="227"/>
      <c r="Q24" s="227"/>
      <c r="R24" s="227"/>
      <c r="S24" s="227"/>
      <c r="T24" s="227"/>
      <c r="U24" s="227"/>
    </row>
    <row r="25" spans="4:21" ht="13.5" x14ac:dyDescent="0.35">
      <c r="E25" t="s">
        <v>72</v>
      </c>
      <c r="F25" s="47" t="s">
        <v>66</v>
      </c>
      <c r="G25" s="171">
        <f>'MP Calculations'!R29</f>
        <v>272855804.7054624</v>
      </c>
      <c r="H25" s="47" t="s">
        <v>66</v>
      </c>
      <c r="I25" s="2" t="s">
        <v>175</v>
      </c>
      <c r="J25" s="2"/>
      <c r="K25" s="2"/>
      <c r="L25" s="2"/>
      <c r="M25" s="2"/>
      <c r="N25" s="2"/>
      <c r="O25" s="2"/>
      <c r="P25" s="2"/>
      <c r="Q25" s="2"/>
      <c r="R25" s="2"/>
      <c r="S25" s="2"/>
      <c r="T25" s="2"/>
      <c r="U25" s="2"/>
    </row>
    <row r="26" spans="4:21" ht="13.5" x14ac:dyDescent="0.35">
      <c r="E26" t="s">
        <v>73</v>
      </c>
      <c r="F26" s="47" t="s">
        <v>66</v>
      </c>
      <c r="G26" s="171">
        <f>'MP Calculations'!U29</f>
        <v>283031107.9115932</v>
      </c>
      <c r="H26" s="47" t="s">
        <v>66</v>
      </c>
      <c r="I26" s="2" t="s">
        <v>176</v>
      </c>
      <c r="J26" s="2"/>
      <c r="K26" s="2"/>
      <c r="L26" s="2"/>
      <c r="M26" s="2"/>
      <c r="N26" s="2"/>
      <c r="O26" s="2"/>
      <c r="P26" s="2"/>
      <c r="Q26" s="2"/>
      <c r="R26" s="2"/>
      <c r="S26" s="2"/>
      <c r="T26" s="2"/>
      <c r="U26" s="2"/>
    </row>
    <row r="27" spans="4:21" x14ac:dyDescent="0.25">
      <c r="E27" t="s">
        <v>74</v>
      </c>
      <c r="F27" s="47" t="s">
        <v>66</v>
      </c>
      <c r="G27" s="39" t="str">
        <f>INDEX('MP Calculations'!$D$39:$D$129,MATCH('General inputs'!$H$38-1,'MP Calculations'!C39:C129))</f>
        <v>2051-52</v>
      </c>
      <c r="H27" s="47" t="s">
        <v>66</v>
      </c>
      <c r="I27" s="2" t="s">
        <v>264</v>
      </c>
      <c r="J27" s="2"/>
      <c r="K27" s="2"/>
      <c r="L27" s="2"/>
      <c r="M27" s="2"/>
      <c r="N27" s="2"/>
      <c r="O27" s="2"/>
      <c r="P27" s="2"/>
      <c r="Q27" s="2"/>
      <c r="R27" s="2"/>
      <c r="S27" s="2"/>
      <c r="T27" s="2"/>
      <c r="U27" s="2"/>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70" zoomScaleNormal="70" workbookViewId="0">
      <selection activeCell="D28" sqref="D28"/>
    </sheetView>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25" x14ac:dyDescent="0.25">
      <c r="A1" t="s">
        <v>61</v>
      </c>
    </row>
    <row r="3" spans="1:25" ht="20" x14ac:dyDescent="0.4">
      <c r="C3" s="70" t="s">
        <v>200</v>
      </c>
    </row>
    <row r="5" spans="1:25" hidden="1" outlineLevel="1" x14ac:dyDescent="0.25"/>
    <row r="6" spans="1:25" ht="15.5" hidden="1" outlineLevel="1" x14ac:dyDescent="0.35">
      <c r="C6" s="3" t="s">
        <v>34</v>
      </c>
      <c r="E6" s="52"/>
    </row>
    <row r="7" spans="1:25" hidden="1" outlineLevel="1" x14ac:dyDescent="0.25">
      <c r="B7" s="64"/>
      <c r="C7" s="51"/>
      <c r="D7" s="51"/>
      <c r="E7" s="51"/>
      <c r="F7" s="51"/>
      <c r="G7" s="51"/>
      <c r="H7" s="51"/>
      <c r="I7" s="51"/>
      <c r="J7" s="51"/>
      <c r="K7" s="65"/>
    </row>
    <row r="8" spans="1:25" hidden="1" outlineLevel="1" x14ac:dyDescent="0.25">
      <c r="B8" s="66"/>
      <c r="C8" s="1"/>
      <c r="D8" s="1"/>
      <c r="F8" s="1"/>
      <c r="G8" s="1"/>
      <c r="H8" s="1"/>
      <c r="I8" s="1"/>
      <c r="J8" s="60" t="s">
        <v>35</v>
      </c>
      <c r="K8" s="67"/>
    </row>
    <row r="9" spans="1:25" hidden="1" outlineLevel="1" x14ac:dyDescent="0.25">
      <c r="A9" s="72">
        <v>1</v>
      </c>
      <c r="B9" s="66"/>
      <c r="C9" s="91" t="str">
        <f>"Table "&amp;A9&amp;":  Calculation of maximum price ("&amp;'General inputs'!H42&amp;", $"&amp;'General inputs'!I40&amp;")"</f>
        <v>Table 1:  Calculation of maximum price ($, $2022-23)</v>
      </c>
      <c r="D9" s="92"/>
      <c r="E9" s="92"/>
      <c r="F9" s="91"/>
      <c r="G9" s="91"/>
      <c r="H9" s="91"/>
      <c r="I9" s="91"/>
      <c r="J9" s="91">
        <f>ROW(C17)</f>
        <v>17</v>
      </c>
      <c r="K9" s="93"/>
      <c r="L9" s="92"/>
      <c r="M9" s="92"/>
      <c r="N9" s="92"/>
      <c r="O9" s="92"/>
      <c r="P9" s="92"/>
      <c r="Q9" s="92"/>
      <c r="R9" s="92"/>
      <c r="U9" s="92"/>
      <c r="V9" s="92"/>
      <c r="W9" s="92"/>
      <c r="X9" s="92"/>
      <c r="Y9" s="92"/>
    </row>
    <row r="10" spans="1:25" hidden="1" outlineLevel="1" x14ac:dyDescent="0.25">
      <c r="A10" s="102">
        <f>A9+1</f>
        <v>2</v>
      </c>
      <c r="B10" s="103"/>
      <c r="C10" s="91" t="str">
        <f>"Table "&amp;A10&amp;":  Key variables used in maximum price calculation ("&amp;'General inputs'!H42&amp;", $"&amp;'General inputs'!I40&amp;")"</f>
        <v>Table 2:  Key variables used in maximum price calculation ($, $2022-23)</v>
      </c>
      <c r="D10" s="92"/>
      <c r="E10" s="92"/>
      <c r="F10" s="91"/>
      <c r="G10" s="91"/>
      <c r="H10" s="91"/>
      <c r="I10" s="91"/>
      <c r="J10" s="91">
        <f>ROW(C26)</f>
        <v>26</v>
      </c>
      <c r="K10" s="93"/>
      <c r="L10" s="92"/>
      <c r="M10" s="92"/>
      <c r="N10" s="92"/>
      <c r="O10" s="92"/>
      <c r="P10" s="92"/>
      <c r="Q10" s="92"/>
      <c r="R10" s="92"/>
      <c r="U10" s="92"/>
      <c r="V10" s="92"/>
      <c r="W10" s="92"/>
      <c r="X10" s="92"/>
      <c r="Y10" s="92"/>
    </row>
    <row r="11" spans="1:25" hidden="1" outlineLevel="1" x14ac:dyDescent="0.25">
      <c r="A11" s="102">
        <f>A10+1</f>
        <v>3</v>
      </c>
      <c r="B11" s="103"/>
      <c r="C11" s="91" t="str">
        <f>"Table "&amp;A11&amp;":  Annual calculation over analysis horizon ("&amp;'General inputs'!H42&amp;", $"&amp;'General inputs'!I40&amp;")"</f>
        <v>Table 3:  Annual calculation over analysis horizon ($, $2022-23)</v>
      </c>
      <c r="D11" s="92"/>
      <c r="E11" s="92"/>
      <c r="F11" s="91"/>
      <c r="G11" s="91"/>
      <c r="H11" s="91"/>
      <c r="I11" s="91"/>
      <c r="J11" s="91">
        <f>ROW(C35)</f>
        <v>35</v>
      </c>
      <c r="K11" s="93"/>
      <c r="L11" s="92"/>
      <c r="M11" s="92"/>
      <c r="N11" s="92"/>
      <c r="O11" s="92"/>
      <c r="P11" s="92"/>
      <c r="Q11" s="92"/>
      <c r="R11" s="92"/>
      <c r="S11" s="92"/>
      <c r="T11" s="92"/>
      <c r="U11" s="92"/>
      <c r="V11" s="92"/>
      <c r="W11" s="92"/>
      <c r="X11" s="92"/>
      <c r="Y11" s="92"/>
    </row>
    <row r="12" spans="1:25" hidden="1" outlineLevel="1" x14ac:dyDescent="0.25">
      <c r="A12" s="92"/>
      <c r="B12" s="104"/>
      <c r="C12" s="94"/>
      <c r="D12" s="94"/>
      <c r="E12" s="94"/>
      <c r="F12" s="94"/>
      <c r="G12" s="94"/>
      <c r="H12" s="94"/>
      <c r="I12" s="94"/>
      <c r="J12" s="94"/>
      <c r="K12" s="95"/>
      <c r="L12" s="92"/>
      <c r="M12" s="92"/>
      <c r="N12" s="92"/>
      <c r="O12" s="92"/>
      <c r="P12" s="92"/>
      <c r="Q12" s="92"/>
      <c r="R12" s="92"/>
      <c r="S12" s="92"/>
      <c r="T12" s="92"/>
      <c r="U12" s="92"/>
      <c r="V12" s="92"/>
      <c r="W12" s="92"/>
      <c r="X12" s="92"/>
      <c r="Y12" s="92"/>
    </row>
    <row r="13" spans="1:25" hidden="1" outlineLevel="1" x14ac:dyDescent="0.25">
      <c r="A13" s="92"/>
      <c r="B13" s="91"/>
      <c r="C13" s="91"/>
      <c r="D13" s="91"/>
      <c r="E13" s="96"/>
      <c r="F13" s="91"/>
      <c r="G13" s="91"/>
      <c r="H13" s="91"/>
      <c r="I13" s="91"/>
      <c r="J13" s="91"/>
      <c r="K13" s="91"/>
      <c r="L13" s="92"/>
      <c r="M13" s="92"/>
      <c r="N13" s="92"/>
      <c r="O13" s="92"/>
      <c r="P13" s="92"/>
      <c r="Q13" s="92"/>
      <c r="R13" s="92"/>
      <c r="S13" s="92"/>
      <c r="T13" s="92"/>
      <c r="U13" s="92"/>
      <c r="V13" s="92"/>
      <c r="W13" s="92"/>
      <c r="X13" s="92"/>
      <c r="Y13" s="92"/>
    </row>
    <row r="14" spans="1:25" hidden="1" outlineLevel="1" x14ac:dyDescent="0.25">
      <c r="A14" s="92"/>
      <c r="B14" s="175" t="str">
        <f>"Note:  an input is required in "&amp;ADDRESS(ROW($G$22),COLUMN($G$22))&amp;" to incorporate the Headwork costs per ET into the maximum price."</f>
        <v>Note:  an input is required in $G$22 to incorporate the Headwork costs per ET into the maximum price.</v>
      </c>
      <c r="C14" s="91"/>
      <c r="D14" s="91"/>
      <c r="E14" s="91"/>
      <c r="F14" s="91"/>
      <c r="G14" s="91"/>
      <c r="H14" s="91"/>
      <c r="I14" s="91"/>
      <c r="J14" s="91"/>
      <c r="K14" s="91"/>
      <c r="L14" s="92"/>
      <c r="M14" s="92"/>
      <c r="N14" s="92"/>
      <c r="O14" s="92"/>
      <c r="P14" s="92"/>
      <c r="Q14" s="92"/>
      <c r="R14" s="92"/>
      <c r="S14" s="92"/>
      <c r="T14" s="92"/>
      <c r="U14" s="92"/>
      <c r="V14" s="92"/>
      <c r="W14" s="92"/>
      <c r="X14" s="92"/>
      <c r="Y14" s="92"/>
    </row>
    <row r="15" spans="1:25" hidden="1" outlineLevel="1" x14ac:dyDescent="0.25">
      <c r="A15" s="92"/>
      <c r="B15" s="175" t="str">
        <f>"Note:  an input is required in "&amp;ADDRESS(ROW($F$22),COLUMN($F$22))&amp;" to incorporate the Scheme cost allocation per ET into the maximum price."</f>
        <v>Note:  an input is required in $F$22 to incorporate the Scheme cost allocation per ET into the maximum price.</v>
      </c>
      <c r="C15" s="91"/>
      <c r="D15" s="91"/>
      <c r="E15" s="91"/>
      <c r="F15" s="91"/>
      <c r="G15" s="91"/>
      <c r="H15" s="91"/>
      <c r="I15" s="91"/>
      <c r="J15" s="91"/>
      <c r="K15" s="91"/>
      <c r="L15" s="92"/>
      <c r="M15" s="92"/>
      <c r="N15" s="92"/>
      <c r="O15" s="92"/>
      <c r="P15" s="92"/>
      <c r="Q15" s="92"/>
      <c r="R15" s="92"/>
      <c r="S15" s="92"/>
      <c r="T15" s="92"/>
      <c r="U15" s="92"/>
      <c r="V15" s="92"/>
      <c r="W15" s="92"/>
      <c r="X15" s="92"/>
      <c r="Y15" s="92"/>
    </row>
    <row r="16" spans="1:25" collapsed="1" x14ac:dyDescent="0.25">
      <c r="A16" s="92"/>
      <c r="B16" s="92"/>
      <c r="C16" s="92"/>
      <c r="D16" s="92"/>
      <c r="F16" s="92"/>
      <c r="G16" s="92"/>
      <c r="H16" s="92"/>
      <c r="I16" s="92"/>
      <c r="J16" s="92"/>
      <c r="K16" s="92"/>
      <c r="L16" s="92"/>
      <c r="M16" s="92"/>
      <c r="N16" s="92"/>
      <c r="O16" s="92"/>
      <c r="P16" s="92"/>
      <c r="Q16" s="92"/>
      <c r="R16" s="92"/>
      <c r="S16" s="92"/>
      <c r="T16" s="92"/>
      <c r="U16" s="92"/>
      <c r="V16" s="92"/>
      <c r="W16" s="92"/>
      <c r="X16" s="92"/>
      <c r="Y16" s="92"/>
    </row>
    <row r="17" spans="1:25" ht="18" x14ac:dyDescent="0.4">
      <c r="A17" s="92"/>
      <c r="B17" s="92"/>
      <c r="C17" s="97" t="str">
        <f>C9</f>
        <v>Table 1:  Calculation of maximum price ($, $2022-23)</v>
      </c>
      <c r="D17" s="92"/>
      <c r="E17" s="94"/>
      <c r="F17" s="92"/>
      <c r="G17" s="92"/>
      <c r="H17" s="92"/>
      <c r="I17" s="92"/>
      <c r="J17" s="92"/>
      <c r="K17" s="92"/>
      <c r="L17" s="92"/>
      <c r="M17" s="92"/>
      <c r="N17" s="92"/>
      <c r="O17" s="92"/>
      <c r="P17" s="92"/>
      <c r="Q17" s="92"/>
      <c r="R17" s="92"/>
      <c r="S17" s="92"/>
      <c r="T17" s="92"/>
      <c r="U17" s="92"/>
      <c r="V17" s="92"/>
      <c r="W17" s="92"/>
      <c r="X17" s="92"/>
      <c r="Y17" s="92"/>
    </row>
    <row r="18" spans="1:25" x14ac:dyDescent="0.25">
      <c r="A18" s="92"/>
      <c r="B18" s="105"/>
      <c r="C18" s="188"/>
      <c r="D18" s="173"/>
      <c r="E18" s="173"/>
      <c r="F18" s="188"/>
      <c r="G18" s="188"/>
      <c r="H18" s="188"/>
      <c r="I18" s="173"/>
      <c r="J18" s="188"/>
      <c r="K18" s="188"/>
      <c r="L18" s="96"/>
      <c r="M18" s="98"/>
      <c r="N18" s="92"/>
      <c r="O18" s="92"/>
      <c r="P18" s="92"/>
      <c r="Q18" s="92"/>
      <c r="R18" s="92"/>
      <c r="S18" s="92"/>
      <c r="T18" s="92"/>
      <c r="U18" s="92"/>
      <c r="V18" s="92"/>
      <c r="W18" s="92"/>
      <c r="X18" s="92"/>
      <c r="Y18" s="92"/>
    </row>
    <row r="19" spans="1:25" ht="46" x14ac:dyDescent="0.25">
      <c r="A19" s="92"/>
      <c r="B19" s="103"/>
      <c r="C19" s="99" t="s">
        <v>201</v>
      </c>
      <c r="F19" s="196" t="s">
        <v>149</v>
      </c>
      <c r="G19" s="196" t="s">
        <v>219</v>
      </c>
      <c r="H19" s="195" t="s">
        <v>131</v>
      </c>
      <c r="I19" s="197"/>
      <c r="J19" s="195" t="s">
        <v>132</v>
      </c>
      <c r="K19" s="195" t="s">
        <v>133</v>
      </c>
      <c r="L19" s="195" t="s">
        <v>151</v>
      </c>
      <c r="M19" s="93"/>
      <c r="N19" s="92"/>
      <c r="O19" s="92"/>
      <c r="P19" s="92"/>
      <c r="Q19" s="92"/>
      <c r="R19" s="92"/>
      <c r="S19" s="92"/>
      <c r="T19" s="92"/>
      <c r="U19" s="92"/>
      <c r="V19" s="92"/>
      <c r="W19" s="92"/>
      <c r="X19" s="92"/>
      <c r="Y19" s="92"/>
    </row>
    <row r="20" spans="1:25" x14ac:dyDescent="0.25">
      <c r="A20" s="92"/>
      <c r="B20" s="103"/>
      <c r="C20" s="91"/>
      <c r="E20" s="101" t="s">
        <v>148</v>
      </c>
      <c r="F20" s="91"/>
      <c r="H20" s="198">
        <f>K29</f>
        <v>437541752.17301565</v>
      </c>
      <c r="I20" s="200"/>
      <c r="J20" s="201">
        <f>M29</f>
        <v>429709474.87840194</v>
      </c>
      <c r="K20" s="201">
        <f>O29</f>
        <v>2289140820.0113778</v>
      </c>
      <c r="L20" s="198">
        <f>R29-U29</f>
        <v>-10175303.206130803</v>
      </c>
      <c r="M20" s="93"/>
      <c r="N20" s="92"/>
      <c r="O20" s="313"/>
      <c r="P20" s="92"/>
      <c r="Q20" s="314"/>
      <c r="R20" s="92"/>
      <c r="S20" s="92"/>
      <c r="T20" s="92"/>
      <c r="U20" s="92"/>
      <c r="V20" s="92"/>
      <c r="W20" s="92"/>
      <c r="X20" s="92"/>
      <c r="Y20" s="92"/>
    </row>
    <row r="21" spans="1:25" x14ac:dyDescent="0.25">
      <c r="A21" s="92"/>
      <c r="B21" s="103"/>
      <c r="C21" s="91"/>
      <c r="E21" s="101" t="s">
        <v>21</v>
      </c>
      <c r="F21" s="94"/>
      <c r="H21" s="198">
        <f>F29</f>
        <v>208965.72865470476</v>
      </c>
      <c r="I21" s="200"/>
      <c r="J21" s="201">
        <f>G29</f>
        <v>196228.15030357256</v>
      </c>
      <c r="K21" s="201">
        <f>G29</f>
        <v>196228.15030357256</v>
      </c>
      <c r="L21" s="198">
        <f>H29</f>
        <v>143314.44582995048</v>
      </c>
      <c r="M21" s="93"/>
      <c r="N21" s="92"/>
      <c r="O21" s="313"/>
      <c r="P21" s="92"/>
      <c r="Q21" s="314"/>
      <c r="R21" s="92"/>
      <c r="S21" s="92"/>
      <c r="T21" s="92"/>
      <c r="U21" s="92"/>
      <c r="V21" s="92"/>
      <c r="W21" s="92"/>
      <c r="X21" s="92"/>
      <c r="Y21" s="92"/>
    </row>
    <row r="22" spans="1:25" ht="12" customHeight="1" x14ac:dyDescent="0.25">
      <c r="B22" s="66"/>
      <c r="C22" s="106">
        <f>IF(SUM(F22:K22,-L22)&lt;0,0,SUM(F22:K22,-L22))</f>
        <v>16020.401258019292</v>
      </c>
      <c r="E22" s="101" t="s">
        <v>150</v>
      </c>
      <c r="F22" s="199"/>
      <c r="G22" s="199"/>
      <c r="H22" s="334">
        <f>H20/H21</f>
        <v>2093.8445504430547</v>
      </c>
      <c r="I22" s="335"/>
      <c r="J22" s="336">
        <f>J20/J21</f>
        <v>2189.8462285539804</v>
      </c>
      <c r="K22" s="336">
        <f>K20/K21</f>
        <v>11665.710635655425</v>
      </c>
      <c r="L22" s="334">
        <f>L20/L21</f>
        <v>-70.999843366831925</v>
      </c>
      <c r="M22" s="67"/>
      <c r="O22" s="46"/>
      <c r="Q22" s="314"/>
    </row>
    <row r="23" spans="1:25" x14ac:dyDescent="0.25">
      <c r="B23" s="68"/>
      <c r="C23" s="71"/>
      <c r="D23" s="52"/>
      <c r="E23" s="52"/>
      <c r="F23" s="52"/>
      <c r="G23" s="52"/>
      <c r="H23" s="52"/>
      <c r="I23" s="52"/>
      <c r="J23" s="52"/>
      <c r="K23" s="52"/>
      <c r="L23" s="52"/>
      <c r="M23" s="69"/>
    </row>
    <row r="24" spans="1:25" x14ac:dyDescent="0.25">
      <c r="E24" s="51"/>
    </row>
    <row r="25" spans="1:25" x14ac:dyDescent="0.25">
      <c r="C25" s="50"/>
      <c r="D25" s="63"/>
    </row>
    <row r="26" spans="1:25" ht="18" x14ac:dyDescent="0.4">
      <c r="C26" s="97" t="str">
        <f>C10</f>
        <v>Table 2:  Key variables used in maximum price calculation ($, $2022-23)</v>
      </c>
      <c r="D26" s="107"/>
      <c r="E26" s="92"/>
      <c r="F26" s="92"/>
      <c r="G26" s="92"/>
      <c r="H26" s="92"/>
      <c r="I26" s="92"/>
      <c r="J26" s="92"/>
      <c r="K26" s="92"/>
      <c r="L26" s="92"/>
      <c r="M26" s="92"/>
      <c r="N26" s="92"/>
      <c r="O26" s="92"/>
      <c r="P26" s="92"/>
      <c r="Q26" s="92"/>
      <c r="R26" s="92"/>
      <c r="S26" s="92"/>
      <c r="T26" s="92"/>
      <c r="U26" s="92"/>
      <c r="V26" s="92"/>
      <c r="W26" s="92"/>
      <c r="X26" s="92"/>
      <c r="Y26" s="92"/>
    </row>
    <row r="27" spans="1:25" ht="18" x14ac:dyDescent="0.4">
      <c r="B27" s="64"/>
      <c r="C27" s="108"/>
      <c r="D27" s="109"/>
      <c r="E27" s="96"/>
      <c r="F27" s="96"/>
      <c r="G27" s="96"/>
      <c r="H27" s="96"/>
      <c r="I27" s="96"/>
      <c r="J27" s="96"/>
      <c r="K27" s="96"/>
      <c r="L27" s="96"/>
      <c r="M27" s="96"/>
      <c r="N27" s="96"/>
      <c r="O27" s="96"/>
      <c r="P27" s="96"/>
      <c r="Q27" s="96"/>
      <c r="R27" s="96"/>
      <c r="S27" s="96"/>
      <c r="T27" s="96"/>
      <c r="U27" s="96"/>
      <c r="V27" s="98"/>
      <c r="W27" s="92"/>
    </row>
    <row r="28" spans="1:25" ht="92" x14ac:dyDescent="0.25">
      <c r="B28" s="66"/>
      <c r="C28" s="91"/>
      <c r="D28" s="91"/>
      <c r="E28" s="203" t="s">
        <v>33</v>
      </c>
      <c r="F28" s="203" t="s">
        <v>152</v>
      </c>
      <c r="G28" s="203" t="s">
        <v>153</v>
      </c>
      <c r="H28" s="203" t="s">
        <v>154</v>
      </c>
      <c r="I28" s="204"/>
      <c r="J28" s="204"/>
      <c r="K28" s="203" t="s">
        <v>165</v>
      </c>
      <c r="L28" s="204"/>
      <c r="M28" s="203" t="s">
        <v>166</v>
      </c>
      <c r="N28" s="204"/>
      <c r="O28" s="203" t="s">
        <v>167</v>
      </c>
      <c r="P28" s="204"/>
      <c r="Q28" s="204"/>
      <c r="R28" s="203" t="s">
        <v>169</v>
      </c>
      <c r="S28" s="91"/>
      <c r="T28" s="91"/>
      <c r="U28" s="203" t="s">
        <v>155</v>
      </c>
      <c r="V28" s="93"/>
      <c r="W28" s="92"/>
    </row>
    <row r="29" spans="1:25" x14ac:dyDescent="0.25">
      <c r="B29" s="66"/>
      <c r="D29" s="1"/>
      <c r="E29" s="187">
        <f>SUM(E39:E129)</f>
        <v>273635.33336357231</v>
      </c>
      <c r="F29" s="110">
        <f t="shared" ref="F29:H29" si="0">SUM(F39:F129)</f>
        <v>208965.72865470476</v>
      </c>
      <c r="G29" s="110">
        <f t="shared" si="0"/>
        <v>196228.15030357256</v>
      </c>
      <c r="H29" s="106">
        <f t="shared" si="0"/>
        <v>143314.44582995048</v>
      </c>
      <c r="I29" s="1"/>
      <c r="J29" s="1"/>
      <c r="K29" s="110">
        <f>K39</f>
        <v>437541752.17301565</v>
      </c>
      <c r="L29" s="1"/>
      <c r="M29" s="110">
        <f>SUM(M39:M129)</f>
        <v>429709474.87840194</v>
      </c>
      <c r="N29" s="1"/>
      <c r="O29" s="110">
        <f>SUM(O39:O129)</f>
        <v>2289140820.0113778</v>
      </c>
      <c r="P29" s="1"/>
      <c r="Q29" s="1"/>
      <c r="R29" s="110">
        <f>SUM(R39:R129)</f>
        <v>272855804.7054624</v>
      </c>
      <c r="S29" s="1"/>
      <c r="T29" s="1"/>
      <c r="U29" s="110">
        <f>SUM(U39:U129)</f>
        <v>283031107.9115932</v>
      </c>
      <c r="V29" s="67"/>
    </row>
    <row r="30" spans="1:25" x14ac:dyDescent="0.25">
      <c r="B30" s="68"/>
      <c r="C30" s="52"/>
      <c r="D30" s="52"/>
      <c r="E30" s="52"/>
      <c r="F30" s="52"/>
      <c r="G30" s="52"/>
      <c r="H30" s="52"/>
      <c r="I30" s="52"/>
      <c r="J30" s="52"/>
      <c r="K30" s="52"/>
      <c r="L30" s="52"/>
      <c r="M30" s="52"/>
      <c r="N30" s="52"/>
      <c r="O30" s="52"/>
      <c r="P30" s="52"/>
      <c r="Q30" s="52"/>
      <c r="R30" s="52"/>
      <c r="S30" s="52"/>
      <c r="T30" s="52"/>
      <c r="U30" s="52"/>
      <c r="V30" s="69"/>
    </row>
    <row r="32" spans="1:25" x14ac:dyDescent="0.25">
      <c r="K32" s="47" t="s">
        <v>514</v>
      </c>
    </row>
    <row r="33" spans="2:27" x14ac:dyDescent="0.25">
      <c r="B33" s="175"/>
      <c r="C33" s="92"/>
      <c r="D33" s="92"/>
      <c r="E33" s="92"/>
      <c r="F33" s="92"/>
      <c r="G33" s="92"/>
      <c r="H33" s="92"/>
      <c r="I33" s="92"/>
      <c r="J33" t="s">
        <v>515</v>
      </c>
      <c r="K33" s="286">
        <v>3.7999999999999999E-2</v>
      </c>
      <c r="L33" t="s">
        <v>516</v>
      </c>
      <c r="N33" s="92"/>
      <c r="O33" s="92"/>
      <c r="P33" s="92"/>
      <c r="Q33" s="92"/>
      <c r="R33" s="92"/>
      <c r="S33" s="92"/>
      <c r="T33" s="92"/>
      <c r="U33" s="92"/>
      <c r="V33" s="92"/>
      <c r="W33" s="92"/>
    </row>
    <row r="34" spans="2:27" x14ac:dyDescent="0.25">
      <c r="B34" s="92"/>
      <c r="C34" s="92"/>
      <c r="D34" s="92"/>
      <c r="E34" s="92"/>
      <c r="F34" s="92"/>
      <c r="G34" s="92"/>
      <c r="H34" s="92"/>
      <c r="I34" s="92"/>
      <c r="J34" t="s">
        <v>517</v>
      </c>
      <c r="K34" s="286">
        <v>6.0999999999999999E-2</v>
      </c>
      <c r="L34" t="s">
        <v>516</v>
      </c>
      <c r="N34" s="92"/>
      <c r="O34" s="92"/>
      <c r="P34" s="92"/>
      <c r="Q34" s="92"/>
      <c r="R34" s="92"/>
      <c r="S34" s="92"/>
      <c r="T34" s="92"/>
      <c r="U34" s="92"/>
      <c r="V34" s="92"/>
      <c r="W34" s="92"/>
    </row>
    <row r="35" spans="2:27" ht="18" x14ac:dyDescent="0.4">
      <c r="B35" s="92"/>
      <c r="C35" s="97" t="str">
        <f>C11</f>
        <v>Table 3:  Annual calculation over analysis horizon ($, $2022-23)</v>
      </c>
      <c r="D35" s="211"/>
      <c r="E35" s="211"/>
      <c r="F35" s="211"/>
      <c r="G35" s="211"/>
      <c r="H35" s="211"/>
      <c r="I35" s="211"/>
      <c r="J35" t="s">
        <v>518</v>
      </c>
      <c r="K35" s="301">
        <v>0.06</v>
      </c>
      <c r="L35" s="211" t="s">
        <v>516</v>
      </c>
      <c r="M35" s="2"/>
      <c r="N35" s="211"/>
      <c r="O35" s="211"/>
      <c r="P35" s="2"/>
      <c r="Q35" s="211"/>
      <c r="R35" s="211"/>
      <c r="S35" s="2"/>
      <c r="T35" s="211"/>
      <c r="U35" s="211"/>
      <c r="V35" s="92"/>
      <c r="W35" s="92"/>
    </row>
    <row r="36" spans="2:27" ht="18" x14ac:dyDescent="0.4">
      <c r="B36" s="105"/>
      <c r="C36" s="108"/>
      <c r="D36" s="212"/>
      <c r="E36" s="188"/>
      <c r="F36" s="188"/>
      <c r="G36" s="188"/>
      <c r="H36" s="188"/>
      <c r="I36" s="188"/>
      <c r="J36" s="188"/>
      <c r="K36" s="96"/>
      <c r="L36" s="188"/>
      <c r="M36" s="96"/>
      <c r="N36" s="96"/>
      <c r="O36" s="96"/>
      <c r="P36" s="96"/>
      <c r="Q36" s="191"/>
      <c r="R36" s="173"/>
      <c r="S36" s="96"/>
      <c r="T36" s="190"/>
      <c r="U36" s="96"/>
      <c r="V36" s="98"/>
      <c r="W36" s="92"/>
    </row>
    <row r="37" spans="2:27" ht="18" x14ac:dyDescent="0.4">
      <c r="B37" s="103"/>
      <c r="C37" s="202"/>
      <c r="D37" s="213"/>
      <c r="E37" s="193" t="s">
        <v>144</v>
      </c>
      <c r="F37" s="189"/>
      <c r="G37" s="189"/>
      <c r="H37" s="189"/>
      <c r="I37" s="189"/>
      <c r="J37" s="193" t="s">
        <v>145</v>
      </c>
      <c r="K37" s="91"/>
      <c r="L37" s="189"/>
      <c r="M37" s="91"/>
      <c r="N37" s="91"/>
      <c r="O37" s="91"/>
      <c r="P37" s="91"/>
      <c r="Q37" s="193" t="s">
        <v>146</v>
      </c>
      <c r="R37" s="174"/>
      <c r="S37" s="91"/>
      <c r="T37" s="193" t="s">
        <v>147</v>
      </c>
      <c r="U37" s="91"/>
      <c r="V37" s="93"/>
      <c r="W37" s="92"/>
    </row>
    <row r="38" spans="2:27" ht="82" x14ac:dyDescent="0.4">
      <c r="B38" s="103"/>
      <c r="C38" s="202"/>
      <c r="D38" s="214" t="s">
        <v>22</v>
      </c>
      <c r="E38" s="192" t="s">
        <v>97</v>
      </c>
      <c r="F38" s="192" t="s">
        <v>163</v>
      </c>
      <c r="G38" s="192" t="s">
        <v>162</v>
      </c>
      <c r="H38" s="34" t="s">
        <v>164</v>
      </c>
      <c r="I38" s="112"/>
      <c r="J38" s="34" t="s">
        <v>134</v>
      </c>
      <c r="K38" s="192" t="s">
        <v>161</v>
      </c>
      <c r="L38" s="34" t="s">
        <v>135</v>
      </c>
      <c r="M38" s="35" t="s">
        <v>160</v>
      </c>
      <c r="N38" s="35" t="s">
        <v>237</v>
      </c>
      <c r="O38" s="35" t="s">
        <v>238</v>
      </c>
      <c r="P38" s="112"/>
      <c r="Q38" s="35" t="s">
        <v>158</v>
      </c>
      <c r="R38" s="35" t="s">
        <v>156</v>
      </c>
      <c r="S38" s="194"/>
      <c r="T38" s="35" t="s">
        <v>159</v>
      </c>
      <c r="U38" s="35" t="s">
        <v>157</v>
      </c>
      <c r="V38" s="93"/>
      <c r="W38" s="92"/>
    </row>
    <row r="39" spans="2:27" ht="12" thickBot="1" x14ac:dyDescent="0.3">
      <c r="B39" s="66"/>
      <c r="C39" s="111">
        <f>IF(D39='General inputs'!$I$16,0,IF(D39&lt;'General inputs'!$I$16,C40-1,C38+1))</f>
        <v>-27</v>
      </c>
      <c r="D39" s="215" t="str">
        <f>RIGHT(YEAR('General inputs'!$H$24),4)&amp;"-"&amp;RIGHT(YEAR('General inputs'!H24),2)+1</f>
        <v>1995-96</v>
      </c>
      <c r="E39" s="114">
        <f>IF(LEFT(D39,4)*1&gt;LEFT('General inputs'!$I$16,4)+'General inputs'!$H$38-1,"",'ET inputs'!D12)</f>
        <v>574.98631065588438</v>
      </c>
      <c r="F39" s="114">
        <f>IF(LEFT(D39,4)*1&gt;LEFT('General inputs'!$I$16,4)+'General inputs'!$H$38-1,"",E39/(1+'General inputs'!$H$30)^C39)</f>
        <v>1277.2107702132619</v>
      </c>
      <c r="G39" s="114">
        <f>IF(LEFT(D39,4)*1&gt;LEFT('General inputs'!$I$16,4)+'General inputs'!$H$38-1,"",E39/(1+'General inputs'!$H$32)^C39)</f>
        <v>1746.1675655512133</v>
      </c>
      <c r="H39" s="113" t="str">
        <f>IF(LEFT(D39,4)*1&lt;LEFT('General inputs'!$I$16,4)*1,"",IF(LEFT(D39,4)*1&gt;LEFT('General inputs'!$I$16,4)+'General inputs'!$H$38-1,"",E39/(1+'General inputs'!$H$34)^C39))</f>
        <v/>
      </c>
      <c r="I39" s="91"/>
      <c r="J39" s="114">
        <f>'Pre-1996 assets'!P791*(1+$K$34)*(1+$K$35)</f>
        <v>196976508.26876912</v>
      </c>
      <c r="K39" s="114">
        <f>J39/(1+'General inputs'!$H$30)^C39</f>
        <v>437541752.17301565</v>
      </c>
      <c r="L39" s="216">
        <f>IF(LEFT(D39,4)*1&gt;LEFT('General inputs'!$I$18,4)*1,"",SUMIF('Post-1996 commissioned assets'!$F$22:$F$1477,$D39,'Post-1996 commissioned assets'!$P$22:$P$1477)*(1+$K$34)*(1+$K$35))</f>
        <v>52748619.158365786</v>
      </c>
      <c r="M39" s="216">
        <f>IF(L39="","",L39/(1+'General inputs'!$H$32)^C39)</f>
        <v>160191514.46733502</v>
      </c>
      <c r="N39" s="284" t="str">
        <f>IF(LEFT(D39,4)*1&lt;LEFT('General inputs'!$I$18,4)*1+1,"",SUMIF('Uncommissioned assets'!$F$22:$F$1500,$D39,'Uncommissioned assets'!$P$22:$P$1500))</f>
        <v/>
      </c>
      <c r="O39" s="114" t="str">
        <f>IF(N39="","",N39/(1+'General inputs'!$H$32)^C39)</f>
        <v/>
      </c>
      <c r="P39" s="91"/>
      <c r="Q39" s="49"/>
      <c r="R39" s="113" t="str">
        <f>IF(OR(LEFT(D39,4)*1&lt;LEFT('General inputs'!$I$16,4)*1,LEFT(D39,4)*1&gt;LEFT('General inputs'!$I$16,4)+'General inputs'!$H$38-1),"",Q39/(1+'General inputs'!$H$34)^C39)</f>
        <v/>
      </c>
      <c r="S39" s="91"/>
      <c r="T39" s="49"/>
      <c r="U39" s="113" t="str">
        <f>IF(OR(LEFT(D39,4)*1&lt;LEFT('General inputs'!$I$16,4)*1,LEFT(D39,4)*1&gt;LEFT('General inputs'!$I$16,4)+'General inputs'!$H$38-1),"",T39/(1+'General inputs'!$H$34)^C39)</f>
        <v/>
      </c>
      <c r="V39" s="93"/>
      <c r="W39" s="92"/>
      <c r="X39" s="62"/>
      <c r="Y39" s="62"/>
      <c r="Z39" s="62"/>
      <c r="AA39" s="62"/>
    </row>
    <row r="40" spans="2:27" ht="12" thickTop="1" x14ac:dyDescent="0.25">
      <c r="B40" s="66"/>
      <c r="C40" s="111">
        <f>IF(D40='General inputs'!$I$16,0,IF(D40&lt;'General inputs'!$I$16,C41-1,C39+1))</f>
        <v>-26</v>
      </c>
      <c r="D40" s="111" t="str">
        <f>LEFT(D39,4)+1&amp;"-"&amp;RIGHT(D39,2)+1</f>
        <v>1996-97</v>
      </c>
      <c r="E40" s="113">
        <f>IF(LEFT(D40,4)*1&gt;LEFT('General inputs'!$I$16,4)+'General inputs'!$H$38-1,"",'ET inputs'!D13)</f>
        <v>1857.6806128958062</v>
      </c>
      <c r="F40" s="113">
        <f>IF(LEFT(D40,4)*1&gt;LEFT('General inputs'!$I$16,4)+'General inputs'!$H$38-1,"",E40/(1+'General inputs'!$H$30)^C40)</f>
        <v>4006.2577876565852</v>
      </c>
      <c r="G40" s="113">
        <f>IF(LEFT(D40,4)*1&gt;LEFT('General inputs'!$I$16,4)+'General inputs'!$H$38-1,"",E40/(1+'General inputs'!$H$32)^C40)</f>
        <v>5414.1681760702504</v>
      </c>
      <c r="H40" s="113" t="str">
        <f>IF(LEFT(D40,4)*1&lt;LEFT('General inputs'!$I$16,4)*1,"",IF(LEFT(D40,4)*1&gt;LEFT('General inputs'!$I$16,4)+'General inputs'!$H$38-1,"",E40/(1+'General inputs'!$H$34)^C40))</f>
        <v/>
      </c>
      <c r="I40" s="91"/>
      <c r="J40" s="151"/>
      <c r="K40" s="151"/>
      <c r="L40" s="113">
        <f>IF(LEFT(D40,4)*1&gt;LEFT('General inputs'!$I$18,4)*1,"",SUMIF('Post-1996 commissioned assets'!$F$22:$F$1477,$D40,'Post-1996 commissioned assets'!$P$22:$P$1477)*(1+$K$34)*(1+$K$35))</f>
        <v>3491487.0412804661</v>
      </c>
      <c r="M40" s="113">
        <f>IF(L40="","",L40/(1+'General inputs'!$H$32)^C40)</f>
        <v>10175860.099328408</v>
      </c>
      <c r="N40" s="285" t="str">
        <f>IF(LEFT(D40,4)*1&lt;LEFT('General inputs'!$I$18,4)*1+1,"",SUMIF('Uncommissioned assets'!$F$22:$F$1500,$D40,'Uncommissioned assets'!$P$22:$P$1500))</f>
        <v/>
      </c>
      <c r="O40" s="113" t="str">
        <f>IF(N40="","",N40/(1+'General inputs'!$H$32)^C40)</f>
        <v/>
      </c>
      <c r="P40" s="91"/>
      <c r="Q40" s="49"/>
      <c r="R40" s="113" t="str">
        <f>IF(OR(LEFT(D40,4)*1&lt;LEFT('General inputs'!$I$16,4)*1,LEFT(D40,4)*1&gt;LEFT('General inputs'!$I$16,4)+'General inputs'!$H$38-1),"",Q40/(1+'General inputs'!$H$34)^C40)</f>
        <v/>
      </c>
      <c r="S40" s="91"/>
      <c r="T40" s="49"/>
      <c r="U40" s="113" t="str">
        <f>IF(OR(LEFT(D40,4)*1&lt;LEFT('General inputs'!$I$16,4)*1,LEFT(D40,4)*1&gt;LEFT('General inputs'!$I$16,4)+'General inputs'!$H$38-1),"",T40/(1+'General inputs'!$H$34)^C40)</f>
        <v/>
      </c>
      <c r="V40" s="93"/>
      <c r="W40" s="92"/>
    </row>
    <row r="41" spans="2:27" x14ac:dyDescent="0.25">
      <c r="B41" s="66"/>
      <c r="C41" s="111">
        <f>IF(D41='General inputs'!$I$16,0,IF(D41&lt;'General inputs'!$I$16,C42-1,C40+1))</f>
        <v>-25</v>
      </c>
      <c r="D41" s="111" t="str">
        <f t="shared" ref="D41:D99" si="1">LEFT(D40,4)+1&amp;"-"&amp;RIGHT(D40,2)+1</f>
        <v>1997-98</v>
      </c>
      <c r="E41" s="113">
        <f>IF(LEFT(D41,4)*1&gt;LEFT('General inputs'!$I$16,4)+'General inputs'!$H$38-1,"",'ET inputs'!D14)</f>
        <v>2237.551386626601</v>
      </c>
      <c r="F41" s="113">
        <f>IF(LEFT(D41,4)*1&gt;LEFT('General inputs'!$I$16,4)+'General inputs'!$H$38-1,"",E41/(1+'General inputs'!$H$30)^C41)</f>
        <v>4684.9357097859602</v>
      </c>
      <c r="G41" s="113">
        <f>IF(LEFT(D41,4)*1&gt;LEFT('General inputs'!$I$16,4)+'General inputs'!$H$38-1,"",E41/(1+'General inputs'!$H$32)^C41)</f>
        <v>6258.4385448777284</v>
      </c>
      <c r="H41" s="113" t="str">
        <f>IF(LEFT(D41,4)*1&lt;LEFT('General inputs'!$I$16,4)*1,"",IF(LEFT(D41,4)*1&gt;LEFT('General inputs'!$I$16,4)+'General inputs'!$H$38-1,"",E41/(1+'General inputs'!$H$34)^C41))</f>
        <v/>
      </c>
      <c r="I41" s="91"/>
      <c r="J41" s="151"/>
      <c r="K41" s="151"/>
      <c r="L41" s="113">
        <f>IF(LEFT(D41,4)*1&gt;LEFT('General inputs'!$I$18,4)*1,"",SUMIF('Post-1996 commissioned assets'!$F$22:$F$1477,$D41,'Post-1996 commissioned assets'!$P$22:$P$1477)*(1+$K$34)*(1+$K$35))</f>
        <v>3129044.8628674797</v>
      </c>
      <c r="M41" s="113">
        <f>IF(L41="","",L41/(1+'General inputs'!$H$32)^C41)</f>
        <v>8751948.7129836585</v>
      </c>
      <c r="N41" s="285" t="str">
        <f>IF(LEFT(D41,4)*1&lt;LEFT('General inputs'!$I$18,4)*1+1,"",SUMIF('Uncommissioned assets'!$F$22:$F$1500,$D41,'Uncommissioned assets'!$P$22:$P$1500))</f>
        <v/>
      </c>
      <c r="O41" s="113" t="str">
        <f>IF(N41="","",N41/(1+'General inputs'!$H$32)^C41)</f>
        <v/>
      </c>
      <c r="P41" s="91"/>
      <c r="Q41" s="49"/>
      <c r="R41" s="113" t="str">
        <f>IF(OR(LEFT(D41,4)*1&lt;LEFT('General inputs'!$I$16,4)*1,LEFT(D41,4)*1&gt;LEFT('General inputs'!$I$16,4)+'General inputs'!$H$38-1),"",Q41/(1+'General inputs'!$H$34)^C41)</f>
        <v/>
      </c>
      <c r="S41" s="91"/>
      <c r="T41" s="49"/>
      <c r="U41" s="113" t="str">
        <f>IF(OR(LEFT(D41,4)*1&lt;LEFT('General inputs'!$I$16,4)*1,LEFT(D41,4)*1&gt;LEFT('General inputs'!$I$16,4)+'General inputs'!$H$38-1),"",T41/(1+'General inputs'!$H$34)^C41)</f>
        <v/>
      </c>
      <c r="V41" s="93"/>
      <c r="W41" s="92"/>
      <c r="X41" s="48"/>
      <c r="Y41" s="48"/>
      <c r="Z41" s="48"/>
    </row>
    <row r="42" spans="2:27" ht="12" thickBot="1" x14ac:dyDescent="0.3">
      <c r="B42" s="66"/>
      <c r="C42" s="111">
        <f>IF(D42='General inputs'!$I$16,0,IF(D42&lt;'General inputs'!$I$16,C43-1,C41+1))</f>
        <v>-24</v>
      </c>
      <c r="D42" s="116" t="str">
        <f t="shared" si="1"/>
        <v>1998-99</v>
      </c>
      <c r="E42" s="113">
        <f>IF(LEFT(D42,4)*1&gt;LEFT('General inputs'!$I$16,4)+'General inputs'!$H$38-1,"",'ET inputs'!D15)</f>
        <v>1190.9120715207519</v>
      </c>
      <c r="F42" s="113">
        <f>IF(LEFT(D42,4)*1&gt;LEFT('General inputs'!$I$16,4)+'General inputs'!$H$38-1,"",E42/(1+'General inputs'!$H$30)^C42)</f>
        <v>2420.879040299933</v>
      </c>
      <c r="G42" s="113">
        <f>IF(LEFT(D42,4)*1&gt;LEFT('General inputs'!$I$16,4)+'General inputs'!$H$38-1,"",E42/(1+'General inputs'!$H$32)^C42)</f>
        <v>3196.7226085998764</v>
      </c>
      <c r="H42" s="113" t="str">
        <f>IF(LEFT(D42,4)*1&lt;LEFT('General inputs'!$I$16,4)*1,"",IF(LEFT(D42,4)*1&gt;LEFT('General inputs'!$I$16,4)+'General inputs'!$H$38-1,"",E42/(1+'General inputs'!$H$34)^C42))</f>
        <v/>
      </c>
      <c r="I42" s="91"/>
      <c r="J42" s="151"/>
      <c r="K42" s="151"/>
      <c r="L42" s="113">
        <f>IF(LEFT(D42,4)*1&gt;LEFT('General inputs'!$I$18,4)*1,"",SUMIF('Post-1996 commissioned assets'!$F$22:$F$1477,$D42,'Post-1996 commissioned assets'!$P$22:$P$1477)*(1+$K$34)*(1+$K$35))</f>
        <v>26994570.95107485</v>
      </c>
      <c r="M42" s="113">
        <f>IF(L42="","",L42/(1+'General inputs'!$H$32)^C42)</f>
        <v>72460559.710810483</v>
      </c>
      <c r="N42" s="285" t="str">
        <f>IF(LEFT(D42,4)*1&lt;LEFT('General inputs'!$I$18,4)*1+1,"",SUMIF('Uncommissioned assets'!$F$22:$F$1500,$D42,'Uncommissioned assets'!$P$22:$P$1500))</f>
        <v/>
      </c>
      <c r="O42" s="113" t="str">
        <f>IF(N42="","",N42/(1+'General inputs'!$H$32)^C42)</f>
        <v/>
      </c>
      <c r="P42" s="91"/>
      <c r="Q42" s="49"/>
      <c r="R42" s="113" t="str">
        <f>IF(OR(LEFT(D42,4)*1&lt;LEFT('General inputs'!$I$16,4)*1,LEFT(D42,4)*1&gt;LEFT('General inputs'!$I$16,4)+'General inputs'!$H$38-1),"",Q42/(1+'General inputs'!$H$34)^C42)</f>
        <v/>
      </c>
      <c r="S42" s="91"/>
      <c r="T42" s="49"/>
      <c r="U42" s="113" t="str">
        <f>IF(OR(LEFT(D42,4)*1&lt;LEFT('General inputs'!$I$16,4)*1,LEFT(D42,4)*1&gt;LEFT('General inputs'!$I$16,4)+'General inputs'!$H$38-1),"",T42/(1+'General inputs'!$H$34)^C42)</f>
        <v/>
      </c>
      <c r="V42" s="93"/>
      <c r="W42" s="92"/>
      <c r="X42" s="48"/>
      <c r="Y42" s="48"/>
      <c r="Z42" s="48"/>
    </row>
    <row r="43" spans="2:27" ht="12.5" thickTop="1" thickBot="1" x14ac:dyDescent="0.3">
      <c r="B43" s="66"/>
      <c r="C43" s="111">
        <f>IF(D43='General inputs'!$I$16,0,IF(D43&lt;'General inputs'!$I$16,C44-1,C42+1))</f>
        <v>-23</v>
      </c>
      <c r="D43" s="117" t="str">
        <f>LEFT(D42,4)+1&amp;"-00"</f>
        <v>1999-00</v>
      </c>
      <c r="E43" s="113">
        <f>IF(LEFT(D43,4)*1&gt;LEFT('General inputs'!$I$16,4)+'General inputs'!$H$38-1,"",'ET inputs'!D16)</f>
        <v>2148.3689863812824</v>
      </c>
      <c r="F43" s="113">
        <f>IF(LEFT(D43,4)*1&gt;LEFT('General inputs'!$I$16,4)+'General inputs'!$H$38-1,"",E43/(1+'General inputs'!$H$30)^C43)</f>
        <v>4239.9920524448335</v>
      </c>
      <c r="G43" s="113">
        <f>IF(LEFT(D43,4)*1&gt;LEFT('General inputs'!$I$16,4)+'General inputs'!$H$38-1,"",E43/(1+'General inputs'!$H$32)^C43)</f>
        <v>5534.3473165231808</v>
      </c>
      <c r="H43" s="113" t="str">
        <f>IF(LEFT(D43,4)*1&lt;LEFT('General inputs'!$I$16,4)*1,"",IF(LEFT(D43,4)*1&gt;LEFT('General inputs'!$I$16,4)+'General inputs'!$H$38-1,"",E43/(1+'General inputs'!$H$34)^C43))</f>
        <v/>
      </c>
      <c r="I43" s="91"/>
      <c r="J43" s="151"/>
      <c r="K43" s="151"/>
      <c r="L43" s="113">
        <f>IF(LEFT(D43,4)*1&gt;LEFT('General inputs'!$I$18,4)*1,"",SUMIF('Post-1996 commissioned assets'!$F$22:$F$1477,$D43,'Post-1996 commissioned assets'!$P$22:$P$1477)*(1+$K$34)*(1+$K$35))</f>
        <v>8361276.3151242714</v>
      </c>
      <c r="M43" s="113">
        <f>IF(L43="","",L43/(1+'General inputs'!$H$32)^C43)</f>
        <v>21539226.934783313</v>
      </c>
      <c r="N43" s="285" t="str">
        <f>IF(LEFT(D43,4)*1&lt;LEFT('General inputs'!$I$18,4)*1+1,"",SUMIF('Uncommissioned assets'!$F$22:$F$1500,$D43,'Uncommissioned assets'!$P$22:$P$1500))</f>
        <v/>
      </c>
      <c r="O43" s="113" t="str">
        <f>IF(N43="","",N43/(1+'General inputs'!$H$32)^C43)</f>
        <v/>
      </c>
      <c r="P43" s="91"/>
      <c r="Q43" s="49"/>
      <c r="R43" s="113" t="str">
        <f>IF(OR(LEFT(D43,4)*1&lt;LEFT('General inputs'!$I$16,4)*1,LEFT(D43,4)*1&gt;LEFT('General inputs'!$I$16,4)+'General inputs'!$H$38-1),"",Q43/(1+'General inputs'!$H$34)^C43)</f>
        <v/>
      </c>
      <c r="S43" s="91"/>
      <c r="T43" s="49"/>
      <c r="U43" s="113" t="str">
        <f>IF(OR(LEFT(D43,4)*1&lt;LEFT('General inputs'!$I$16,4)*1,LEFT(D43,4)*1&gt;LEFT('General inputs'!$I$16,4)+'General inputs'!$H$38-1),"",T43/(1+'General inputs'!$H$34)^C43)</f>
        <v/>
      </c>
      <c r="V43" s="93"/>
      <c r="W43" s="92"/>
      <c r="X43" s="48"/>
      <c r="Y43" s="48"/>
      <c r="Z43" s="48"/>
    </row>
    <row r="44" spans="2:27" ht="12" thickTop="1" x14ac:dyDescent="0.25">
      <c r="B44" s="66"/>
      <c r="C44" s="111">
        <f>IF(D44='General inputs'!$I$16,0,IF(D44&lt;'General inputs'!$I$16,C45-1,C43+1))</f>
        <v>-22</v>
      </c>
      <c r="D44" s="118" t="str">
        <f>LEFT(D43,4)+1&amp;"-0"&amp;RIGHT(D43,2)+1</f>
        <v>2000-01</v>
      </c>
      <c r="E44" s="113">
        <f>IF(LEFT(D44,4)*1&gt;LEFT('General inputs'!$I$16,4)+'General inputs'!$H$38-1,"",'ET inputs'!D17)</f>
        <v>1826.6193010142899</v>
      </c>
      <c r="F44" s="113">
        <f>IF(LEFT(D44,4)*1&gt;LEFT('General inputs'!$I$16,4)+'General inputs'!$H$38-1,"",E44/(1+'General inputs'!$H$30)^C44)</f>
        <v>3499.9914693643768</v>
      </c>
      <c r="G44" s="113">
        <f>IF(LEFT(D44,4)*1&gt;LEFT('General inputs'!$I$16,4)+'General inputs'!$H$38-1,"",E44/(1+'General inputs'!$H$32)^C44)</f>
        <v>4515.8328607504545</v>
      </c>
      <c r="H44" s="113" t="str">
        <f>IF(LEFT(D44,4)*1&lt;LEFT('General inputs'!$I$16,4)*1,"",IF(LEFT(D44,4)*1&gt;LEFT('General inputs'!$I$16,4)+'General inputs'!$H$38-1,"",E44/(1+'General inputs'!$H$34)^C44))</f>
        <v/>
      </c>
      <c r="I44" s="91"/>
      <c r="J44" s="151"/>
      <c r="K44" s="151"/>
      <c r="L44" s="113">
        <f>IF(LEFT(D44,4)*1&gt;LEFT('General inputs'!$I$18,4)*1,"",SUMIF('Post-1996 commissioned assets'!$F$22:$F$1477,$D44,'Post-1996 commissioned assets'!$P$22:$P$1477)*(1+$K$34)*(1+$K$35))</f>
        <v>2564209.2009642823</v>
      </c>
      <c r="M44" s="113">
        <f>IF(L44="","",L44/(1+'General inputs'!$H$32)^C44)</f>
        <v>6339328.7069304772</v>
      </c>
      <c r="N44" s="285" t="str">
        <f>IF(LEFT(D44,4)*1&lt;LEFT('General inputs'!$I$18,4)*1+1,"",SUMIF('Uncommissioned assets'!$F$22:$F$1500,$D44,'Uncommissioned assets'!$P$22:$P$1500))</f>
        <v/>
      </c>
      <c r="O44" s="113" t="str">
        <f>IF(N44="","",N44/(1+'General inputs'!$H$32)^C44)</f>
        <v/>
      </c>
      <c r="P44" s="91"/>
      <c r="Q44" s="49"/>
      <c r="R44" s="113" t="str">
        <f>IF(OR(LEFT(D44,4)*1&lt;LEFT('General inputs'!$I$16,4)*1,LEFT(D44,4)*1&gt;LEFT('General inputs'!$I$16,4)+'General inputs'!$H$38-1),"",Q44/(1+'General inputs'!$H$34)^C44)</f>
        <v/>
      </c>
      <c r="S44" s="91"/>
      <c r="T44" s="49"/>
      <c r="U44" s="113" t="str">
        <f>IF(OR(LEFT(D44,4)*1&lt;LEFT('General inputs'!$I$16,4)*1,LEFT(D44,4)*1&gt;LEFT('General inputs'!$I$16,4)+'General inputs'!$H$38-1),"",T44/(1+'General inputs'!$H$34)^C44)</f>
        <v/>
      </c>
      <c r="V44" s="93"/>
      <c r="W44" s="92"/>
      <c r="X44" s="48"/>
      <c r="Y44" s="48"/>
      <c r="Z44" s="48"/>
    </row>
    <row r="45" spans="2:27" x14ac:dyDescent="0.25">
      <c r="B45" s="66"/>
      <c r="C45" s="111">
        <f>IF(D45='General inputs'!$I$16,0,IF(D45&lt;'General inputs'!$I$16,C46-1,C44+1))</f>
        <v>-21</v>
      </c>
      <c r="D45" s="111" t="str">
        <f t="shared" ref="D45:D52" si="2">LEFT(D44,4)+1&amp;"-0"&amp;RIGHT(D44,2)+1</f>
        <v>2001-02</v>
      </c>
      <c r="E45" s="113">
        <f>IF(LEFT(D45,4)*1&gt;LEFT('General inputs'!$I$16,4)+'General inputs'!$H$38-1,"",'ET inputs'!D18)</f>
        <v>1342.8623651258417</v>
      </c>
      <c r="F45" s="113">
        <f>IF(LEFT(D45,4)*1&gt;LEFT('General inputs'!$I$16,4)+'General inputs'!$H$38-1,"",E45/(1+'General inputs'!$H$30)^C45)</f>
        <v>2498.119568396578</v>
      </c>
      <c r="G45" s="113">
        <f>IF(LEFT(D45,4)*1&gt;LEFT('General inputs'!$I$16,4)+'General inputs'!$H$38-1,"",E45/(1+'General inputs'!$H$32)^C45)</f>
        <v>3186.0574364621702</v>
      </c>
      <c r="H45" s="113" t="str">
        <f>IF(LEFT(D45,4)*1&lt;LEFT('General inputs'!$I$16,4)*1,"",IF(LEFT(D45,4)*1&gt;LEFT('General inputs'!$I$16,4)+'General inputs'!$H$38-1,"",E45/(1+'General inputs'!$H$34)^C45))</f>
        <v/>
      </c>
      <c r="I45" s="91"/>
      <c r="J45" s="151"/>
      <c r="K45" s="151"/>
      <c r="L45" s="113">
        <f>IF(LEFT(D45,4)*1&gt;LEFT('General inputs'!$I$18,4)*1,"",SUMIF('Post-1996 commissioned assets'!$F$22:$F$1477,$D45,'Post-1996 commissioned assets'!$P$22:$P$1477)*(1+$K$34)*(1+$K$35))</f>
        <v>5138465.6488399962</v>
      </c>
      <c r="M45" s="113">
        <f>IF(L45="","",L45/(1+'General inputs'!$H$32)^C45)</f>
        <v>12191455.444473557</v>
      </c>
      <c r="N45" s="285" t="str">
        <f>IF(LEFT(D45,4)*1&lt;LEFT('General inputs'!$I$18,4)*1+1,"",SUMIF('Uncommissioned assets'!$F$22:$F$1500,$D45,'Uncommissioned assets'!$P$22:$P$1500))</f>
        <v/>
      </c>
      <c r="O45" s="113" t="str">
        <f>IF(N45="","",N45/(1+'General inputs'!$H$32)^C45)</f>
        <v/>
      </c>
      <c r="P45" s="91"/>
      <c r="Q45" s="49"/>
      <c r="R45" s="113" t="str">
        <f>IF(OR(LEFT(D45,4)*1&lt;LEFT('General inputs'!$I$16,4)*1,LEFT(D45,4)*1&gt;LEFT('General inputs'!$I$16,4)+'General inputs'!$H$38-1),"",Q45/(1+'General inputs'!$H$34)^C45)</f>
        <v/>
      </c>
      <c r="S45" s="91"/>
      <c r="T45" s="49"/>
      <c r="U45" s="113" t="str">
        <f>IF(OR(LEFT(D45,4)*1&lt;LEFT('General inputs'!$I$16,4)*1,LEFT(D45,4)*1&gt;LEFT('General inputs'!$I$16,4)+'General inputs'!$H$38-1),"",T45/(1+'General inputs'!$H$34)^C45)</f>
        <v/>
      </c>
      <c r="V45" s="93"/>
      <c r="W45" s="92"/>
      <c r="X45" s="48"/>
      <c r="Y45" s="48"/>
      <c r="Z45" s="48"/>
    </row>
    <row r="46" spans="2:27" x14ac:dyDescent="0.25">
      <c r="B46" s="66"/>
      <c r="C46" s="111">
        <f>IF(D46='General inputs'!$I$16,0,IF(D46&lt;'General inputs'!$I$16,C47-1,C45+1))</f>
        <v>-20</v>
      </c>
      <c r="D46" s="111" t="str">
        <f t="shared" si="2"/>
        <v>2002-03</v>
      </c>
      <c r="E46" s="113">
        <f>IF(LEFT(D46,4)*1&gt;LEFT('General inputs'!$I$16,4)+'General inputs'!$H$38-1,"",'ET inputs'!D19)</f>
        <v>1206.0719762716003</v>
      </c>
      <c r="F46" s="113">
        <f>IF(LEFT(D46,4)*1&gt;LEFT('General inputs'!$I$16,4)+'General inputs'!$H$38-1,"",E46/(1+'General inputs'!$H$30)^C46)</f>
        <v>2178.3001461640793</v>
      </c>
      <c r="G46" s="113">
        <f>IF(LEFT(D46,4)*1&gt;LEFT('General inputs'!$I$16,4)+'General inputs'!$H$38-1,"",E46/(1+'General inputs'!$H$32)^C46)</f>
        <v>2746.1711844375482</v>
      </c>
      <c r="H46" s="113" t="str">
        <f>IF(LEFT(D46,4)*1&lt;LEFT('General inputs'!$I$16,4)*1,"",IF(LEFT(D46,4)*1&gt;LEFT('General inputs'!$I$16,4)+'General inputs'!$H$38-1,"",E46/(1+'General inputs'!$H$34)^C46))</f>
        <v/>
      </c>
      <c r="I46" s="91"/>
      <c r="J46" s="151"/>
      <c r="K46" s="151"/>
      <c r="L46" s="113">
        <f>IF(LEFT(D46,4)*1&gt;LEFT('General inputs'!$I$18,4)*1,"",SUMIF('Post-1996 commissioned assets'!$F$22:$F$1477,$D46,'Post-1996 commissioned assets'!$P$22:$P$1477)*(1+$K$34)*(1+$K$35))</f>
        <v>1162643.1326799195</v>
      </c>
      <c r="M46" s="113">
        <f>IF(L46="","",L46/(1+'General inputs'!$H$32)^C46)</f>
        <v>2647285.6774435099</v>
      </c>
      <c r="N46" s="285" t="str">
        <f>IF(LEFT(D46,4)*1&lt;LEFT('General inputs'!$I$18,4)*1+1,"",SUMIF('Uncommissioned assets'!$F$22:$F$1500,$D46,'Uncommissioned assets'!$P$22:$P$1500))</f>
        <v/>
      </c>
      <c r="O46" s="113" t="str">
        <f>IF(N46="","",N46/(1+'General inputs'!$H$32)^C46)</f>
        <v/>
      </c>
      <c r="P46" s="91"/>
      <c r="Q46" s="49"/>
      <c r="R46" s="113" t="str">
        <f>IF(OR(LEFT(D46,4)*1&lt;LEFT('General inputs'!$I$16,4)*1,LEFT(D46,4)*1&gt;LEFT('General inputs'!$I$16,4)+'General inputs'!$H$38-1),"",Q46/(1+'General inputs'!$H$34)^C46)</f>
        <v/>
      </c>
      <c r="S46" s="91"/>
      <c r="T46" s="49"/>
      <c r="U46" s="113" t="str">
        <f>IF(OR(LEFT(D46,4)*1&lt;LEFT('General inputs'!$I$16,4)*1,LEFT(D46,4)*1&gt;LEFT('General inputs'!$I$16,4)+'General inputs'!$H$38-1),"",T46/(1+'General inputs'!$H$34)^C46)</f>
        <v/>
      </c>
      <c r="V46" s="93"/>
      <c r="W46" s="92"/>
      <c r="X46" s="48"/>
      <c r="Y46" s="48"/>
      <c r="Z46" s="48"/>
    </row>
    <row r="47" spans="2:27" x14ac:dyDescent="0.25">
      <c r="B47" s="66"/>
      <c r="C47" s="111">
        <f>IF(D47='General inputs'!$I$16,0,IF(D47&lt;'General inputs'!$I$16,C48-1,C46+1))</f>
        <v>-19</v>
      </c>
      <c r="D47" s="111" t="str">
        <f t="shared" si="2"/>
        <v>2003-04</v>
      </c>
      <c r="E47" s="113">
        <f>IF(LEFT(D47,4)*1&gt;LEFT('General inputs'!$I$16,4)+'General inputs'!$H$38-1,"",'ET inputs'!D20)</f>
        <v>472.57606008087527</v>
      </c>
      <c r="F47" s="113">
        <f>IF(LEFT(D47,4)*1&gt;LEFT('General inputs'!$I$16,4)+'General inputs'!$H$38-1,"",E47/(1+'General inputs'!$H$30)^C47)</f>
        <v>828.66498189114225</v>
      </c>
      <c r="G47" s="113">
        <f>IF(LEFT(D47,4)*1&gt;LEFT('General inputs'!$I$16,4)+'General inputs'!$H$38-1,"",E47/(1+'General inputs'!$H$32)^C47)</f>
        <v>1032.6624313775383</v>
      </c>
      <c r="H47" s="113" t="str">
        <f>IF(LEFT(D47,4)*1&lt;LEFT('General inputs'!$I$16,4)*1,"",IF(LEFT(D47,4)*1&gt;LEFT('General inputs'!$I$16,4)+'General inputs'!$H$38-1,"",E47/(1+'General inputs'!$H$34)^C47))</f>
        <v/>
      </c>
      <c r="I47" s="91"/>
      <c r="J47" s="151"/>
      <c r="K47" s="151"/>
      <c r="L47" s="113">
        <f>IF(LEFT(D47,4)*1&gt;LEFT('General inputs'!$I$18,4)*1,"",SUMIF('Post-1996 commissioned assets'!$F$22:$F$1477,$D47,'Post-1996 commissioned assets'!$P$22:$P$1477)*(1+$K$34)*(1+$K$35))</f>
        <v>31989888.61290171</v>
      </c>
      <c r="M47" s="113">
        <f>IF(L47="","",L47/(1+'General inputs'!$H$32)^C47)</f>
        <v>69903575.201930955</v>
      </c>
      <c r="N47" s="285" t="str">
        <f>IF(LEFT(D47,4)*1&lt;LEFT('General inputs'!$I$18,4)*1+1,"",SUMIF('Uncommissioned assets'!$F$22:$F$1500,$D47,'Uncommissioned assets'!$P$22:$P$1500))</f>
        <v/>
      </c>
      <c r="O47" s="113" t="str">
        <f>IF(N47="","",N47/(1+'General inputs'!$H$32)^C47)</f>
        <v/>
      </c>
      <c r="P47" s="91"/>
      <c r="Q47" s="49"/>
      <c r="R47" s="113" t="str">
        <f>IF(OR(LEFT(D47,4)*1&lt;LEFT('General inputs'!$I$16,4)*1,LEFT(D47,4)*1&gt;LEFT('General inputs'!$I$16,4)+'General inputs'!$H$38-1),"",Q47/(1+'General inputs'!$H$34)^C47)</f>
        <v/>
      </c>
      <c r="S47" s="91"/>
      <c r="T47" s="49"/>
      <c r="U47" s="113" t="str">
        <f>IF(OR(LEFT(D47,4)*1&lt;LEFT('General inputs'!$I$16,4)*1,LEFT(D47,4)*1&gt;LEFT('General inputs'!$I$16,4)+'General inputs'!$H$38-1),"",T47/(1+'General inputs'!$H$34)^C47)</f>
        <v/>
      </c>
      <c r="V47" s="93"/>
      <c r="W47" s="92"/>
      <c r="X47" s="48"/>
      <c r="Y47" s="48"/>
      <c r="Z47" s="48"/>
    </row>
    <row r="48" spans="2:27" x14ac:dyDescent="0.25">
      <c r="B48" s="66"/>
      <c r="C48" s="111">
        <f>IF(D48='General inputs'!$I$16,0,IF(D48&lt;'General inputs'!$I$16,C49-1,C47+1))</f>
        <v>-18</v>
      </c>
      <c r="D48" s="111" t="str">
        <f t="shared" si="2"/>
        <v>2004-05</v>
      </c>
      <c r="E48" s="113">
        <f>IF(LEFT(D48,4)*1&gt;LEFT('General inputs'!$I$16,4)+'General inputs'!$H$38-1,"",'ET inputs'!D21)</f>
        <v>480.80299715930528</v>
      </c>
      <c r="F48" s="113">
        <f>IF(LEFT(D48,4)*1&gt;LEFT('General inputs'!$I$16,4)+'General inputs'!$H$38-1,"",E48/(1+'General inputs'!$H$30)^C48)</f>
        <v>818.53491830723658</v>
      </c>
      <c r="G48" s="113">
        <f>IF(LEFT(D48,4)*1&gt;LEFT('General inputs'!$I$16,4)+'General inputs'!$H$38-1,"",E48/(1+'General inputs'!$H$32)^C48)</f>
        <v>1008.2915035514344</v>
      </c>
      <c r="H48" s="113" t="str">
        <f>IF(LEFT(D48,4)*1&lt;LEFT('General inputs'!$I$16,4)*1,"",IF(LEFT(D48,4)*1&gt;LEFT('General inputs'!$I$16,4)+'General inputs'!$H$38-1,"",E48/(1+'General inputs'!$H$34)^C48))</f>
        <v/>
      </c>
      <c r="I48" s="91"/>
      <c r="J48" s="151"/>
      <c r="K48" s="151"/>
      <c r="L48" s="113">
        <f>IF(LEFT(D48,4)*1&gt;LEFT('General inputs'!$I$18,4)*1,"",SUMIF('Post-1996 commissioned assets'!$F$22:$F$1477,$D48,'Post-1996 commissioned assets'!$P$22:$P$1477)*(1+$K$34)*(1+$K$35))</f>
        <v>2668549.8230586895</v>
      </c>
      <c r="M48" s="113">
        <f>IF(L48="","",L48/(1+'General inputs'!$H$32)^C48)</f>
        <v>5596213.2709049108</v>
      </c>
      <c r="N48" s="285" t="str">
        <f>IF(LEFT(D48,4)*1&lt;LEFT('General inputs'!$I$18,4)*1+1,"",SUMIF('Uncommissioned assets'!$F$22:$F$1500,$D48,'Uncommissioned assets'!$P$22:$P$1500))</f>
        <v/>
      </c>
      <c r="O48" s="113" t="str">
        <f>IF(N48="","",N48/(1+'General inputs'!$H$32)^C48)</f>
        <v/>
      </c>
      <c r="P48" s="91"/>
      <c r="Q48" s="119"/>
      <c r="R48" s="113" t="str">
        <f>IF(OR(LEFT(D48,4)*1&lt;LEFT('General inputs'!$I$16,4)*1,LEFT(D48,4)*1&gt;LEFT('General inputs'!$I$16,4)+'General inputs'!$H$38-1),"",Q48/(1+'General inputs'!$H$34)^C48)</f>
        <v/>
      </c>
      <c r="S48" s="91"/>
      <c r="T48" s="119"/>
      <c r="U48" s="113" t="str">
        <f>IF(OR(LEFT(D48,4)*1&lt;LEFT('General inputs'!$I$16,4)*1,LEFT(D48,4)*1&gt;LEFT('General inputs'!$I$16,4)+'General inputs'!$H$38-1),"",T48/(1+'General inputs'!$H$34)^C48)</f>
        <v/>
      </c>
      <c r="V48" s="93"/>
      <c r="W48" s="92"/>
      <c r="X48" s="48"/>
      <c r="Y48" s="48"/>
      <c r="Z48" s="48"/>
    </row>
    <row r="49" spans="1:26" x14ac:dyDescent="0.25">
      <c r="B49" s="66"/>
      <c r="C49" s="111">
        <f>IF(D49='General inputs'!$I$16,0,IF(D49&lt;'General inputs'!$I$16,C50-1,C48+1))</f>
        <v>-17</v>
      </c>
      <c r="D49" s="111" t="str">
        <f t="shared" si="2"/>
        <v>2005-06</v>
      </c>
      <c r="E49" s="113">
        <f>IF(LEFT(D49,4)*1&gt;LEFT('General inputs'!$I$16,4)+'General inputs'!$H$38-1,"",'ET inputs'!D22)</f>
        <v>289.74680760503327</v>
      </c>
      <c r="F49" s="113">
        <f>IF(LEFT(D49,4)*1&gt;LEFT('General inputs'!$I$16,4)+'General inputs'!$H$38-1,"",E49/(1+'General inputs'!$H$30)^C49)</f>
        <v>478.90732490827776</v>
      </c>
      <c r="G49" s="113">
        <f>IF(LEFT(D49,4)*1&gt;LEFT('General inputs'!$I$16,4)+'General inputs'!$H$38-1,"",E49/(1+'General inputs'!$H$32)^C49)</f>
        <v>583.13603832890533</v>
      </c>
      <c r="H49" s="113" t="str">
        <f>IF(LEFT(D49,4)*1&lt;LEFT('General inputs'!$I$16,4)*1,"",IF(LEFT(D49,4)*1&gt;LEFT('General inputs'!$I$16,4)+'General inputs'!$H$38-1,"",E49/(1+'General inputs'!$H$34)^C49))</f>
        <v/>
      </c>
      <c r="I49" s="91"/>
      <c r="J49" s="151"/>
      <c r="K49" s="151"/>
      <c r="L49" s="113">
        <f>IF(LEFT(D49,4)*1&gt;LEFT('General inputs'!$I$18,4)*1,"",SUMIF('Post-1996 commissioned assets'!$F$22:$F$1477,$D49,'Post-1996 commissioned assets'!$P$22:$P$1477)*(1+$K$34)*(1+$K$35))</f>
        <v>1730640.3225356198</v>
      </c>
      <c r="M49" s="113">
        <f>IF(L49="","",L49/(1+'General inputs'!$H$32)^C49)</f>
        <v>3483036.6201354796</v>
      </c>
      <c r="N49" s="285" t="str">
        <f>IF(LEFT(D49,4)*1&lt;LEFT('General inputs'!$I$18,4)*1+1,"",SUMIF('Uncommissioned assets'!$F$22:$F$1500,$D49,'Uncommissioned assets'!$P$22:$P$1500))</f>
        <v/>
      </c>
      <c r="O49" s="113" t="str">
        <f>IF(N49="","",N49/(1+'General inputs'!$H$32)^C49)</f>
        <v/>
      </c>
      <c r="P49" s="91"/>
      <c r="Q49" s="119"/>
      <c r="R49" s="113" t="str">
        <f>IF(OR(LEFT(D49,4)*1&lt;LEFT('General inputs'!$I$16,4)*1,LEFT(D49,4)*1&gt;LEFT('General inputs'!$I$16,4)+'General inputs'!$H$38-1),"",Q49/(1+'General inputs'!$H$34)^C49)</f>
        <v/>
      </c>
      <c r="S49" s="91"/>
      <c r="T49" s="119"/>
      <c r="U49" s="113" t="str">
        <f>IF(OR(LEFT(D49,4)*1&lt;LEFT('General inputs'!$I$16,4)*1,LEFT(D49,4)*1&gt;LEFT('General inputs'!$I$16,4)+'General inputs'!$H$38-1),"",T49/(1+'General inputs'!$H$34)^C49)</f>
        <v/>
      </c>
      <c r="V49" s="93"/>
      <c r="W49" s="92"/>
      <c r="X49" s="48"/>
      <c r="Y49" s="48"/>
      <c r="Z49" s="48"/>
    </row>
    <row r="50" spans="1:26" x14ac:dyDescent="0.25">
      <c r="B50" s="66"/>
      <c r="C50" s="111">
        <f>IF(D50='General inputs'!$I$16,0,IF(D50&lt;'General inputs'!$I$16,C51-1,C49+1))</f>
        <v>-16</v>
      </c>
      <c r="D50" s="111" t="str">
        <f t="shared" si="2"/>
        <v>2006-07</v>
      </c>
      <c r="E50" s="113">
        <f>IF(LEFT(D50,4)*1&gt;LEFT('General inputs'!$I$16,4)+'General inputs'!$H$38-1,"",'ET inputs'!D23)</f>
        <v>249.35470488196003</v>
      </c>
      <c r="F50" s="113">
        <f>IF(LEFT(D50,4)*1&gt;LEFT('General inputs'!$I$16,4)+'General inputs'!$H$38-1,"",E50/(1+'General inputs'!$H$30)^C50)</f>
        <v>400.14110054365904</v>
      </c>
      <c r="G50" s="113">
        <f>IF(LEFT(D50,4)*1&gt;LEFT('General inputs'!$I$16,4)+'General inputs'!$H$38-1,"",E50/(1+'General inputs'!$H$32)^C50)</f>
        <v>481.61618188952889</v>
      </c>
      <c r="H50" s="113" t="str">
        <f>IF(LEFT(D50,4)*1&lt;LEFT('General inputs'!$I$16,4)*1,"",IF(LEFT(D50,4)*1&gt;LEFT('General inputs'!$I$16,4)+'General inputs'!$H$38-1,"",E50/(1+'General inputs'!$H$34)^C50))</f>
        <v/>
      </c>
      <c r="I50" s="91"/>
      <c r="J50" s="151"/>
      <c r="K50" s="151"/>
      <c r="L50" s="113">
        <f>IF(LEFT(D50,4)*1&gt;LEFT('General inputs'!$I$18,4)*1,"",SUMIF('Post-1996 commissioned assets'!$F$22:$F$1477,$D50,'Post-1996 commissioned assets'!$P$22:$P$1477)*(1+$K$34)*(1+$K$35))</f>
        <v>2102220.6148139238</v>
      </c>
      <c r="M50" s="113">
        <f>IF(L50="","",L50/(1+'General inputs'!$H$32)^C50)</f>
        <v>4060334.3196408572</v>
      </c>
      <c r="N50" s="285" t="str">
        <f>IF(LEFT(D50,4)*1&lt;LEFT('General inputs'!$I$18,4)*1+1,"",SUMIF('Uncommissioned assets'!$F$22:$F$1500,$D50,'Uncommissioned assets'!$P$22:$P$1500))</f>
        <v/>
      </c>
      <c r="O50" s="113" t="str">
        <f>IF(N50="","",N50/(1+'General inputs'!$H$32)^C50)</f>
        <v/>
      </c>
      <c r="P50" s="91"/>
      <c r="Q50" s="119"/>
      <c r="R50" s="113" t="str">
        <f>IF(OR(LEFT(D50,4)*1&lt;LEFT('General inputs'!$I$16,4)*1,LEFT(D50,4)*1&gt;LEFT('General inputs'!$I$16,4)+'General inputs'!$H$38-1),"",Q50/(1+'General inputs'!$H$34)^C50)</f>
        <v/>
      </c>
      <c r="S50" s="91"/>
      <c r="T50" s="119"/>
      <c r="U50" s="113" t="str">
        <f>IF(OR(LEFT(D50,4)*1&lt;LEFT('General inputs'!$I$16,4)*1,LEFT(D50,4)*1&gt;LEFT('General inputs'!$I$16,4)+'General inputs'!$H$38-1),"",T50/(1+'General inputs'!$H$34)^C50)</f>
        <v/>
      </c>
      <c r="V50" s="93"/>
      <c r="W50" s="92"/>
      <c r="X50" s="48"/>
      <c r="Y50" s="48"/>
      <c r="Z50" s="48"/>
    </row>
    <row r="51" spans="1:26" x14ac:dyDescent="0.25">
      <c r="B51" s="66"/>
      <c r="C51" s="111">
        <f>IF(D51='General inputs'!$I$16,0,IF(D51&lt;'General inputs'!$I$16,C52-1,C50+1))</f>
        <v>-15</v>
      </c>
      <c r="D51" s="111" t="str">
        <f t="shared" si="2"/>
        <v>2007-08</v>
      </c>
      <c r="E51" s="113">
        <f>IF(LEFT(D51,4)*1&gt;LEFT('General inputs'!$I$16,4)+'General inputs'!$H$38-1,"",'ET inputs'!D24)</f>
        <v>293.5716243711388</v>
      </c>
      <c r="F51" s="113">
        <f>IF(LEFT(D51,4)*1&gt;LEFT('General inputs'!$I$16,4)+'General inputs'!$H$38-1,"",E51/(1+'General inputs'!$H$30)^C51)</f>
        <v>457.37502520879315</v>
      </c>
      <c r="G51" s="113">
        <f>IF(LEFT(D51,4)*1&gt;LEFT('General inputs'!$I$16,4)+'General inputs'!$H$38-1,"",E51/(1+'General inputs'!$H$32)^C51)</f>
        <v>544.16406681737237</v>
      </c>
      <c r="H51" s="113" t="str">
        <f>IF(LEFT(D51,4)*1&lt;LEFT('General inputs'!$I$16,4)*1,"",IF(LEFT(D51,4)*1&gt;LEFT('General inputs'!$I$16,4)+'General inputs'!$H$38-1,"",E51/(1+'General inputs'!$H$34)^C51))</f>
        <v/>
      </c>
      <c r="I51" s="91"/>
      <c r="J51" s="151"/>
      <c r="K51" s="151"/>
      <c r="L51" s="113">
        <f>IF(LEFT(D51,4)*1&gt;LEFT('General inputs'!$I$18,4)*1,"",SUMIF('Post-1996 commissioned assets'!$F$22:$F$1477,$D51,'Post-1996 commissioned assets'!$P$22:$P$1477)*(1+$K$34)*(1+$K$35))</f>
        <v>2861782.419475473</v>
      </c>
      <c r="M51" s="113">
        <f>IF(L51="","",L51/(1+'General inputs'!$H$32)^C51)</f>
        <v>5304597.0061448831</v>
      </c>
      <c r="N51" s="285" t="str">
        <f>IF(LEFT(D51,4)*1&lt;LEFT('General inputs'!$I$18,4)*1+1,"",SUMIF('Uncommissioned assets'!$F$22:$F$1500,$D51,'Uncommissioned assets'!$P$22:$P$1500))</f>
        <v/>
      </c>
      <c r="O51" s="113" t="str">
        <f>IF(N51="","",N51/(1+'General inputs'!$H$32)^C51)</f>
        <v/>
      </c>
      <c r="P51" s="91"/>
      <c r="Q51" s="119"/>
      <c r="R51" s="113" t="str">
        <f>IF(OR(LEFT(D51,4)*1&lt;LEFT('General inputs'!$I$16,4)*1,LEFT(D51,4)*1&gt;LEFT('General inputs'!$I$16,4)+'General inputs'!$H$38-1),"",Q51/(1+'General inputs'!$H$34)^C51)</f>
        <v/>
      </c>
      <c r="S51" s="91"/>
      <c r="T51" s="119"/>
      <c r="U51" s="113" t="str">
        <f>IF(OR(LEFT(D51,4)*1&lt;LEFT('General inputs'!$I$16,4)*1,LEFT(D51,4)*1&gt;LEFT('General inputs'!$I$16,4)+'General inputs'!$H$38-1),"",T51/(1+'General inputs'!$H$34)^C51)</f>
        <v/>
      </c>
      <c r="V51" s="93"/>
      <c r="W51" s="92"/>
      <c r="X51" s="48"/>
      <c r="Y51" s="48"/>
      <c r="Z51" s="48"/>
    </row>
    <row r="52" spans="1:26" ht="12" thickBot="1" x14ac:dyDescent="0.3">
      <c r="B52" s="66"/>
      <c r="C52" s="111">
        <f>IF(D52='General inputs'!$I$16,0,IF(D52&lt;'General inputs'!$I$16,C53-1,C51+1))</f>
        <v>-14</v>
      </c>
      <c r="D52" s="116" t="str">
        <f t="shared" si="2"/>
        <v>2008-09</v>
      </c>
      <c r="E52" s="113">
        <f>IF(LEFT(D52,4)*1&gt;LEFT('General inputs'!$I$16,4)+'General inputs'!$H$38-1,"",'ET inputs'!D25)</f>
        <v>764.48652865886629</v>
      </c>
      <c r="F52" s="113">
        <f>IF(LEFT(D52,4)*1&gt;LEFT('General inputs'!$I$16,4)+'General inputs'!$H$38-1,"",E52/(1+'General inputs'!$H$30)^C52)</f>
        <v>1156.3544680395535</v>
      </c>
      <c r="G52" s="113">
        <f>IF(LEFT(D52,4)*1&gt;LEFT('General inputs'!$I$16,4)+'General inputs'!$H$38-1,"",E52/(1+'General inputs'!$H$32)^C52)</f>
        <v>1359.9342211201908</v>
      </c>
      <c r="H52" s="113" t="str">
        <f>IF(LEFT(D52,4)*1&lt;LEFT('General inputs'!$I$16,4)*1,"",IF(LEFT(D52,4)*1&gt;LEFT('General inputs'!$I$16,4)+'General inputs'!$H$38-1,"",E52/(1+'General inputs'!$H$34)^C52))</f>
        <v/>
      </c>
      <c r="I52" s="91"/>
      <c r="J52" s="151"/>
      <c r="K52" s="151"/>
      <c r="L52" s="113">
        <f>IF(LEFT(D52,4)*1&gt;LEFT('General inputs'!$I$18,4)*1,"",SUMIF('Post-1996 commissioned assets'!$F$22:$F$1477,$D52,'Post-1996 commissioned assets'!$P$22:$P$1477)*(1+$K$34)*(1+$K$35))</f>
        <v>661.75660903662504</v>
      </c>
      <c r="M52" s="113">
        <f>IF(L52="","",L52/(1+'General inputs'!$H$32)^C52)</f>
        <v>1177.1894270787607</v>
      </c>
      <c r="N52" s="285" t="str">
        <f>IF(LEFT(D52,4)*1&lt;LEFT('General inputs'!$I$18,4)*1+1,"",SUMIF('Uncommissioned assets'!$F$22:$F$1500,$D52,'Uncommissioned assets'!$P$22:$P$1500))</f>
        <v/>
      </c>
      <c r="O52" s="113" t="str">
        <f>IF(N52="","",N52/(1+'General inputs'!$H$32)^C52)</f>
        <v/>
      </c>
      <c r="P52" s="91"/>
      <c r="Q52" s="119"/>
      <c r="R52" s="113" t="str">
        <f>IF(OR(LEFT(D52,4)*1&lt;LEFT('General inputs'!$I$16,4)*1,LEFT(D52,4)*1&gt;LEFT('General inputs'!$I$16,4)+'General inputs'!$H$38-1),"",Q52/(1+'General inputs'!$H$34)^C52)</f>
        <v/>
      </c>
      <c r="S52" s="91"/>
      <c r="T52" s="119"/>
      <c r="U52" s="113" t="str">
        <f>IF(OR(LEFT(D52,4)*1&lt;LEFT('General inputs'!$I$16,4)*1,LEFT(D52,4)*1&gt;LEFT('General inputs'!$I$16,4)+'General inputs'!$H$38-1),"",T52/(1+'General inputs'!$H$34)^C52)</f>
        <v/>
      </c>
      <c r="V52" s="93"/>
      <c r="W52" s="92"/>
      <c r="X52" s="48"/>
      <c r="Y52" s="48"/>
      <c r="Z52" s="48"/>
    </row>
    <row r="53" spans="1:26" ht="12" thickTop="1" x14ac:dyDescent="0.25">
      <c r="B53" s="66"/>
      <c r="C53" s="111">
        <f>IF(D53='General inputs'!$I$16,0,IF(D53&lt;'General inputs'!$I$16,C54-1,C52+1))</f>
        <v>-13</v>
      </c>
      <c r="D53" s="118" t="str">
        <f t="shared" si="1"/>
        <v>2009-10</v>
      </c>
      <c r="E53" s="113">
        <f>IF(LEFT(D53,4)*1&gt;LEFT('General inputs'!$I$16,4)+'General inputs'!$H$38-1,"",'ET inputs'!D26)</f>
        <v>652.18488415616082</v>
      </c>
      <c r="F53" s="113">
        <f>IF(LEFT(D53,4)*1&gt;LEFT('General inputs'!$I$16,4)+'General inputs'!$H$38-1,"",E53/(1+'General inputs'!$H$30)^C53)</f>
        <v>957.75548978682491</v>
      </c>
      <c r="G53" s="113">
        <f>IF(LEFT(D53,4)*1&gt;LEFT('General inputs'!$I$16,4)+'General inputs'!$H$38-1,"",E53/(1+'General inputs'!$H$32)^C53)</f>
        <v>1113.3996369674758</v>
      </c>
      <c r="H53" s="113" t="str">
        <f>IF(LEFT(D53,4)*1&lt;LEFT('General inputs'!$I$16,4)*1,"",IF(LEFT(D53,4)*1&gt;LEFT('General inputs'!$I$16,4)+'General inputs'!$H$38-1,"",E53/(1+'General inputs'!$H$34)^C53))</f>
        <v/>
      </c>
      <c r="I53" s="91"/>
      <c r="J53" s="151"/>
      <c r="K53" s="151"/>
      <c r="L53" s="113">
        <f>IF(LEFT(D53,4)*1&gt;LEFT('General inputs'!$I$18,4)*1,"",SUMIF('Post-1996 commissioned assets'!$F$22:$F$1477,$D53,'Post-1996 commissioned assets'!$P$22:$P$1477)*(1+$K$34)*(1+$K$35))</f>
        <v>15909467.380035566</v>
      </c>
      <c r="M53" s="113">
        <f>IF(L53="","",L53/(1+'General inputs'!$H$32)^C53)</f>
        <v>27160389.079235557</v>
      </c>
      <c r="N53" s="285" t="str">
        <f>IF(LEFT(D53,4)*1&lt;LEFT('General inputs'!$I$18,4)*1+1,"",SUMIF('Uncommissioned assets'!$F$22:$F$1500,$D53,'Uncommissioned assets'!$P$22:$P$1500))</f>
        <v/>
      </c>
      <c r="O53" s="113" t="str">
        <f>IF(N53="","",N53/(1+'General inputs'!$H$32)^C53)</f>
        <v/>
      </c>
      <c r="P53" s="91"/>
      <c r="Q53" s="119"/>
      <c r="R53" s="113" t="str">
        <f>IF(OR(LEFT(D53,4)*1&lt;LEFT('General inputs'!$I$16,4)*1,LEFT(D53,4)*1&gt;LEFT('General inputs'!$I$16,4)+'General inputs'!$H$38-1),"",Q53/(1+'General inputs'!$H$34)^C53)</f>
        <v/>
      </c>
      <c r="S53" s="91"/>
      <c r="T53" s="119"/>
      <c r="U53" s="113" t="str">
        <f>IF(OR(LEFT(D53,4)*1&lt;LEFT('General inputs'!$I$16,4)*1,LEFT(D53,4)*1&gt;LEFT('General inputs'!$I$16,4)+'General inputs'!$H$38-1),"",T53/(1+'General inputs'!$H$34)^C53)</f>
        <v/>
      </c>
      <c r="V53" s="93"/>
      <c r="W53" s="92"/>
      <c r="X53" s="48"/>
      <c r="Y53" s="48"/>
      <c r="Z53" s="48"/>
    </row>
    <row r="54" spans="1:26" x14ac:dyDescent="0.25">
      <c r="B54" s="66"/>
      <c r="C54" s="111">
        <f>IF(D54='General inputs'!$I$16,0,IF(D54&lt;'General inputs'!$I$16,C55-1,C53+1))</f>
        <v>-12</v>
      </c>
      <c r="D54" s="111" t="str">
        <f t="shared" si="1"/>
        <v>2010-11</v>
      </c>
      <c r="E54" s="113">
        <f>IF(LEFT(D54,4)*1&gt;LEFT('General inputs'!$I$16,4)+'General inputs'!$H$38-1,"",'ET inputs'!D27)</f>
        <v>329.83063272107074</v>
      </c>
      <c r="F54" s="113">
        <f>IF(LEFT(D54,4)*1&gt;LEFT('General inputs'!$I$16,4)+'General inputs'!$H$38-1,"",E54/(1+'General inputs'!$H$30)^C54)</f>
        <v>470.25961541742998</v>
      </c>
      <c r="G54" s="113">
        <f>IF(LEFT(D54,4)*1&gt;LEFT('General inputs'!$I$16,4)+'General inputs'!$H$38-1,"",E54/(1+'General inputs'!$H$32)^C54)</f>
        <v>540.38541070485246</v>
      </c>
      <c r="H54" s="113" t="str">
        <f>IF(LEFT(D54,4)*1&lt;LEFT('General inputs'!$I$16,4)*1,"",IF(LEFT(D54,4)*1&gt;LEFT('General inputs'!$I$16,4)+'General inputs'!$H$38-1,"",E54/(1+'General inputs'!$H$34)^C54))</f>
        <v/>
      </c>
      <c r="I54" s="91"/>
      <c r="J54" s="151"/>
      <c r="K54" s="151"/>
      <c r="L54" s="113">
        <f>IF(LEFT(D54,4)*1&gt;LEFT('General inputs'!$I$18,4)*1,"",SUMIF('Post-1996 commissioned assets'!$F$22:$F$1477,$D54,'Post-1996 commissioned assets'!$P$22:$P$1477)*(1+$K$34)*(1+$K$35))</f>
        <v>2002347.3088234477</v>
      </c>
      <c r="M54" s="113">
        <f>IF(L54="","",L54/(1+'General inputs'!$H$32)^C54)</f>
        <v>3280590.5986523922</v>
      </c>
      <c r="N54" s="285" t="str">
        <f>IF(LEFT(D54,4)*1&lt;LEFT('General inputs'!$I$18,4)*1+1,"",SUMIF('Uncommissioned assets'!$F$22:$F$1500,$D54,'Uncommissioned assets'!$P$22:$P$1500))</f>
        <v/>
      </c>
      <c r="O54" s="113" t="str">
        <f>IF(N54="","",N54/(1+'General inputs'!$H$32)^C54)</f>
        <v/>
      </c>
      <c r="P54" s="91"/>
      <c r="Q54" s="119"/>
      <c r="R54" s="113" t="str">
        <f>IF(OR(LEFT(D54,4)*1&lt;LEFT('General inputs'!$I$16,4)*1,LEFT(D54,4)*1&gt;LEFT('General inputs'!$I$16,4)+'General inputs'!$H$38-1),"",Q54/(1+'General inputs'!$H$34)^C54)</f>
        <v/>
      </c>
      <c r="S54" s="91"/>
      <c r="T54" s="119"/>
      <c r="U54" s="113" t="str">
        <f>IF(OR(LEFT(D54,4)*1&lt;LEFT('General inputs'!$I$16,4)*1,LEFT(D54,4)*1&gt;LEFT('General inputs'!$I$16,4)+'General inputs'!$H$38-1),"",T54/(1+'General inputs'!$H$34)^C54)</f>
        <v/>
      </c>
      <c r="V54" s="93"/>
      <c r="W54" s="92"/>
      <c r="X54" s="48"/>
      <c r="Y54" s="48"/>
      <c r="Z54" s="48"/>
    </row>
    <row r="55" spans="1:26" x14ac:dyDescent="0.25">
      <c r="B55" s="66"/>
      <c r="C55" s="111">
        <f>IF(D55='General inputs'!$I$16,0,IF(D55&lt;'General inputs'!$I$16,C56-1,C54+1))</f>
        <v>-11</v>
      </c>
      <c r="D55" s="111" t="str">
        <f t="shared" si="1"/>
        <v>2011-12</v>
      </c>
      <c r="E55" s="113">
        <f>IF(LEFT(D55,4)*1&gt;LEFT('General inputs'!$I$16,4)+'General inputs'!$H$38-1,"",'ET inputs'!D28)</f>
        <v>779.6140265230664</v>
      </c>
      <c r="F55" s="113">
        <f>IF(LEFT(D55,4)*1&gt;LEFT('General inputs'!$I$16,4)+'General inputs'!$H$38-1,"",E55/(1+'General inputs'!$H$30)^C55)</f>
        <v>1079.1681416050947</v>
      </c>
      <c r="G55" s="113">
        <f>IF(LEFT(D55,4)*1&gt;LEFT('General inputs'!$I$16,4)+'General inputs'!$H$38-1,"",E55/(1+'General inputs'!$H$32)^C55)</f>
        <v>1225.813931310101</v>
      </c>
      <c r="H55" s="113" t="str">
        <f>IF(LEFT(D55,4)*1&lt;LEFT('General inputs'!$I$16,4)*1,"",IF(LEFT(D55,4)*1&gt;LEFT('General inputs'!$I$16,4)+'General inputs'!$H$38-1,"",E55/(1+'General inputs'!$H$34)^C55))</f>
        <v/>
      </c>
      <c r="I55" s="91"/>
      <c r="J55" s="151"/>
      <c r="K55" s="151"/>
      <c r="L55" s="113">
        <f>IF(LEFT(D55,4)*1&gt;LEFT('General inputs'!$I$18,4)*1,"",SUMIF('Post-1996 commissioned assets'!$F$22:$F$1477,$D55,'Post-1996 commissioned assets'!$P$22:$P$1477)*(1+$K$34)*(1+$K$35))</f>
        <v>248143.31312406081</v>
      </c>
      <c r="M55" s="113">
        <f>IF(L55="","",L55/(1+'General inputs'!$H$32)^C55)</f>
        <v>390164.26057070005</v>
      </c>
      <c r="N55" s="285" t="str">
        <f>IF(LEFT(D55,4)*1&lt;LEFT('General inputs'!$I$18,4)*1+1,"",SUMIF('Uncommissioned assets'!$F$22:$F$1500,$D55,'Uncommissioned assets'!$P$22:$P$1500))</f>
        <v/>
      </c>
      <c r="O55" s="113" t="str">
        <f>IF(N55="","",N55/(1+'General inputs'!$H$32)^C55)</f>
        <v/>
      </c>
      <c r="P55" s="91"/>
      <c r="Q55" s="119"/>
      <c r="R55" s="113" t="str">
        <f>IF(OR(LEFT(D55,4)*1&lt;LEFT('General inputs'!$I$16,4)*1,LEFT(D55,4)*1&gt;LEFT('General inputs'!$I$16,4)+'General inputs'!$H$38-1),"",Q55/(1+'General inputs'!$H$34)^C55)</f>
        <v/>
      </c>
      <c r="S55" s="91"/>
      <c r="T55" s="119"/>
      <c r="U55" s="113" t="str">
        <f>IF(OR(LEFT(D55,4)*1&lt;LEFT('General inputs'!$I$16,4)*1,LEFT(D55,4)*1&gt;LEFT('General inputs'!$I$16,4)+'General inputs'!$H$38-1),"",T55/(1+'General inputs'!$H$34)^C55)</f>
        <v/>
      </c>
      <c r="V55" s="93"/>
      <c r="W55" s="92"/>
      <c r="X55" s="48"/>
      <c r="Y55" s="48"/>
      <c r="Z55" s="48"/>
    </row>
    <row r="56" spans="1:26" x14ac:dyDescent="0.25">
      <c r="B56" s="66"/>
      <c r="C56" s="111">
        <f>IF(D56='General inputs'!$I$16,0,IF(D56&lt;'General inputs'!$I$16,C57-1,C55+1))</f>
        <v>-10</v>
      </c>
      <c r="D56" s="111" t="str">
        <f t="shared" si="1"/>
        <v>2012-13</v>
      </c>
      <c r="E56" s="113">
        <f>IF(LEFT(D56,4)*1&gt;LEFT('General inputs'!$I$16,4)+'General inputs'!$H$38-1,"",'ET inputs'!D29)</f>
        <v>1331.1277882186373</v>
      </c>
      <c r="F56" s="113">
        <f>IF(LEFT(D56,4)*1&gt;LEFT('General inputs'!$I$16,4)+'General inputs'!$H$38-1,"",E56/(1+'General inputs'!$H$30)^C56)</f>
        <v>1788.9244375871401</v>
      </c>
      <c r="G56" s="113">
        <f>IF(LEFT(D56,4)*1&gt;LEFT('General inputs'!$I$16,4)+'General inputs'!$H$38-1,"",E56/(1+'General inputs'!$H$32)^C56)</f>
        <v>2008.6160996344304</v>
      </c>
      <c r="H56" s="113" t="str">
        <f>IF(LEFT(D56,4)*1&lt;LEFT('General inputs'!$I$16,4)*1,"",IF(LEFT(D56,4)*1&gt;LEFT('General inputs'!$I$16,4)+'General inputs'!$H$38-1,"",E56/(1+'General inputs'!$H$34)^C56))</f>
        <v/>
      </c>
      <c r="I56" s="91"/>
      <c r="J56" s="151"/>
      <c r="K56" s="151"/>
      <c r="L56" s="113">
        <f>IF(LEFT(D56,4)*1&gt;LEFT('General inputs'!$I$18,4)*1,"",SUMIF('Post-1996 commissioned assets'!$F$22:$F$1477,$D56,'Post-1996 commissioned assets'!$P$22:$P$1477)*(1+$K$34)*(1+$K$35))</f>
        <v>1405305.5586352656</v>
      </c>
      <c r="M56" s="113">
        <f>IF(L56="","",L56/(1+'General inputs'!$H$32)^C56)</f>
        <v>2120547.249455302</v>
      </c>
      <c r="N56" s="285" t="str">
        <f>IF(LEFT(D56,4)*1&lt;LEFT('General inputs'!$I$18,4)*1+1,"",SUMIF('Uncommissioned assets'!$F$22:$F$1500,$D56,'Uncommissioned assets'!$P$22:$P$1500))</f>
        <v/>
      </c>
      <c r="O56" s="113" t="str">
        <f>IF(N56="","",N56/(1+'General inputs'!$H$32)^C56)</f>
        <v/>
      </c>
      <c r="P56" s="91"/>
      <c r="Q56" s="119"/>
      <c r="R56" s="113" t="str">
        <f>IF(OR(LEFT(D56,4)*1&lt;LEFT('General inputs'!$I$16,4)*1,LEFT(D56,4)*1&gt;LEFT('General inputs'!$I$16,4)+'General inputs'!$H$38-1),"",Q56/(1+'General inputs'!$H$34)^C56)</f>
        <v/>
      </c>
      <c r="S56" s="91"/>
      <c r="T56" s="119"/>
      <c r="U56" s="113" t="str">
        <f>IF(OR(LEFT(D56,4)*1&lt;LEFT('General inputs'!$I$16,4)*1,LEFT(D56,4)*1&gt;LEFT('General inputs'!$I$16,4)+'General inputs'!$H$38-1),"",T56/(1+'General inputs'!$H$34)^C56)</f>
        <v/>
      </c>
      <c r="V56" s="93"/>
      <c r="W56" s="92"/>
      <c r="X56" s="48"/>
      <c r="Y56" s="48"/>
      <c r="Z56" s="48"/>
    </row>
    <row r="57" spans="1:26" x14ac:dyDescent="0.25">
      <c r="B57" s="66"/>
      <c r="C57" s="111">
        <f>IF(D57='General inputs'!$I$16,0,IF(D57&lt;'General inputs'!$I$16,C58-1,C56+1))</f>
        <v>-9</v>
      </c>
      <c r="D57" s="111" t="str">
        <f t="shared" si="1"/>
        <v>2013-14</v>
      </c>
      <c r="E57" s="113">
        <f>IF(LEFT(D57,4)*1&gt;LEFT('General inputs'!$I$16,4)+'General inputs'!$H$38-1,"",'ET inputs'!D30)</f>
        <v>1098.5303799663448</v>
      </c>
      <c r="F57" s="113">
        <f>IF(LEFT(D57,4)*1&gt;LEFT('General inputs'!$I$16,4)+'General inputs'!$H$38-1,"",E57/(1+'General inputs'!$H$30)^C57)</f>
        <v>1433.3329814018373</v>
      </c>
      <c r="G57" s="113">
        <f>IF(LEFT(D57,4)*1&gt;LEFT('General inputs'!$I$16,4)+'General inputs'!$H$38-1,"",E57/(1+'General inputs'!$H$32)^C57)</f>
        <v>1590.8218322143305</v>
      </c>
      <c r="H57" s="113" t="str">
        <f>IF(LEFT(D57,4)*1&lt;LEFT('General inputs'!$I$16,4)*1,"",IF(LEFT(D57,4)*1&gt;LEFT('General inputs'!$I$16,4)+'General inputs'!$H$38-1,"",E57/(1+'General inputs'!$H$34)^C57))</f>
        <v/>
      </c>
      <c r="I57" s="91"/>
      <c r="J57" s="151"/>
      <c r="K57" s="151"/>
      <c r="L57" s="113">
        <f>IF(LEFT(D57,4)*1&gt;LEFT('General inputs'!$I$18,4)*1,"",SUMIF('Post-1996 commissioned assets'!$F$22:$F$1477,$D57,'Post-1996 commissioned assets'!$P$22:$P$1477)*(1+$K$34)*(1+$K$35))</f>
        <v>4341528.5459569367</v>
      </c>
      <c r="M57" s="113">
        <f>IF(L57="","",L57/(1+'General inputs'!$H$32)^C57)</f>
        <v>6287125.5288375607</v>
      </c>
      <c r="N57" s="285" t="str">
        <f>IF(LEFT(D57,4)*1&lt;LEFT('General inputs'!$I$18,4)*1+1,"",SUMIF('Uncommissioned assets'!$F$22:$F$1500,$D57,'Uncommissioned assets'!$P$22:$P$1500))</f>
        <v/>
      </c>
      <c r="O57" s="113" t="str">
        <f>IF(N57="","",N57/(1+'General inputs'!$H$32)^C57)</f>
        <v/>
      </c>
      <c r="P57" s="91"/>
      <c r="Q57" s="119"/>
      <c r="R57" s="113" t="str">
        <f>IF(OR(LEFT(D57,4)*1&lt;LEFT('General inputs'!$I$16,4)*1,LEFT(D57,4)*1&gt;LEFT('General inputs'!$I$16,4)+'General inputs'!$H$38-1),"",Q57/(1+'General inputs'!$H$34)^C57)</f>
        <v/>
      </c>
      <c r="S57" s="91"/>
      <c r="T57" s="119"/>
      <c r="U57" s="113" t="str">
        <f>IF(OR(LEFT(D57,4)*1&lt;LEFT('General inputs'!$I$16,4)*1,LEFT(D57,4)*1&gt;LEFT('General inputs'!$I$16,4)+'General inputs'!$H$38-1),"",T57/(1+'General inputs'!$H$34)^C57)</f>
        <v/>
      </c>
      <c r="V57" s="93"/>
      <c r="W57" s="92"/>
      <c r="X57" s="48"/>
      <c r="Y57" s="48"/>
      <c r="Z57" s="48"/>
    </row>
    <row r="58" spans="1:26" x14ac:dyDescent="0.25">
      <c r="B58" s="66"/>
      <c r="C58" s="111">
        <f>IF(D58='General inputs'!$I$16,0,IF(D58&lt;'General inputs'!$I$16,C59-1,C57+1))</f>
        <v>-8</v>
      </c>
      <c r="D58" s="111" t="str">
        <f t="shared" si="1"/>
        <v>2014-15</v>
      </c>
      <c r="E58" s="113">
        <f>IF(LEFT(D58,4)*1&gt;LEFT('General inputs'!$I$16,4)+'General inputs'!$H$38-1,"",'ET inputs'!D31)</f>
        <v>622.68442814269304</v>
      </c>
      <c r="F58" s="113">
        <f>IF(LEFT(D58,4)*1&gt;LEFT('General inputs'!$I$16,4)+'General inputs'!$H$38-1,"",E58/(1+'General inputs'!$H$30)^C58)</f>
        <v>788.79800371712042</v>
      </c>
      <c r="G58" s="113">
        <f>IF(LEFT(D58,4)*1&gt;LEFT('General inputs'!$I$16,4)+'General inputs'!$H$38-1,"",E58/(1+'General inputs'!$H$32)^C58)</f>
        <v>865.38578456039681</v>
      </c>
      <c r="H58" s="113" t="str">
        <f>IF(LEFT(D58,4)*1&lt;LEFT('General inputs'!$I$16,4)*1,"",IF(LEFT(D58,4)*1&gt;LEFT('General inputs'!$I$16,4)+'General inputs'!$H$38-1,"",E58/(1+'General inputs'!$H$34)^C58))</f>
        <v/>
      </c>
      <c r="I58" s="91"/>
      <c r="J58" s="151"/>
      <c r="K58" s="151"/>
      <c r="L58" s="113">
        <f>IF(LEFT(D58,4)*1&gt;LEFT('General inputs'!$I$18,4)*1,"",SUMIF('Post-1996 commissioned assets'!$F$22:$F$1477,$D58,'Post-1996 commissioned assets'!$P$22:$P$1477)*(1+$K$34)*(1+$K$35))</f>
        <v>1989286.8018806463</v>
      </c>
      <c r="M58" s="113">
        <f>IF(L58="","",L58/(1+'General inputs'!$H$32)^C58)</f>
        <v>2764643.6010868577</v>
      </c>
      <c r="N58" s="285" t="str">
        <f>IF(LEFT(D58,4)*1&lt;LEFT('General inputs'!$I$18,4)*1+1,"",SUMIF('Uncommissioned assets'!$F$22:$F$1500,$D58,'Uncommissioned assets'!$P$22:$P$1500))</f>
        <v/>
      </c>
      <c r="O58" s="113" t="str">
        <f>IF(N58="","",N58/(1+'General inputs'!$H$32)^C58)</f>
        <v/>
      </c>
      <c r="P58" s="91"/>
      <c r="Q58" s="119"/>
      <c r="R58" s="113" t="str">
        <f>IF(OR(LEFT(D58,4)*1&lt;LEFT('General inputs'!$I$16,4)*1,LEFT(D58,4)*1&gt;LEFT('General inputs'!$I$16,4)+'General inputs'!$H$38-1),"",Q58/(1+'General inputs'!$H$34)^C58)</f>
        <v/>
      </c>
      <c r="S58" s="91"/>
      <c r="T58" s="119"/>
      <c r="U58" s="113" t="str">
        <f>IF(OR(LEFT(D58,4)*1&lt;LEFT('General inputs'!$I$16,4)*1,LEFT(D58,4)*1&gt;LEFT('General inputs'!$I$16,4)+'General inputs'!$H$38-1),"",T58/(1+'General inputs'!$H$34)^C58)</f>
        <v/>
      </c>
      <c r="V58" s="93"/>
      <c r="W58" s="92"/>
      <c r="X58" s="48"/>
      <c r="Y58" s="48"/>
      <c r="Z58" s="48"/>
    </row>
    <row r="59" spans="1:26" x14ac:dyDescent="0.25">
      <c r="B59" s="66"/>
      <c r="C59" s="111">
        <f>IF(D59='General inputs'!$I$16,0,IF(D59&lt;'General inputs'!$I$16,C60-1,C58+1))</f>
        <v>-7</v>
      </c>
      <c r="D59" s="111" t="str">
        <f t="shared" si="1"/>
        <v>2015-16</v>
      </c>
      <c r="E59" s="113">
        <f>IF(LEFT(D59,4)*1&gt;LEFT('General inputs'!$I$16,4)+'General inputs'!$H$38-1,"",'ET inputs'!D32)</f>
        <v>1373.143509402116</v>
      </c>
      <c r="F59" s="113">
        <f>IF(LEFT(D59,4)*1&gt;LEFT('General inputs'!$I$16,4)+'General inputs'!$H$38-1,"",E59/(1+'General inputs'!$H$30)^C59)</f>
        <v>1688.7933156914517</v>
      </c>
      <c r="G59" s="113">
        <f>IF(LEFT(D59,4)*1&gt;LEFT('General inputs'!$I$16,4)+'General inputs'!$H$38-1,"",E59/(1+'General inputs'!$H$32)^C59)</f>
        <v>1831.4284701721067</v>
      </c>
      <c r="H59" s="113" t="str">
        <f>IF(LEFT(D59,4)*1&lt;LEFT('General inputs'!$I$16,4)*1,"",IF(LEFT(D59,4)*1&gt;LEFT('General inputs'!$I$16,4)+'General inputs'!$H$38-1,"",E59/(1+'General inputs'!$H$34)^C59))</f>
        <v/>
      </c>
      <c r="I59" s="91"/>
      <c r="J59" s="151"/>
      <c r="K59" s="151"/>
      <c r="L59" s="113">
        <f>IF(LEFT(D59,4)*1&gt;LEFT('General inputs'!$I$18,4)*1,"",SUMIF('Post-1996 commissioned assets'!$F$22:$F$1477,$D59,'Post-1996 commissioned assets'!$P$22:$P$1477)*(1+$K$34)*(1+$K$35))</f>
        <v>478470.04901899921</v>
      </c>
      <c r="M59" s="113">
        <f>IF(L59="","",L59/(1+'General inputs'!$H$32)^C59)</f>
        <v>638158.84057128418</v>
      </c>
      <c r="N59" s="285" t="str">
        <f>IF(LEFT(D59,4)*1&lt;LEFT('General inputs'!$I$18,4)*1+1,"",SUMIF('Uncommissioned assets'!$F$22:$F$1500,$D59,'Uncommissioned assets'!$P$22:$P$1500))</f>
        <v/>
      </c>
      <c r="O59" s="113" t="str">
        <f>IF(N59="","",N59/(1+'General inputs'!$H$32)^C59)</f>
        <v/>
      </c>
      <c r="P59" s="91"/>
      <c r="Q59" s="119"/>
      <c r="R59" s="113" t="str">
        <f>IF(OR(LEFT(D59,4)*1&lt;LEFT('General inputs'!$I$16,4)*1,LEFT(D59,4)*1&gt;LEFT('General inputs'!$I$16,4)+'General inputs'!$H$38-1),"",Q59/(1+'General inputs'!$H$34)^C59)</f>
        <v/>
      </c>
      <c r="S59" s="91"/>
      <c r="T59" s="119"/>
      <c r="U59" s="113" t="str">
        <f>IF(OR(LEFT(D59,4)*1&lt;LEFT('General inputs'!$I$16,4)*1,LEFT(D59,4)*1&gt;LEFT('General inputs'!$I$16,4)+'General inputs'!$H$38-1),"",T59/(1+'General inputs'!$H$34)^C59)</f>
        <v/>
      </c>
      <c r="V59" s="93"/>
      <c r="W59" s="92"/>
      <c r="X59" s="48"/>
      <c r="Y59" s="48"/>
      <c r="Z59" s="48"/>
    </row>
    <row r="60" spans="1:26" x14ac:dyDescent="0.25">
      <c r="B60" s="66"/>
      <c r="C60" s="111">
        <f>IF(D60='General inputs'!$I$16,0,IF(D60&lt;'General inputs'!$I$16,C61-1,C59+1))</f>
        <v>-6</v>
      </c>
      <c r="D60" s="111" t="str">
        <f t="shared" si="1"/>
        <v>2016-17</v>
      </c>
      <c r="E60" s="113">
        <f>IF(LEFT(D60,4)*1&gt;LEFT('General inputs'!$I$16,4)+'General inputs'!$H$38-1,"",'ET inputs'!D33)</f>
        <v>900.96495301668858</v>
      </c>
      <c r="F60" s="113">
        <f>IF(LEFT(D60,4)*1&gt;LEFT('General inputs'!$I$16,4)+'General inputs'!$H$38-1,"",E60/(1+'General inputs'!$H$30)^C60)</f>
        <v>1075.7992712417195</v>
      </c>
      <c r="G60" s="113">
        <f>IF(LEFT(D60,4)*1&gt;LEFT('General inputs'!$I$16,4)+'General inputs'!$H$38-1,"",E60/(1+'General inputs'!$H$32)^C60)</f>
        <v>1153.2254320328484</v>
      </c>
      <c r="H60" s="113" t="str">
        <f>IF(LEFT(D60,4)*1&lt;LEFT('General inputs'!$I$16,4)*1,"",IF(LEFT(D60,4)*1&gt;LEFT('General inputs'!$I$16,4)+'General inputs'!$H$38-1,"",E60/(1+'General inputs'!$H$34)^C60))</f>
        <v/>
      </c>
      <c r="I60" s="91"/>
      <c r="J60" s="151"/>
      <c r="K60" s="151"/>
      <c r="L60" s="113">
        <f>IF(LEFT(D60,4)*1&gt;LEFT('General inputs'!$I$18,4)*1,"",SUMIF('Post-1996 commissioned assets'!$F$22:$F$1477,$D60,'Post-1996 commissioned assets'!$P$22:$P$1477)*(1+$K$34)*(1+$K$35))</f>
        <v>2721232.8826599522</v>
      </c>
      <c r="M60" s="113">
        <f>IF(L60="","",L60/(1+'General inputs'!$H$32)^C60)</f>
        <v>3483148.7687283969</v>
      </c>
      <c r="N60" s="285" t="str">
        <f>IF(LEFT(D60,4)*1&lt;LEFT('General inputs'!$I$18,4)*1+1,"",SUMIF('Uncommissioned assets'!$F$22:$F$1500,$D60,'Uncommissioned assets'!$P$22:$P$1500))</f>
        <v/>
      </c>
      <c r="O60" s="113" t="str">
        <f>IF(N60="","",N60/(1+'General inputs'!$H$32)^C60)</f>
        <v/>
      </c>
      <c r="P60" s="91"/>
      <c r="Q60" s="119"/>
      <c r="R60" s="113" t="str">
        <f>IF(OR(LEFT(D60,4)*1&lt;LEFT('General inputs'!$I$16,4)*1,LEFT(D60,4)*1&gt;LEFT('General inputs'!$I$16,4)+'General inputs'!$H$38-1),"",Q60/(1+'General inputs'!$H$34)^C60)</f>
        <v/>
      </c>
      <c r="S60" s="91"/>
      <c r="T60" s="119"/>
      <c r="U60" s="113" t="str">
        <f>IF(OR(LEFT(D60,4)*1&lt;LEFT('General inputs'!$I$16,4)*1,LEFT(D60,4)*1&gt;LEFT('General inputs'!$I$16,4)+'General inputs'!$H$38-1),"",T60/(1+'General inputs'!$H$34)^C60)</f>
        <v/>
      </c>
      <c r="V60" s="93"/>
      <c r="W60" s="92"/>
      <c r="X60" s="48"/>
      <c r="Y60" s="48"/>
      <c r="Z60" s="48"/>
    </row>
    <row r="61" spans="1:26" x14ac:dyDescent="0.25">
      <c r="B61" s="66"/>
      <c r="C61" s="111">
        <f>IF(D61='General inputs'!$I$16,0,IF(D61&lt;'General inputs'!$I$16,C62-1,C60+1))</f>
        <v>-5</v>
      </c>
      <c r="D61" s="111" t="str">
        <f t="shared" si="1"/>
        <v>2017-18</v>
      </c>
      <c r="E61" s="113">
        <f>IF(LEFT(D61,4)*1&gt;LEFT('General inputs'!$I$16,4)+'General inputs'!$H$38-1,"",'ET inputs'!D34)</f>
        <v>2076.8310583697744</v>
      </c>
      <c r="F61" s="113">
        <f>IF(LEFT(D61,4)*1&gt;LEFT('General inputs'!$I$16,4)+'General inputs'!$H$38-1,"",E61/(1+'General inputs'!$H$30)^C61)</f>
        <v>2407.616402669109</v>
      </c>
      <c r="G61" s="113">
        <f>IF(LEFT(D61,4)*1&gt;LEFT('General inputs'!$I$16,4)+'General inputs'!$H$38-1,"",E61/(1+'General inputs'!$H$32)^C61)</f>
        <v>2551.1721468496903</v>
      </c>
      <c r="H61" s="113" t="str">
        <f>IF(LEFT(D61,4)*1&lt;LEFT('General inputs'!$I$16,4)*1,"",IF(LEFT(D61,4)*1&gt;LEFT('General inputs'!$I$16,4)+'General inputs'!$H$38-1,"",E61/(1+'General inputs'!$H$34)^C61))</f>
        <v/>
      </c>
      <c r="I61" s="91"/>
      <c r="J61" s="151"/>
      <c r="K61" s="151"/>
      <c r="L61" s="113">
        <f>IF(LEFT(D61,4)*1&gt;LEFT('General inputs'!$I$18,4)*1,"",SUMIF('Post-1996 commissioned assets'!$F$22:$F$1477,$D61,'Post-1996 commissioned assets'!$P$22:$P$1477)*(1+$K$34)*(1+$K$35))</f>
        <v>0</v>
      </c>
      <c r="M61" s="113">
        <f>IF(L61="","",L61/(1+'General inputs'!$H$32)^C61)</f>
        <v>0</v>
      </c>
      <c r="N61" s="285" t="str">
        <f>IF(LEFT(D61,4)*1&lt;LEFT('General inputs'!$I$18,4)*1+1,"",SUMIF('Uncommissioned assets'!$F$22:$F$1500,$D61,'Uncommissioned assets'!$P$22:$P$1500))</f>
        <v/>
      </c>
      <c r="O61" s="113" t="str">
        <f>IF(N61="","",N61/(1+'General inputs'!$H$32)^C61)</f>
        <v/>
      </c>
      <c r="P61" s="91"/>
      <c r="Q61" s="119"/>
      <c r="R61" s="113" t="str">
        <f>IF(OR(LEFT(D61,4)*1&lt;LEFT('General inputs'!$I$16,4)*1,LEFT(D61,4)*1&gt;LEFT('General inputs'!$I$16,4)+'General inputs'!$H$38-1),"",Q61/(1+'General inputs'!$H$34)^C61)</f>
        <v/>
      </c>
      <c r="S61" s="91"/>
      <c r="T61" s="119"/>
      <c r="U61" s="113" t="str">
        <f>IF(OR(LEFT(D61,4)*1&lt;LEFT('General inputs'!$I$16,4)*1,LEFT(D61,4)*1&gt;LEFT('General inputs'!$I$16,4)+'General inputs'!$H$38-1),"",T61/(1+'General inputs'!$H$34)^C61)</f>
        <v/>
      </c>
      <c r="V61" s="93"/>
      <c r="W61" s="92"/>
    </row>
    <row r="62" spans="1:26" x14ac:dyDescent="0.25">
      <c r="A62" s="92"/>
      <c r="B62" s="103"/>
      <c r="C62" s="111">
        <f>IF(D62='General inputs'!$I$16,0,IF(D62&lt;'General inputs'!$I$16,C63-1,C61+1))</f>
        <v>-4</v>
      </c>
      <c r="D62" s="111" t="str">
        <f t="shared" si="1"/>
        <v>2018-19</v>
      </c>
      <c r="E62" s="113">
        <f>IF(LEFT(D62,4)*1&gt;LEFT('General inputs'!$I$16,4)+'General inputs'!$H$38-1,"",'ET inputs'!D35)</f>
        <v>814.82719902597535</v>
      </c>
      <c r="F62" s="113">
        <f>IF(LEFT(D62,4)*1&gt;LEFT('General inputs'!$I$16,4)+'General inputs'!$H$38-1,"",E62/(1+'General inputs'!$H$30)^C62)</f>
        <v>917.09519113135855</v>
      </c>
      <c r="G62" s="113">
        <f>IF(LEFT(D62,4)*1&gt;LEFT('General inputs'!$I$16,4)+'General inputs'!$H$38-1,"",E62/(1+'General inputs'!$H$32)^C62)</f>
        <v>960.58631070145213</v>
      </c>
      <c r="H62" s="113" t="str">
        <f>IF(LEFT(D62,4)*1&lt;LEFT('General inputs'!$I$16,4)*1,"",IF(LEFT(D62,4)*1&gt;LEFT('General inputs'!$I$16,4)+'General inputs'!$H$38-1,"",E62/(1+'General inputs'!$H$34)^C62))</f>
        <v/>
      </c>
      <c r="I62" s="91"/>
      <c r="J62" s="151"/>
      <c r="K62" s="151"/>
      <c r="L62" s="113">
        <f>IF(LEFT(D62,4)*1&gt;LEFT('General inputs'!$I$18,4)*1,"",SUMIF('Post-1996 commissioned assets'!$F$22:$F$1477,$D62,'Post-1996 commissioned assets'!$P$22:$P$1477)*(1+$K$34)*(1+$K$35))</f>
        <v>413974.63597831764</v>
      </c>
      <c r="M62" s="113">
        <f>IF(L62="","",L62/(1+'General inputs'!$H$32)^C62)</f>
        <v>488027.85274441005</v>
      </c>
      <c r="N62" s="285" t="str">
        <f>IF(LEFT(D62,4)*1&lt;LEFT('General inputs'!$I$18,4)*1+1,"",SUMIF('Uncommissioned assets'!$F$22:$F$1500,$D62,'Uncommissioned assets'!$P$22:$P$1500))</f>
        <v/>
      </c>
      <c r="O62" s="113" t="str">
        <f>IF(N62="","",N62/(1+'General inputs'!$H$32)^C62)</f>
        <v/>
      </c>
      <c r="P62" s="91"/>
      <c r="Q62" s="119"/>
      <c r="R62" s="113" t="str">
        <f>IF(OR(LEFT(D62,4)*1&lt;LEFT('General inputs'!$I$16,4)*1,LEFT(D62,4)*1&gt;LEFT('General inputs'!$I$16,4)+'General inputs'!$H$38-1),"",Q62/(1+'General inputs'!$H$34)^C62)</f>
        <v/>
      </c>
      <c r="S62" s="91"/>
      <c r="T62" s="119"/>
      <c r="U62" s="113" t="str">
        <f>IF(OR(LEFT(D62,4)*1&lt;LEFT('General inputs'!$I$16,4)*1,LEFT(D62,4)*1&gt;LEFT('General inputs'!$I$16,4)+'General inputs'!$H$38-1),"",T62/(1+'General inputs'!$H$34)^C62)</f>
        <v/>
      </c>
      <c r="V62" s="93"/>
      <c r="W62" s="92"/>
    </row>
    <row r="63" spans="1:26" x14ac:dyDescent="0.25">
      <c r="B63" s="66"/>
      <c r="C63" s="111">
        <f>IF(D63='General inputs'!$I$16,0,IF(D63&lt;'General inputs'!$I$16,C64-1,C62+1))</f>
        <v>-3</v>
      </c>
      <c r="D63" s="111" t="str">
        <f t="shared" si="1"/>
        <v>2019-20</v>
      </c>
      <c r="E63" s="113">
        <f>IF(LEFT(D63,4)*1&gt;LEFT('General inputs'!$I$16,4)+'General inputs'!$H$38-1,"",'ET inputs'!D36)</f>
        <v>226.3583322899712</v>
      </c>
      <c r="F63" s="113">
        <f>IF(LEFT(D63,4)*1&gt;LEFT('General inputs'!$I$16,4)+'General inputs'!$H$38-1,"",E63/(1+'General inputs'!$H$30)^C63)</f>
        <v>247.34786136822336</v>
      </c>
      <c r="G63" s="113">
        <f>IF(LEFT(D63,4)*1&gt;LEFT('General inputs'!$I$16,4)+'General inputs'!$H$38-1,"",E63/(1+'General inputs'!$H$32)^C63)</f>
        <v>256.09414088910887</v>
      </c>
      <c r="H63" s="113" t="str">
        <f>IF(LEFT(D63,4)*1&lt;LEFT('General inputs'!$I$16,4)*1,"",IF(LEFT(D63,4)*1&gt;LEFT('General inputs'!$I$16,4)+'General inputs'!$H$38-1,"",E63/(1+'General inputs'!$H$34)^C63))</f>
        <v/>
      </c>
      <c r="I63" s="91"/>
      <c r="J63" s="151"/>
      <c r="K63" s="151"/>
      <c r="L63" s="113">
        <f>IF(LEFT(D63,4)*1&gt;LEFT('General inputs'!$I$18,4)*1,"",SUMIF('Post-1996 commissioned assets'!$F$22:$F$1477,$D63,'Post-1996 commissioned assets'!$P$22:$P$1477)*(1+$K$34)*(1+$K$35))</f>
        <v>0</v>
      </c>
      <c r="M63" s="113">
        <f>IF(L63="","",L63/(1+'General inputs'!$H$32)^C63)</f>
        <v>0</v>
      </c>
      <c r="N63" s="285" t="str">
        <f>IF(LEFT(D63,4)*1&lt;LEFT('General inputs'!$I$18,4)*1+1,"",SUMIF('Uncommissioned assets'!$F$22:$F$1500,$D63,'Uncommissioned assets'!$P$22:$P$1500))</f>
        <v/>
      </c>
      <c r="O63" s="113" t="str">
        <f>IF(N63="","",N63/(1+'General inputs'!$H$32)^C63)</f>
        <v/>
      </c>
      <c r="P63" s="91"/>
      <c r="Q63" s="119"/>
      <c r="R63" s="113" t="str">
        <f>IF(OR(LEFT(D63,4)*1&lt;LEFT('General inputs'!$I$16,4)*1,LEFT(D63,4)*1&gt;LEFT('General inputs'!$I$16,4)+'General inputs'!$H$38-1),"",Q63/(1+'General inputs'!$H$34)^C63)</f>
        <v/>
      </c>
      <c r="S63" s="91"/>
      <c r="T63" s="119"/>
      <c r="U63" s="113" t="str">
        <f>IF(OR(LEFT(D63,4)*1&lt;LEFT('General inputs'!$I$16,4)*1,LEFT(D63,4)*1&gt;LEFT('General inputs'!$I$16,4)+'General inputs'!$H$38-1),"",T63/(1+'General inputs'!$H$34)^C63)</f>
        <v/>
      </c>
      <c r="V63" s="93"/>
      <c r="W63" s="92"/>
    </row>
    <row r="64" spans="1:26" x14ac:dyDescent="0.25">
      <c r="B64" s="66"/>
      <c r="C64" s="111">
        <f>IF(D64='General inputs'!$I$16,0,IF(D64&lt;'General inputs'!$I$16,C65-1,C63+1))</f>
        <v>-2</v>
      </c>
      <c r="D64" s="111" t="str">
        <f t="shared" si="1"/>
        <v>2020-21</v>
      </c>
      <c r="E64" s="113">
        <f>IF(LEFT(D64,4)*1&gt;LEFT('General inputs'!$I$16,4)+'General inputs'!$H$38-1,"",'ET inputs'!D37)</f>
        <v>696.54177313778723</v>
      </c>
      <c r="F64" s="113">
        <f>IF(LEFT(D64,4)*1&gt;LEFT('General inputs'!$I$16,4)+'General inputs'!$H$38-1,"",E64/(1+'General inputs'!$H$30)^C64)</f>
        <v>738.96116712187847</v>
      </c>
      <c r="G64" s="113">
        <f>IF(LEFT(D64,4)*1&gt;LEFT('General inputs'!$I$16,4)+'General inputs'!$H$38-1,"",E64/(1+'General inputs'!$H$32)^C64)</f>
        <v>756.27998176917652</v>
      </c>
      <c r="H64" s="113" t="str">
        <f>IF(LEFT(D64,4)*1&lt;LEFT('General inputs'!$I$16,4)*1,"",IF(LEFT(D64,4)*1&gt;LEFT('General inputs'!$I$16,4)+'General inputs'!$H$38-1,"",E64/(1+'General inputs'!$H$34)^C64))</f>
        <v/>
      </c>
      <c r="I64" s="91"/>
      <c r="J64" s="151"/>
      <c r="K64" s="151"/>
      <c r="L64" s="113">
        <f>IF(LEFT(D64,4)*1&gt;LEFT('General inputs'!$I$18,4)*1,"",SUMIF('Post-1996 commissioned assets'!$F$22:$F$1477,$D64,'Post-1996 commissioned assets'!$P$22:$P$1477)*(1+$K$34)*(1+$K$35))</f>
        <v>414975.75554819265</v>
      </c>
      <c r="M64" s="113">
        <f>IF(L64="","",L64/(1+'General inputs'!$H$32)^C64)</f>
        <v>450565.73624702793</v>
      </c>
      <c r="N64" s="285" t="str">
        <f>IF(LEFT(D64,4)*1&lt;LEFT('General inputs'!$I$18,4)*1+1,"",SUMIF('Uncommissioned assets'!$F$22:$F$1500,$D64,'Uncommissioned assets'!$P$22:$P$1500))</f>
        <v/>
      </c>
      <c r="O64" s="113" t="str">
        <f>IF(N64="","",N64/(1+'General inputs'!$H$32)^C64)</f>
        <v/>
      </c>
      <c r="P64" s="91"/>
      <c r="Q64" s="119"/>
      <c r="R64" s="113" t="str">
        <f>IF(OR(LEFT(D64,4)*1&lt;LEFT('General inputs'!$I$16,4)*1,LEFT(D64,4)*1&gt;LEFT('General inputs'!$I$16,4)+'General inputs'!$H$38-1),"",Q64/(1+'General inputs'!$H$34)^C64)</f>
        <v/>
      </c>
      <c r="S64" s="91"/>
      <c r="T64" s="119"/>
      <c r="U64" s="113" t="str">
        <f>IF(OR(LEFT(D64,4)*1&lt;LEFT('General inputs'!$I$16,4)*1,LEFT(D64,4)*1&gt;LEFT('General inputs'!$I$16,4)+'General inputs'!$H$38-1),"",T64/(1+'General inputs'!$H$34)^C64)</f>
        <v/>
      </c>
      <c r="V64" s="93"/>
      <c r="W64" s="92"/>
    </row>
    <row r="65" spans="2:23" x14ac:dyDescent="0.25">
      <c r="B65" s="66"/>
      <c r="C65" s="111">
        <f>IF(D65='General inputs'!$I$16,0,IF(D65&lt;'General inputs'!$I$16,C66-1,C64+1))</f>
        <v>-1</v>
      </c>
      <c r="D65" s="111" t="str">
        <f t="shared" si="1"/>
        <v>2021-22</v>
      </c>
      <c r="E65" s="113">
        <f>IF(LEFT(D65,4)*1&gt;LEFT('General inputs'!$I$16,4)+'General inputs'!$H$38-1,"",'ET inputs'!D38)</f>
        <v>434.534701975747</v>
      </c>
      <c r="F65" s="113">
        <f>IF(LEFT(D65,4)*1&gt;LEFT('General inputs'!$I$16,4)+'General inputs'!$H$38-1,"",E65/(1+'General inputs'!$H$30)^C65)</f>
        <v>447.5707430350194</v>
      </c>
      <c r="G65" s="113">
        <f>IF(LEFT(D65,4)*1&gt;LEFT('General inputs'!$I$16,4)+'General inputs'!$H$38-1,"",E65/(1+'General inputs'!$H$32)^C65)</f>
        <v>452.7851594587284</v>
      </c>
      <c r="H65" s="113" t="str">
        <f>IF(LEFT(D65,4)*1&lt;LEFT('General inputs'!$I$16,4)*1,"",IF(LEFT(D65,4)*1&gt;LEFT('General inputs'!$I$16,4)+'General inputs'!$H$38-1,"",E65/(1+'General inputs'!$H$34)^C65))</f>
        <v/>
      </c>
      <c r="I65" s="91"/>
      <c r="J65" s="151"/>
      <c r="K65" s="151"/>
      <c r="L65" s="113" t="str">
        <f>IF(LEFT(D65,4)*1&gt;LEFT('General inputs'!$I$18,4)*1,"",SUMIF('Post-1996 commissioned assets'!$F$22:$F$1477,$D65,'Post-1996 commissioned assets'!$P$22:$P$1477)*(1+$K$34)*(1+$K$35))</f>
        <v/>
      </c>
      <c r="M65" s="113" t="str">
        <f>IF(L65="","",L65/(1+'General inputs'!$H$32)^C65)</f>
        <v/>
      </c>
      <c r="N65" s="285">
        <f>IF(LEFT(D65,4)*1&lt;LEFT('General inputs'!$I$18,4)*1+1,"",SUMIF('Uncommissioned assets'!$F$22:$F$1500,$D65,'Uncommissioned assets'!$P$22:$P$1500))</f>
        <v>160817401.80211532</v>
      </c>
      <c r="O65" s="113">
        <f>IF(N65="","",N65/(1+'General inputs'!$H$32)^C65)</f>
        <v>167571732.67780417</v>
      </c>
      <c r="P65" s="91"/>
      <c r="Q65" s="119"/>
      <c r="R65" s="113" t="str">
        <f>IF(OR(LEFT(D65,4)*1&lt;LEFT('General inputs'!$I$16,4)*1,LEFT(D65,4)*1&gt;LEFT('General inputs'!$I$16,4)+'General inputs'!$H$38-1),"",Q65/(1+'General inputs'!$H$34)^C65)</f>
        <v/>
      </c>
      <c r="S65" s="91"/>
      <c r="T65" s="119"/>
      <c r="U65" s="113" t="str">
        <f>IF(OR(LEFT(D65,4)*1&lt;LEFT('General inputs'!$I$16,4)*1,LEFT(D65,4)*1&gt;LEFT('General inputs'!$I$16,4)+'General inputs'!$H$38-1),"",T65/(1+'General inputs'!$H$34)^C65)</f>
        <v/>
      </c>
      <c r="V65" s="93"/>
      <c r="W65" s="92"/>
    </row>
    <row r="66" spans="2:23" x14ac:dyDescent="0.25">
      <c r="B66" s="66"/>
      <c r="C66" s="111">
        <f>IF(D66='General inputs'!$I$16,0,IF(D66&lt;'General inputs'!$I$16,C67-1,C65+1))</f>
        <v>0</v>
      </c>
      <c r="D66" s="111" t="str">
        <f t="shared" si="1"/>
        <v>2022-23</v>
      </c>
      <c r="E66" s="113">
        <f>IF(LEFT(D66,4)*1&gt;LEFT('General inputs'!$I$16,4)+'General inputs'!$H$38-1,"",'ET inputs'!D39)</f>
        <v>4240.9160833628903</v>
      </c>
      <c r="F66" s="113">
        <f>IF(LEFT(D66,4)*1&gt;LEFT('General inputs'!$I$16,4)+'General inputs'!$H$38-1,"",E66/(1+'General inputs'!$H$30)^C66)</f>
        <v>4240.9160833628903</v>
      </c>
      <c r="G66" s="113">
        <f>IF(LEFT(D66,4)*1&gt;LEFT('General inputs'!$I$16,4)+'General inputs'!$H$38-1,"",E66/(1+'General inputs'!$H$32)^C66)</f>
        <v>4240.9160833628903</v>
      </c>
      <c r="H66" s="113">
        <f>IF(LEFT(D66,4)*1&lt;LEFT('General inputs'!$I$16,4)*1,"",IF(LEFT(D66,4)*1&gt;LEFT('General inputs'!$I$16,4)+'General inputs'!$H$38-1,"",E66/(1+'General inputs'!$H$34)^C66))</f>
        <v>4240.9160833628903</v>
      </c>
      <c r="I66" s="91"/>
      <c r="J66" s="151"/>
      <c r="K66" s="151"/>
      <c r="L66" s="113" t="str">
        <f>IF(LEFT(D66,4)*1&gt;LEFT('General inputs'!$I$18,4)*1,"",SUMIF('Post-1996 commissioned assets'!$F$22:$F$1477,$D66,'Post-1996 commissioned assets'!$P$22:$P$1477)*(1+$K$34)*(1+$K$35))</f>
        <v/>
      </c>
      <c r="M66" s="113" t="str">
        <f>IF(L66="","",L66/(1+'General inputs'!$H$32)^C66)</f>
        <v/>
      </c>
      <c r="N66" s="285">
        <f>IF(LEFT(D66,4)*1&lt;LEFT('General inputs'!$I$18,4)*1+1,"",SUMIF('Uncommissioned assets'!$F$22:$F$1500,$D66,'Uncommissioned assets'!$P$22:$P$1500))</f>
        <v>258743571.56910899</v>
      </c>
      <c r="O66" s="113">
        <f>IF(N66="","",N66/(1+'General inputs'!$H$32)^C66)</f>
        <v>258743571.56910899</v>
      </c>
      <c r="P66" s="91"/>
      <c r="Q66" s="119">
        <f>'Reduction amount'!M38</f>
        <v>716609.51313359523</v>
      </c>
      <c r="R66" s="113">
        <f>IF(OR(LEFT(D66,4)*1&lt;LEFT('General inputs'!$I$16,4)*1,LEFT(D66,4)*1&gt;LEFT('General inputs'!$I$16,4)+'General inputs'!$H$38-1),"",Q66/(1+'General inputs'!$H$34)^C66)</f>
        <v>716609.51313359523</v>
      </c>
      <c r="S66" s="91"/>
      <c r="T66" s="119">
        <f>'Reduction amount'!H38</f>
        <v>516481.59918312373</v>
      </c>
      <c r="U66" s="113">
        <f>IF(OR(LEFT(D66,4)*1&lt;LEFT('General inputs'!$I$16,4)*1,LEFT(D66,4)*1&gt;LEFT('General inputs'!$I$16,4)+'General inputs'!$H$38-1),"",T66/(1+'General inputs'!$H$34)^C66)</f>
        <v>516481.59918312373</v>
      </c>
      <c r="V66" s="93"/>
      <c r="W66" s="92"/>
    </row>
    <row r="67" spans="2:23" x14ac:dyDescent="0.25">
      <c r="B67" s="66"/>
      <c r="C67" s="111">
        <f>IF(D67='General inputs'!$I$16,0,IF(D67&lt;'General inputs'!$I$16,C68-1,C66+1))</f>
        <v>1</v>
      </c>
      <c r="D67" s="111" t="str">
        <f t="shared" si="1"/>
        <v>2023-24</v>
      </c>
      <c r="E67" s="113">
        <f>IF(LEFT(D67,4)*1&gt;LEFT('General inputs'!$I$16,4)+'General inputs'!$H$38-1,"",'ET inputs'!D40)</f>
        <v>4222.1789675063628</v>
      </c>
      <c r="F67" s="113">
        <f>IF(LEFT(D67,4)*1&gt;LEFT('General inputs'!$I$16,4)+'General inputs'!$H$38-1,"",E67/(1+'General inputs'!$H$30)^C67)</f>
        <v>4099.2028810741385</v>
      </c>
      <c r="G67" s="113">
        <f>IF(LEFT(D67,4)*1&gt;LEFT('General inputs'!$I$16,4)+'General inputs'!$H$38-1,"",E67/(1+'General inputs'!$H$32)^C67)</f>
        <v>4051.9951703515958</v>
      </c>
      <c r="H67" s="113">
        <f>IF(LEFT(D67,4)*1&lt;LEFT('General inputs'!$I$16,4)*1,"",IF(LEFT(D67,4)*1&gt;LEFT('General inputs'!$I$16,4)+'General inputs'!$H$38-1,"",E67/(1+'General inputs'!$H$34)^C67))</f>
        <v>4051.9951703515958</v>
      </c>
      <c r="I67" s="91"/>
      <c r="J67" s="151"/>
      <c r="K67" s="151"/>
      <c r="L67" s="113" t="str">
        <f>IF(LEFT(D67,4)*1&gt;LEFT('General inputs'!$I$18,4)*1,"",SUMIF('Post-1996 commissioned assets'!$F$22:$F$1477,$D67,'Post-1996 commissioned assets'!$P$22:$P$1477)*(1+$K$34)*(1+$K$35))</f>
        <v/>
      </c>
      <c r="M67" s="113" t="str">
        <f>IF(L67="","",L67/(1+'General inputs'!$H$32)^C67)</f>
        <v/>
      </c>
      <c r="N67" s="285">
        <f>IF(LEFT(D67,4)*1&lt;LEFT('General inputs'!$I$18,4)*1+1,"",SUMIF('Uncommissioned assets'!$F$22:$F$1500,$D67,'Uncommissioned assets'!$P$22:$P$1500))</f>
        <v>9106160</v>
      </c>
      <c r="O67" s="113">
        <f>IF(N67="","",N67/(1+'General inputs'!$H$32)^C67)</f>
        <v>8739117.0825335886</v>
      </c>
      <c r="P67" s="91"/>
      <c r="Q67" s="119">
        <f>'Reduction amount'!M39</f>
        <v>1421782.4613563891</v>
      </c>
      <c r="R67" s="113">
        <f>IF(OR(LEFT(D67,4)*1&lt;LEFT('General inputs'!$I$16,4)*1,LEFT(D67,4)*1&gt;LEFT('General inputs'!$I$16,4)+'General inputs'!$H$38-1),"",Q67/(1+'General inputs'!$H$34)^C67)</f>
        <v>1364474.5310521969</v>
      </c>
      <c r="S67" s="91"/>
      <c r="T67" s="119">
        <f>'Reduction amount'!H39</f>
        <v>1167235.713008719</v>
      </c>
      <c r="U67" s="113">
        <f>IF(OR(LEFT(D67,4)*1&lt;LEFT('General inputs'!$I$16,4)*1,LEFT(D67,4)*1&gt;LEFT('General inputs'!$I$16,4)+'General inputs'!$H$38-1),"",T67/(1+'General inputs'!$H$34)^C67)</f>
        <v>1120187.8243845671</v>
      </c>
      <c r="V67" s="93"/>
      <c r="W67" s="92"/>
    </row>
    <row r="68" spans="2:23" x14ac:dyDescent="0.25">
      <c r="B68" s="66"/>
      <c r="C68" s="111">
        <f>IF(D68='General inputs'!$I$16,0,IF(D68&lt;'General inputs'!$I$16,C69-1,C67+1))</f>
        <v>2</v>
      </c>
      <c r="D68" s="111" t="str">
        <f t="shared" si="1"/>
        <v>2024-25</v>
      </c>
      <c r="E68" s="113">
        <f>IF(LEFT(D68,4)*1&gt;LEFT('General inputs'!$I$16,4)+'General inputs'!$H$38-1,"",'ET inputs'!D41)</f>
        <v>4143.4183119156478</v>
      </c>
      <c r="F68" s="113">
        <f>IF(LEFT(D68,4)*1&gt;LEFT('General inputs'!$I$16,4)+'General inputs'!$H$38-1,"",E68/(1+'General inputs'!$H$30)^C68)</f>
        <v>3905.569150641576</v>
      </c>
      <c r="G68" s="113">
        <f>IF(LEFT(D68,4)*1&gt;LEFT('General inputs'!$I$16,4)+'General inputs'!$H$38-1,"",E68/(1+'General inputs'!$H$32)^C68)</f>
        <v>3816.1316012647749</v>
      </c>
      <c r="H68" s="113">
        <f>IF(LEFT(D68,4)*1&lt;LEFT('General inputs'!$I$16,4)*1,"",IF(LEFT(D68,4)*1&gt;LEFT('General inputs'!$I$16,4)+'General inputs'!$H$38-1,"",E68/(1+'General inputs'!$H$34)^C68))</f>
        <v>3816.1316012647749</v>
      </c>
      <c r="I68" s="91"/>
      <c r="J68" s="151"/>
      <c r="K68" s="151"/>
      <c r="L68" s="113" t="str">
        <f>IF(LEFT(D68,4)*1&gt;LEFT('General inputs'!$I$18,4)*1,"",SUMIF('Post-1996 commissioned assets'!$F$22:$F$1477,$D68,'Post-1996 commissioned assets'!$P$22:$P$1477)*(1+$K$34)*(1+$K$35))</f>
        <v/>
      </c>
      <c r="M68" s="113" t="str">
        <f>IF(L68="","",L68/(1+'General inputs'!$H$32)^C68)</f>
        <v/>
      </c>
      <c r="N68" s="285">
        <f>IF(LEFT(D68,4)*1&lt;LEFT('General inputs'!$I$18,4)*1+1,"",SUMIF('Uncommissioned assets'!$F$22:$F$1500,$D68,'Uncommissioned assets'!$P$22:$P$1500))</f>
        <v>1235594165.1255569</v>
      </c>
      <c r="O68" s="113">
        <f>IF(N68="","",N68/(1+'General inputs'!$H$32)^C68)</f>
        <v>1137995149.1535516</v>
      </c>
      <c r="P68" s="91"/>
      <c r="Q68" s="119">
        <f>'Reduction amount'!M40</f>
        <v>2066027.7415874132</v>
      </c>
      <c r="R68" s="113">
        <f>IF(OR(LEFT(D68,4)*1&lt;LEFT('General inputs'!$I$16,4)*1,LEFT(D68,4)*1&gt;LEFT('General inputs'!$I$16,4)+'General inputs'!$H$38-1),"",Q68/(1+'General inputs'!$H$34)^C68)</f>
        <v>1902833.158575356</v>
      </c>
      <c r="S68" s="91"/>
      <c r="T68" s="119">
        <f>'Reduction amount'!H40</f>
        <v>1796243.1402951712</v>
      </c>
      <c r="U68" s="113">
        <f>IF(OR(LEFT(D68,4)*1&lt;LEFT('General inputs'!$I$16,4)*1,LEFT(D68,4)*1&gt;LEFT('General inputs'!$I$16,4)+'General inputs'!$H$38-1),"",T68/(1+'General inputs'!$H$34)^C68)</f>
        <v>1654358.7191094665</v>
      </c>
      <c r="V68" s="93"/>
      <c r="W68" s="92"/>
    </row>
    <row r="69" spans="2:23" x14ac:dyDescent="0.25">
      <c r="B69" s="66"/>
      <c r="C69" s="111">
        <f>IF(D69='General inputs'!$I$16,0,IF(D69&lt;'General inputs'!$I$16,C70-1,C68+1))</f>
        <v>3</v>
      </c>
      <c r="D69" s="111" t="str">
        <f t="shared" si="1"/>
        <v>2025-26</v>
      </c>
      <c r="E69" s="113">
        <f>IF(LEFT(D69,4)*1&gt;LEFT('General inputs'!$I$16,4)+'General inputs'!$H$38-1,"",'ET inputs'!D42)</f>
        <v>4380.8532787928743</v>
      </c>
      <c r="F69" s="113">
        <f>IF(LEFT(D69,4)*1&gt;LEFT('General inputs'!$I$16,4)+'General inputs'!$H$38-1,"",E69/(1+'General inputs'!$H$30)^C69)</f>
        <v>4009.1013389372406</v>
      </c>
      <c r="G69" s="113">
        <f>IF(LEFT(D69,4)*1&gt;LEFT('General inputs'!$I$16,4)+'General inputs'!$H$38-1,"",E69/(1+'General inputs'!$H$32)^C69)</f>
        <v>3872.1801238865428</v>
      </c>
      <c r="H69" s="113">
        <f>IF(LEFT(D69,4)*1&lt;LEFT('General inputs'!$I$16,4)*1,"",IF(LEFT(D69,4)*1&gt;LEFT('General inputs'!$I$16,4)+'General inputs'!$H$38-1,"",E69/(1+'General inputs'!$H$34)^C69))</f>
        <v>3872.1801238865428</v>
      </c>
      <c r="I69" s="91"/>
      <c r="J69" s="151"/>
      <c r="K69" s="151"/>
      <c r="L69" s="113" t="str">
        <f>IF(LEFT(D69,4)*1&gt;LEFT('General inputs'!$I$18,4)*1,"",SUMIF('Post-1996 commissioned assets'!$F$22:$F$1477,$D69,'Post-1996 commissioned assets'!$P$22:$P$1477)*(1+$K$34)*(1+$K$35))</f>
        <v/>
      </c>
      <c r="M69" s="113" t="str">
        <f>IF(L69="","",L69/(1+'General inputs'!$H$32)^C69)</f>
        <v/>
      </c>
      <c r="N69" s="285">
        <f>IF(LEFT(D69,4)*1&lt;LEFT('General inputs'!$I$18,4)*1+1,"",SUMIF('Uncommissioned assets'!$F$22:$F$1500,$D69,'Uncommissioned assets'!$P$22:$P$1500))</f>
        <v>579310097.06457472</v>
      </c>
      <c r="O69" s="113">
        <f>IF(N69="","",N69/(1+'General inputs'!$H$32)^C69)</f>
        <v>512044777.73296541</v>
      </c>
      <c r="P69" s="91"/>
      <c r="Q69" s="119">
        <f>'Reduction amount'!M41</f>
        <v>2780153.4879080043</v>
      </c>
      <c r="R69" s="113">
        <f>IF(OR(LEFT(D69,4)*1&lt;LEFT('General inputs'!$I$16,4)*1,LEFT(D69,4)*1&gt;LEFT('General inputs'!$I$16,4)+'General inputs'!$H$38-1),"",Q69/(1+'General inputs'!$H$34)^C69)</f>
        <v>2457342.0729117733</v>
      </c>
      <c r="S69" s="91"/>
      <c r="T69" s="119">
        <f>'Reduction amount'!H41</f>
        <v>3218744.3794997609</v>
      </c>
      <c r="U69" s="113">
        <f>IF(OR(LEFT(D69,4)*1&lt;LEFT('General inputs'!$I$16,4)*1,LEFT(D69,4)*1&gt;LEFT('General inputs'!$I$16,4)+'General inputs'!$H$38-1),"",T69/(1+'General inputs'!$H$34)^C69)</f>
        <v>2845006.9465930113</v>
      </c>
      <c r="V69" s="93"/>
      <c r="W69" s="92"/>
    </row>
    <row r="70" spans="2:23" x14ac:dyDescent="0.25">
      <c r="B70" s="66"/>
      <c r="C70" s="111">
        <f>IF(D70='General inputs'!$I$16,0,IF(D70&lt;'General inputs'!$I$16,C71-1,C69+1))</f>
        <v>4</v>
      </c>
      <c r="D70" s="111" t="str">
        <f t="shared" si="1"/>
        <v>2026-27</v>
      </c>
      <c r="E70" s="113">
        <f>IF(LEFT(D70,4)*1&gt;LEFT('General inputs'!$I$16,4)+'General inputs'!$H$38-1,"",'ET inputs'!D43)</f>
        <v>4465.1531087596777</v>
      </c>
      <c r="F70" s="113">
        <f>IF(LEFT(D70,4)*1&gt;LEFT('General inputs'!$I$16,4)+'General inputs'!$H$38-1,"",E70/(1+'General inputs'!$H$30)^C70)</f>
        <v>3967.2307040934475</v>
      </c>
      <c r="G70" s="113">
        <f>IF(LEFT(D70,4)*1&gt;LEFT('General inputs'!$I$16,4)+'General inputs'!$H$38-1,"",E70/(1+'General inputs'!$H$32)^C70)</f>
        <v>3787.6119618818493</v>
      </c>
      <c r="H70" s="113">
        <f>IF(LEFT(D70,4)*1&lt;LEFT('General inputs'!$I$16,4)*1,"",IF(LEFT(D70,4)*1&gt;LEFT('General inputs'!$I$16,4)+'General inputs'!$H$38-1,"",E70/(1+'General inputs'!$H$34)^C70))</f>
        <v>3787.6119618818493</v>
      </c>
      <c r="I70" s="91"/>
      <c r="J70" s="151"/>
      <c r="K70" s="151"/>
      <c r="L70" s="113" t="str">
        <f>IF(LEFT(D70,4)*1&gt;LEFT('General inputs'!$I$18,4)*1,"",SUMIF('Post-1996 commissioned assets'!$F$22:$F$1477,$D70,'Post-1996 commissioned assets'!$P$22:$P$1477)*(1+$K$34)*(1+$K$35))</f>
        <v/>
      </c>
      <c r="M70" s="113" t="str">
        <f>IF(L70="","",L70/(1+'General inputs'!$H$32)^C70)</f>
        <v/>
      </c>
      <c r="N70" s="285">
        <f>IF(LEFT(D70,4)*1&lt;LEFT('General inputs'!$I$18,4)*1+1,"",SUMIF('Uncommissioned assets'!$F$22:$F$1500,$D70,'Uncommissioned assets'!$P$22:$P$1500))</f>
        <v>194371271.09052131</v>
      </c>
      <c r="O70" s="113">
        <f>IF(N70="","",N70/(1+'General inputs'!$H$32)^C70)</f>
        <v>164877426.03593257</v>
      </c>
      <c r="P70" s="91"/>
      <c r="Q70" s="119">
        <f>'Reduction amount'!M42</f>
        <v>3508899.4632370081</v>
      </c>
      <c r="R70" s="113">
        <f>IF(OR(LEFT(D70,4)*1&lt;LEFT('General inputs'!$I$16,4)*1,LEFT(D70,4)*1&gt;LEFT('General inputs'!$I$16,4)+'General inputs'!$H$38-1),"",Q70/(1+'General inputs'!$H$34)^C70)</f>
        <v>2976459.9905710872</v>
      </c>
      <c r="S70" s="91"/>
      <c r="T70" s="119">
        <f>'Reduction amount'!H42</f>
        <v>4101480.4817555086</v>
      </c>
      <c r="U70" s="113">
        <f>IF(OR(LEFT(D70,4)*1&lt;LEFT('General inputs'!$I$16,4)*1,LEFT(D70,4)*1&gt;LEFT('General inputs'!$I$16,4)+'General inputs'!$H$38-1),"",T70/(1+'General inputs'!$H$34)^C70)</f>
        <v>3479122.9227159307</v>
      </c>
      <c r="V70" s="93"/>
      <c r="W70" s="92"/>
    </row>
    <row r="71" spans="2:23" x14ac:dyDescent="0.25">
      <c r="B71" s="66"/>
      <c r="C71" s="111">
        <f>IF(D71='General inputs'!$I$16,0,IF(D71&lt;'General inputs'!$I$16,C72-1,C70+1))</f>
        <v>5</v>
      </c>
      <c r="D71" s="111" t="str">
        <f t="shared" si="1"/>
        <v>2027-28</v>
      </c>
      <c r="E71" s="113">
        <f>IF(LEFT(D71,4)*1&gt;LEFT('General inputs'!$I$16,4)+'General inputs'!$H$38-1,"",'ET inputs'!D44)</f>
        <v>5042.1620640995216</v>
      </c>
      <c r="F71" s="113">
        <f>IF(LEFT(D71,4)*1&gt;LEFT('General inputs'!$I$16,4)+'General inputs'!$H$38-1,"",E71/(1+'General inputs'!$H$30)^C71)</f>
        <v>4349.4132887808364</v>
      </c>
      <c r="G71" s="113">
        <f>IF(LEFT(D71,4)*1&gt;LEFT('General inputs'!$I$16,4)+'General inputs'!$H$38-1,"",E71/(1+'General inputs'!$H$32)^C71)</f>
        <v>4104.6696080414313</v>
      </c>
      <c r="H71" s="113">
        <f>IF(LEFT(D71,4)*1&lt;LEFT('General inputs'!$I$16,4)*1,"",IF(LEFT(D71,4)*1&gt;LEFT('General inputs'!$I$16,4)+'General inputs'!$H$38-1,"",E71/(1+'General inputs'!$H$34)^C71))</f>
        <v>4104.6696080414313</v>
      </c>
      <c r="I71" s="91"/>
      <c r="J71" s="151"/>
      <c r="K71" s="151"/>
      <c r="L71" s="113" t="str">
        <f>IF(LEFT(D71,4)*1&gt;LEFT('General inputs'!$I$18,4)*1,"",SUMIF('Post-1996 commissioned assets'!$F$22:$F$1477,$D71,'Post-1996 commissioned assets'!$P$22:$P$1477)*(1+$K$34)*(1+$K$35))</f>
        <v/>
      </c>
      <c r="M71" s="113" t="str">
        <f>IF(L71="","",L71/(1+'General inputs'!$H$32)^C71)</f>
        <v/>
      </c>
      <c r="N71" s="285">
        <f>IF(LEFT(D71,4)*1&lt;LEFT('General inputs'!$I$18,4)*1+1,"",SUMIF('Uncommissioned assets'!$F$22:$F$1500,$D71,'Uncommissioned assets'!$P$22:$P$1500))</f>
        <v>20125092.714073792</v>
      </c>
      <c r="O71" s="113">
        <f>IF(N71="","",N71/(1+'General inputs'!$H$32)^C71)</f>
        <v>16383221.200016599</v>
      </c>
      <c r="P71" s="91"/>
      <c r="Q71" s="119">
        <f>'Reduction amount'!M43</f>
        <v>4313955.6046514567</v>
      </c>
      <c r="R71" s="113">
        <f>IF(OR(LEFT(D71,4)*1&lt;LEFT('General inputs'!$I$16,4)*1,LEFT(D71,4)*1&gt;LEFT('General inputs'!$I$16,4)+'General inputs'!$H$38-1),"",Q71/(1+'General inputs'!$H$34)^C71)</f>
        <v>3511859.0469216076</v>
      </c>
      <c r="S71" s="91"/>
      <c r="T71" s="119">
        <f>'Reduction amount'!H43</f>
        <v>5057957.9027667372</v>
      </c>
      <c r="U71" s="113">
        <f>IF(OR(LEFT(D71,4)*1&lt;LEFT('General inputs'!$I$16,4)*1,LEFT(D71,4)*1&gt;LEFT('General inputs'!$I$16,4)+'General inputs'!$H$38-1),"",T71/(1+'General inputs'!$H$34)^C71)</f>
        <v>4117528.5162015809</v>
      </c>
      <c r="V71" s="93"/>
      <c r="W71" s="92"/>
    </row>
    <row r="72" spans="2:23" x14ac:dyDescent="0.25">
      <c r="B72" s="66"/>
      <c r="C72" s="111">
        <f>IF(D72='General inputs'!$I$16,0,IF(D72&lt;'General inputs'!$I$16,C73-1,C71+1))</f>
        <v>6</v>
      </c>
      <c r="D72" s="111" t="str">
        <f t="shared" si="1"/>
        <v>2028-29</v>
      </c>
      <c r="E72" s="113">
        <f>IF(LEFT(D72,4)*1&gt;LEFT('General inputs'!$I$16,4)+'General inputs'!$H$38-1,"",'ET inputs'!D45)</f>
        <v>6425.2264302902422</v>
      </c>
      <c r="F72" s="113">
        <f>IF(LEFT(D72,4)*1&gt;LEFT('General inputs'!$I$16,4)+'General inputs'!$H$38-1,"",E72/(1+'General inputs'!$H$30)^C72)</f>
        <v>5381.0259809957934</v>
      </c>
      <c r="G72" s="113">
        <f>IF(LEFT(D72,4)*1&gt;LEFT('General inputs'!$I$16,4)+'General inputs'!$H$38-1,"",E72/(1+'General inputs'!$H$32)^C72)</f>
        <v>5019.7504044665775</v>
      </c>
      <c r="H72" s="113">
        <f>IF(LEFT(D72,4)*1&lt;LEFT('General inputs'!$I$16,4)*1,"",IF(LEFT(D72,4)*1&gt;LEFT('General inputs'!$I$16,4)+'General inputs'!$H$38-1,"",E72/(1+'General inputs'!$H$34)^C72))</f>
        <v>5019.7504044665775</v>
      </c>
      <c r="I72" s="91"/>
      <c r="J72" s="151"/>
      <c r="K72" s="151"/>
      <c r="L72" s="113" t="str">
        <f>IF(LEFT(D72,4)*1&gt;LEFT('General inputs'!$I$18,4)*1,"",SUMIF('Post-1996 commissioned assets'!$F$22:$F$1477,$D72,'Post-1996 commissioned assets'!$P$22:$P$1477)*(1+$K$34)*(1+$K$35))</f>
        <v/>
      </c>
      <c r="M72" s="113" t="str">
        <f>IF(L72="","",L72/(1+'General inputs'!$H$32)^C72)</f>
        <v/>
      </c>
      <c r="N72" s="285">
        <f>IF(LEFT(D72,4)*1&lt;LEFT('General inputs'!$I$18,4)*1+1,"",SUMIF('Uncommissioned assets'!$F$22:$F$1500,$D72,'Uncommissioned assets'!$P$22:$P$1500))</f>
        <v>0</v>
      </c>
      <c r="O72" s="113">
        <f>IF(N72="","",N72/(1+'General inputs'!$H$32)^C72)</f>
        <v>0</v>
      </c>
      <c r="P72" s="91"/>
      <c r="Q72" s="119">
        <f>'Reduction amount'!M44</f>
        <v>5334330.5137185901</v>
      </c>
      <c r="R72" s="113">
        <f>IF(OR(LEFT(D72,4)*1&lt;LEFT('General inputs'!$I$16,4)*1,LEFT(D72,4)*1&gt;LEFT('General inputs'!$I$16,4)+'General inputs'!$H$38-1),"",Q72/(1+'General inputs'!$H$34)^C72)</f>
        <v>4167480.7953169239</v>
      </c>
      <c r="S72" s="91"/>
      <c r="T72" s="119">
        <f>'Reduction amount'!H44</f>
        <v>6261268.3013782278</v>
      </c>
      <c r="U72" s="113">
        <f>IF(OR(LEFT(D72,4)*1&lt;LEFT('General inputs'!$I$16,4)*1,LEFT(D72,4)*1&gt;LEFT('General inputs'!$I$16,4)+'General inputs'!$H$38-1),"",T72/(1+'General inputs'!$H$34)^C72)</f>
        <v>4891657.0379757574</v>
      </c>
      <c r="V72" s="93"/>
      <c r="W72" s="92"/>
    </row>
    <row r="73" spans="2:23" x14ac:dyDescent="0.25">
      <c r="B73" s="66"/>
      <c r="C73" s="111">
        <f>IF(D73='General inputs'!$I$16,0,IF(D73&lt;'General inputs'!$I$16,C74-1,C72+1))</f>
        <v>7</v>
      </c>
      <c r="D73" s="111" t="str">
        <f t="shared" si="1"/>
        <v>2029-30</v>
      </c>
      <c r="E73" s="113">
        <f>IF(LEFT(D73,4)*1&gt;LEFT('General inputs'!$I$16,4)+'General inputs'!$H$38-1,"",'ET inputs'!D46)</f>
        <v>5962.7943466028983</v>
      </c>
      <c r="F73" s="113">
        <f>IF(LEFT(D73,4)*1&gt;LEFT('General inputs'!$I$16,4)+'General inputs'!$H$38-1,"",E73/(1+'General inputs'!$H$30)^C73)</f>
        <v>4848.297467108956</v>
      </c>
      <c r="G73" s="113">
        <f>IF(LEFT(D73,4)*1&gt;LEFT('General inputs'!$I$16,4)+'General inputs'!$H$38-1,"",E73/(1+'General inputs'!$H$32)^C73)</f>
        <v>4470.7027810744712</v>
      </c>
      <c r="H73" s="113">
        <f>IF(LEFT(D73,4)*1&lt;LEFT('General inputs'!$I$16,4)*1,"",IF(LEFT(D73,4)*1&gt;LEFT('General inputs'!$I$16,4)+'General inputs'!$H$38-1,"",E73/(1+'General inputs'!$H$34)^C73))</f>
        <v>4470.7027810744712</v>
      </c>
      <c r="I73" s="91"/>
      <c r="J73" s="151"/>
      <c r="K73" s="151"/>
      <c r="L73" s="113" t="str">
        <f>IF(LEFT(D73,4)*1&gt;LEFT('General inputs'!$I$18,4)*1,"",SUMIF('Post-1996 commissioned assets'!$F$22:$F$1477,$D73,'Post-1996 commissioned assets'!$P$22:$P$1477)*(1+$K$34)*(1+$K$35))</f>
        <v/>
      </c>
      <c r="M73" s="113" t="str">
        <f>IF(L73="","",L73/(1+'General inputs'!$H$32)^C73)</f>
        <v/>
      </c>
      <c r="N73" s="285">
        <f>IF(LEFT(D73,4)*1&lt;LEFT('General inputs'!$I$18,4)*1+1,"",SUMIF('Uncommissioned assets'!$F$22:$F$1500,$D73,'Uncommissioned assets'!$P$22:$P$1500))</f>
        <v>25500000</v>
      </c>
      <c r="O73" s="113">
        <f>IF(N73="","",N73/(1+'General inputs'!$H$32)^C73)</f>
        <v>19119042.900137644</v>
      </c>
      <c r="P73" s="91"/>
      <c r="Q73" s="119">
        <f>'Reduction amount'!M45</f>
        <v>6274056.0963498009</v>
      </c>
      <c r="R73" s="113">
        <f>IF(OR(LEFT(D73,4)*1&lt;LEFT('General inputs'!$I$16,4)*1,LEFT(D73,4)*1&gt;LEFT('General inputs'!$I$16,4)+'General inputs'!$H$38-1),"",Q73/(1+'General inputs'!$H$34)^C73)</f>
        <v>4704076.3789796848</v>
      </c>
      <c r="S73" s="91"/>
      <c r="T73" s="119">
        <f>'Reduction amount'!H45</f>
        <v>7340653.910365927</v>
      </c>
      <c r="U73" s="113">
        <f>IF(OR(LEFT(D73,4)*1&lt;LEFT('General inputs'!$I$16,4)*1,LEFT(D73,4)*1&gt;LEFT('General inputs'!$I$16,4)+'General inputs'!$H$38-1),"",T73/(1+'General inputs'!$H$34)^C73)</f>
        <v>5503775.5696999729</v>
      </c>
      <c r="V73" s="93"/>
      <c r="W73" s="92"/>
    </row>
    <row r="74" spans="2:23" x14ac:dyDescent="0.25">
      <c r="B74" s="66"/>
      <c r="C74" s="111">
        <f>IF(D74='General inputs'!$I$16,0,IF(D74&lt;'General inputs'!$I$16,C75-1,C73+1))</f>
        <v>8</v>
      </c>
      <c r="D74" s="111" t="str">
        <f t="shared" si="1"/>
        <v>2030-31</v>
      </c>
      <c r="E74" s="113">
        <f>IF(LEFT(D74,4)*1&gt;LEFT('General inputs'!$I$16,4)+'General inputs'!$H$38-1,"",'ET inputs'!D47)</f>
        <v>10613.809322035488</v>
      </c>
      <c r="F74" s="113">
        <f>IF(LEFT(D74,4)*1&gt;LEFT('General inputs'!$I$16,4)+'General inputs'!$H$38-1,"",E74/(1+'General inputs'!$H$30)^C74)</f>
        <v>8378.6390900621482</v>
      </c>
      <c r="G74" s="113">
        <f>IF(LEFT(D74,4)*1&gt;LEFT('General inputs'!$I$16,4)+'General inputs'!$H$38-1,"",E74/(1+'General inputs'!$H$32)^C74)</f>
        <v>7637.1185037024316</v>
      </c>
      <c r="H74" s="113">
        <f>IF(LEFT(D74,4)*1&lt;LEFT('General inputs'!$I$16,4)*1,"",IF(LEFT(D74,4)*1&gt;LEFT('General inputs'!$I$16,4)+'General inputs'!$H$38-1,"",E74/(1+'General inputs'!$H$34)^C74))</f>
        <v>7637.1185037024316</v>
      </c>
      <c r="I74" s="91"/>
      <c r="J74" s="151"/>
      <c r="K74" s="151"/>
      <c r="L74" s="113" t="str">
        <f>IF(LEFT(D74,4)*1&gt;LEFT('General inputs'!$I$18,4)*1,"",SUMIF('Post-1996 commissioned assets'!$F$22:$F$1477,$D74,'Post-1996 commissioned assets'!$P$22:$P$1477)*(1+$K$34)*(1+$K$35))</f>
        <v/>
      </c>
      <c r="M74" s="113" t="str">
        <f>IF(L74="","",L74/(1+'General inputs'!$H$32)^C74)</f>
        <v/>
      </c>
      <c r="N74" s="285">
        <f>IF(LEFT(D74,4)*1&lt;LEFT('General inputs'!$I$18,4)*1+1,"",SUMIF('Uncommissioned assets'!$F$22:$F$1500,$D74,'Uncommissioned assets'!$P$22:$P$1500))</f>
        <v>0</v>
      </c>
      <c r="O74" s="113">
        <f>IF(N74="","",N74/(1+'General inputs'!$H$32)^C74)</f>
        <v>0</v>
      </c>
      <c r="P74" s="91"/>
      <c r="Q74" s="119">
        <f>'Reduction amount'!M46</f>
        <v>7865123.7524911696</v>
      </c>
      <c r="R74" s="113">
        <f>IF(OR(LEFT(D74,4)*1&lt;LEFT('General inputs'!$I$16,4)*1,LEFT(D74,4)*1&gt;LEFT('General inputs'!$I$16,4)+'General inputs'!$H$38-1),"",Q74/(1+'General inputs'!$H$34)^C74)</f>
        <v>5659314.2312585237</v>
      </c>
      <c r="S74" s="91"/>
      <c r="T74" s="119">
        <f>'Reduction amount'!H46</f>
        <v>9108941.6772952285</v>
      </c>
      <c r="U74" s="113">
        <f>IF(OR(LEFT(D74,4)*1&lt;LEFT('General inputs'!$I$16,4)*1,LEFT(D74,4)*1&gt;LEFT('General inputs'!$I$16,4)+'General inputs'!$H$38-1),"",T74/(1+'General inputs'!$H$34)^C74)</f>
        <v>6554297.7947032182</v>
      </c>
      <c r="V74" s="93"/>
      <c r="W74" s="92"/>
    </row>
    <row r="75" spans="2:23" x14ac:dyDescent="0.25">
      <c r="B75" s="66"/>
      <c r="C75" s="111">
        <f>IF(D75='General inputs'!$I$16,0,IF(D75&lt;'General inputs'!$I$16,C76-1,C74+1))</f>
        <v>9</v>
      </c>
      <c r="D75" s="111" t="str">
        <f t="shared" si="1"/>
        <v>2031-32</v>
      </c>
      <c r="E75" s="113">
        <f>IF(LEFT(D75,4)*1&gt;LEFT('General inputs'!$I$16,4)+'General inputs'!$H$38-1,"",'ET inputs'!D48)</f>
        <v>11159.647945820772</v>
      </c>
      <c r="F75" s="113">
        <f>IF(LEFT(D75,4)*1&gt;LEFT('General inputs'!$I$16,4)+'General inputs'!$H$38-1,"",E75/(1+'General inputs'!$H$30)^C75)</f>
        <v>8552.9409127412255</v>
      </c>
      <c r="G75" s="113">
        <f>IF(LEFT(D75,4)*1&gt;LEFT('General inputs'!$I$16,4)+'General inputs'!$H$38-1,"",E75/(1+'General inputs'!$H$32)^C75)</f>
        <v>7706.2132603178006</v>
      </c>
      <c r="H75" s="113">
        <f>IF(LEFT(D75,4)*1&lt;LEFT('General inputs'!$I$16,4)*1,"",IF(LEFT(D75,4)*1&gt;LEFT('General inputs'!$I$16,4)+'General inputs'!$H$38-1,"",E75/(1+'General inputs'!$H$34)^C75))</f>
        <v>7706.2132603178006</v>
      </c>
      <c r="I75" s="91"/>
      <c r="J75" s="151"/>
      <c r="K75" s="151"/>
      <c r="L75" s="113" t="str">
        <f>IF(LEFT(D75,4)*1&gt;LEFT('General inputs'!$I$18,4)*1,"",SUMIF('Post-1996 commissioned assets'!$F$22:$F$1477,$D75,'Post-1996 commissioned assets'!$P$22:$P$1477)*(1+$K$34)*(1+$K$35))</f>
        <v/>
      </c>
      <c r="M75" s="113" t="str">
        <f>IF(L75="","",L75/(1+'General inputs'!$H$32)^C75)</f>
        <v/>
      </c>
      <c r="N75" s="285">
        <f>IF(LEFT(D75,4)*1&lt;LEFT('General inputs'!$I$18,4)*1+1,"",SUMIF('Uncommissioned assets'!$F$22:$F$1500,$D75,'Uncommissioned assets'!$P$22:$P$1500))</f>
        <v>5310000</v>
      </c>
      <c r="O75" s="113">
        <f>IF(N75="","",N75/(1+'General inputs'!$H$32)^C75)</f>
        <v>3666781.6593275093</v>
      </c>
      <c r="P75" s="91"/>
      <c r="Q75" s="119">
        <f>'Reduction amount'!M47</f>
        <v>9530369.6806565803</v>
      </c>
      <c r="R75" s="113">
        <f>IF(OR(LEFT(D75,4)*1&lt;LEFT('General inputs'!$I$16,4)*1,LEFT(D75,4)*1&gt;LEFT('General inputs'!$I$16,4)+'General inputs'!$H$38-1),"",Q75/(1+'General inputs'!$H$34)^C75)</f>
        <v>6581127.0718724141</v>
      </c>
      <c r="S75" s="91"/>
      <c r="T75" s="119">
        <f>'Reduction amount'!H47</f>
        <v>10846851.460338833</v>
      </c>
      <c r="U75" s="113">
        <f>IF(OR(LEFT(D75,4)*1&lt;LEFT('General inputs'!$I$16,4)*1,LEFT(D75,4)*1&gt;LEFT('General inputs'!$I$16,4)+'General inputs'!$H$38-1),"",T75/(1+'General inputs'!$H$34)^C75)</f>
        <v>7490213.9352580495</v>
      </c>
      <c r="V75" s="93"/>
      <c r="W75" s="92"/>
    </row>
    <row r="76" spans="2:23" x14ac:dyDescent="0.25">
      <c r="B76" s="66"/>
      <c r="C76" s="111">
        <f>IF(D76='General inputs'!$I$16,0,IF(D76&lt;'General inputs'!$I$16,C77-1,C75+1))</f>
        <v>10</v>
      </c>
      <c r="D76" s="111" t="str">
        <f t="shared" si="1"/>
        <v>2032-33</v>
      </c>
      <c r="E76" s="113">
        <f>IF(LEFT(D76,4)*1&gt;LEFT('General inputs'!$I$16,4)+'General inputs'!$H$38-1,"",'ET inputs'!D49)</f>
        <v>11326.239015486859</v>
      </c>
      <c r="F76" s="113">
        <f>IF(LEFT(D76,4)*1&gt;LEFT('General inputs'!$I$16,4)+'General inputs'!$H$38-1,"",E76/(1+'General inputs'!$H$30)^C76)</f>
        <v>8427.7855300896481</v>
      </c>
      <c r="G76" s="113">
        <f>IF(LEFT(D76,4)*1&gt;LEFT('General inputs'!$I$16,4)+'General inputs'!$H$38-1,"",E76/(1+'General inputs'!$H$32)^C76)</f>
        <v>7505.9995248791574</v>
      </c>
      <c r="H76" s="113">
        <f>IF(LEFT(D76,4)*1&lt;LEFT('General inputs'!$I$16,4)*1,"",IF(LEFT(D76,4)*1&gt;LEFT('General inputs'!$I$16,4)+'General inputs'!$H$38-1,"",E76/(1+'General inputs'!$H$34)^C76))</f>
        <v>7505.9995248791574</v>
      </c>
      <c r="I76" s="91"/>
      <c r="J76" s="151"/>
      <c r="K76" s="151"/>
      <c r="L76" s="113" t="str">
        <f>IF(LEFT(D76,4)*1&gt;LEFT('General inputs'!$I$18,4)*1,"",SUMIF('Post-1996 commissioned assets'!$F$22:$F$1477,$D76,'Post-1996 commissioned assets'!$P$22:$P$1477)*(1+$K$34)*(1+$K$35))</f>
        <v/>
      </c>
      <c r="M76" s="113" t="str">
        <f>IF(L76="","",L76/(1+'General inputs'!$H$32)^C76)</f>
        <v/>
      </c>
      <c r="N76" s="285">
        <f>IF(LEFT(D76,4)*1&lt;LEFT('General inputs'!$I$18,4)*1+1,"",SUMIF('Uncommissioned assets'!$F$22:$F$1500,$D76,'Uncommissioned assets'!$P$22:$P$1500))</f>
        <v>0</v>
      </c>
      <c r="O76" s="113">
        <f>IF(N76="","",N76/(1+'General inputs'!$H$32)^C76)</f>
        <v>0</v>
      </c>
      <c r="P76" s="91"/>
      <c r="Q76" s="119">
        <f>'Reduction amount'!M48</f>
        <v>11225035.977586623</v>
      </c>
      <c r="R76" s="113">
        <f>IF(OR(LEFT(D76,4)*1&lt;LEFT('General inputs'!$I$16,4)*1,LEFT(D76,4)*1&gt;LEFT('General inputs'!$I$16,4)+'General inputs'!$H$38-1),"",Q76/(1+'General inputs'!$H$34)^C76)</f>
        <v>7438931.3698316766</v>
      </c>
      <c r="S76" s="91"/>
      <c r="T76" s="119">
        <f>'Reduction amount'!H48</f>
        <v>12546131.616370771</v>
      </c>
      <c r="U76" s="113">
        <f>IF(OR(LEFT(D76,4)*1&lt;LEFT('General inputs'!$I$16,4)*1,LEFT(D76,4)*1&gt;LEFT('General inputs'!$I$16,4)+'General inputs'!$H$38-1),"",T76/(1+'General inputs'!$H$34)^C76)</f>
        <v>8314433.2220771536</v>
      </c>
      <c r="V76" s="93"/>
      <c r="W76" s="92"/>
    </row>
    <row r="77" spans="2:23" x14ac:dyDescent="0.25">
      <c r="B77" s="66"/>
      <c r="C77" s="111">
        <f>IF(D77='General inputs'!$I$16,0,IF(D77&lt;'General inputs'!$I$16,C78-1,C76+1))</f>
        <v>11</v>
      </c>
      <c r="D77" s="111" t="str">
        <f t="shared" si="1"/>
        <v>2033-34</v>
      </c>
      <c r="E77" s="113">
        <f>IF(LEFT(D77,4)*1&gt;LEFT('General inputs'!$I$16,4)+'General inputs'!$H$38-1,"",'ET inputs'!D50)</f>
        <v>12432.568597243897</v>
      </c>
      <c r="F77" s="113">
        <f>IF(LEFT(D77,4)*1&gt;LEFT('General inputs'!$I$16,4)+'General inputs'!$H$38-1,"",E77/(1+'General inputs'!$H$30)^C77)</f>
        <v>8981.5520774226188</v>
      </c>
      <c r="G77" s="113">
        <f>IF(LEFT(D77,4)*1&gt;LEFT('General inputs'!$I$16,4)+'General inputs'!$H$38-1,"",E77/(1+'General inputs'!$H$32)^C77)</f>
        <v>7907.0767728691717</v>
      </c>
      <c r="H77" s="113">
        <f>IF(LEFT(D77,4)*1&lt;LEFT('General inputs'!$I$16,4)*1,"",IF(LEFT(D77,4)*1&gt;LEFT('General inputs'!$I$16,4)+'General inputs'!$H$38-1,"",E77/(1+'General inputs'!$H$34)^C77))</f>
        <v>7907.0767728691717</v>
      </c>
      <c r="I77" s="91"/>
      <c r="J77" s="151"/>
      <c r="K77" s="151"/>
      <c r="L77" s="113" t="str">
        <f>IF(LEFT(D77,4)*1&gt;LEFT('General inputs'!$I$18,4)*1,"",SUMIF('Post-1996 commissioned assets'!$F$22:$F$1477,$D77,'Post-1996 commissioned assets'!$P$22:$P$1477)*(1+$K$34)*(1+$K$35))</f>
        <v/>
      </c>
      <c r="M77" s="113" t="str">
        <f>IF(L77="","",L77/(1+'General inputs'!$H$32)^C77)</f>
        <v/>
      </c>
      <c r="N77" s="285">
        <f>IF(LEFT(D77,4)*1&lt;LEFT('General inputs'!$I$18,4)*1+1,"",SUMIF('Uncommissioned assets'!$F$22:$F$1500,$D77,'Uncommissioned assets'!$P$22:$P$1500))</f>
        <v>0</v>
      </c>
      <c r="O77" s="113">
        <f>IF(N77="","",N77/(1+'General inputs'!$H$32)^C77)</f>
        <v>0</v>
      </c>
      <c r="P77" s="91"/>
      <c r="Q77" s="119">
        <f>'Reduction amount'!M49</f>
        <v>13090219.618431719</v>
      </c>
      <c r="R77" s="113">
        <f>IF(OR(LEFT(D77,4)*1&lt;LEFT('General inputs'!$I$16,4)*1,LEFT(D77,4)*1&gt;LEFT('General inputs'!$I$16,4)+'General inputs'!$H$38-1),"",Q77/(1+'General inputs'!$H$34)^C77)</f>
        <v>8325340.8728107316</v>
      </c>
      <c r="S77" s="91"/>
      <c r="T77" s="119">
        <f>'Reduction amount'!H49</f>
        <v>14371716.091310456</v>
      </c>
      <c r="U77" s="113">
        <f>IF(OR(LEFT(D77,4)*1&lt;LEFT('General inputs'!$I$16,4)*1,LEFT(D77,4)*1&gt;LEFT('General inputs'!$I$16,4)+'General inputs'!$H$38-1),"",T77/(1+'General inputs'!$H$34)^C77)</f>
        <v>9140368.8307066988</v>
      </c>
      <c r="V77" s="93"/>
      <c r="W77" s="92"/>
    </row>
    <row r="78" spans="2:23" x14ac:dyDescent="0.25">
      <c r="B78" s="66"/>
      <c r="C78" s="111">
        <f>IF(D78='General inputs'!$I$16,0,IF(D78&lt;'General inputs'!$I$16,C79-1,C77+1))</f>
        <v>12</v>
      </c>
      <c r="D78" s="111" t="str">
        <f t="shared" si="1"/>
        <v>2034-35</v>
      </c>
      <c r="E78" s="113">
        <f>IF(LEFT(D78,4)*1&gt;LEFT('General inputs'!$I$16,4)+'General inputs'!$H$38-1,"",'ET inputs'!D51)</f>
        <v>11673.910888994786</v>
      </c>
      <c r="F78" s="113">
        <f>IF(LEFT(D78,4)*1&gt;LEFT('General inputs'!$I$16,4)+'General inputs'!$H$38-1,"",E78/(1+'General inputs'!$H$30)^C78)</f>
        <v>8187.8462207066077</v>
      </c>
      <c r="G78" s="113">
        <f>IF(LEFT(D78,4)*1&gt;LEFT('General inputs'!$I$16,4)+'General inputs'!$H$38-1,"",E78/(1+'General inputs'!$H$32)^C78)</f>
        <v>7125.3097114969396</v>
      </c>
      <c r="H78" s="113">
        <f>IF(LEFT(D78,4)*1&lt;LEFT('General inputs'!$I$16,4)*1,"",IF(LEFT(D78,4)*1&gt;LEFT('General inputs'!$I$16,4)+'General inputs'!$H$38-1,"",E78/(1+'General inputs'!$H$34)^C78))</f>
        <v>7125.3097114969396</v>
      </c>
      <c r="I78" s="91"/>
      <c r="J78" s="151"/>
      <c r="K78" s="151"/>
      <c r="L78" s="113" t="str">
        <f>IF(LEFT(D78,4)*1&gt;LEFT('General inputs'!$I$18,4)*1,"",SUMIF('Post-1996 commissioned assets'!$F$22:$F$1477,$D78,'Post-1996 commissioned assets'!$P$22:$P$1477)*(1+$K$34)*(1+$K$35))</f>
        <v/>
      </c>
      <c r="M78" s="113" t="str">
        <f>IF(L78="","",L78/(1+'General inputs'!$H$32)^C78)</f>
        <v/>
      </c>
      <c r="N78" s="285">
        <f>IF(LEFT(D78,4)*1&lt;LEFT('General inputs'!$I$18,4)*1+1,"",SUMIF('Uncommissioned assets'!$F$22:$F$1500,$D78,'Uncommissioned assets'!$P$22:$P$1500))</f>
        <v>0</v>
      </c>
      <c r="O78" s="113">
        <f>IF(N78="","",N78/(1+'General inputs'!$H$32)^C78)</f>
        <v>0</v>
      </c>
      <c r="P78" s="91"/>
      <c r="Q78" s="119">
        <f>'Reduction amount'!M50</f>
        <v>14842302.931367481</v>
      </c>
      <c r="R78" s="113">
        <f>IF(OR(LEFT(D78,4)*1&lt;LEFT('General inputs'!$I$16,4)*1,LEFT(D78,4)*1&gt;LEFT('General inputs'!$I$16,4)+'General inputs'!$H$38-1),"",Q78/(1+'General inputs'!$H$34)^C78)</f>
        <v>9059175.3032439519</v>
      </c>
      <c r="S78" s="91"/>
      <c r="T78" s="119">
        <f>'Reduction amount'!H50</f>
        <v>15968291.119054619</v>
      </c>
      <c r="U78" s="113">
        <f>IF(OR(LEFT(D78,4)*1&lt;LEFT('General inputs'!$I$16,4)*1,LEFT(D78,4)*1&gt;LEFT('General inputs'!$I$16,4)+'General inputs'!$H$38-1),"",T78/(1+'General inputs'!$H$34)^C78)</f>
        <v>9746435.5234946869</v>
      </c>
      <c r="V78" s="93"/>
      <c r="W78" s="92"/>
    </row>
    <row r="79" spans="2:23" x14ac:dyDescent="0.25">
      <c r="B79" s="66"/>
      <c r="C79" s="111">
        <f>IF(D79='General inputs'!$I$16,0,IF(D79&lt;'General inputs'!$I$16,C80-1,C78+1))</f>
        <v>13</v>
      </c>
      <c r="D79" s="111" t="str">
        <f t="shared" si="1"/>
        <v>2035-36</v>
      </c>
      <c r="E79" s="113">
        <f>IF(LEFT(D79,4)*1&gt;LEFT('General inputs'!$I$16,4)+'General inputs'!$H$38-1,"",'ET inputs'!D52)</f>
        <v>11767.11489961392</v>
      </c>
      <c r="F79" s="113">
        <f>IF(LEFT(D79,4)*1&gt;LEFT('General inputs'!$I$16,4)+'General inputs'!$H$38-1,"",E79/(1+'General inputs'!$H$30)^C79)</f>
        <v>8012.8326587457877</v>
      </c>
      <c r="G79" s="113">
        <f>IF(LEFT(D79,4)*1&gt;LEFT('General inputs'!$I$16,4)+'General inputs'!$H$38-1,"",E79/(1+'General inputs'!$H$32)^C79)</f>
        <v>6892.7043020772226</v>
      </c>
      <c r="H79" s="113">
        <f>IF(LEFT(D79,4)*1&lt;LEFT('General inputs'!$I$16,4)*1,"",IF(LEFT(D79,4)*1&gt;LEFT('General inputs'!$I$16,4)+'General inputs'!$H$38-1,"",E79/(1+'General inputs'!$H$34)^C79))</f>
        <v>6892.7043020772226</v>
      </c>
      <c r="I79" s="91"/>
      <c r="J79" s="151"/>
      <c r="K79" s="151"/>
      <c r="L79" s="113" t="str">
        <f>IF(LEFT(D79,4)*1&gt;LEFT('General inputs'!$I$18,4)*1,"",SUMIF('Post-1996 commissioned assets'!$F$22:$F$1477,$D79,'Post-1996 commissioned assets'!$P$22:$P$1477)*(1+$K$34)*(1+$K$35))</f>
        <v/>
      </c>
      <c r="M79" s="113" t="str">
        <f>IF(L79="","",L79/(1+'General inputs'!$H$32)^C79)</f>
        <v/>
      </c>
      <c r="N79" s="285">
        <f>IF(LEFT(D79,4)*1&lt;LEFT('General inputs'!$I$18,4)*1+1,"",SUMIF('Uncommissioned assets'!$F$22:$F$1500,$D79,'Uncommissioned assets'!$P$22:$P$1500))</f>
        <v>0</v>
      </c>
      <c r="O79" s="113">
        <f>IF(N79="","",N79/(1+'General inputs'!$H$32)^C79)</f>
        <v>0</v>
      </c>
      <c r="P79" s="91"/>
      <c r="Q79" s="119">
        <f>'Reduction amount'!M51</f>
        <v>16618409.460479932</v>
      </c>
      <c r="R79" s="113">
        <f>IF(OR(LEFT(D79,4)*1&lt;LEFT('General inputs'!$I$16,4)*1,LEFT(D79,4)*1&gt;LEFT('General inputs'!$I$16,4)+'General inputs'!$H$38-1),"",Q79/(1+'General inputs'!$H$34)^C79)</f>
        <v>9734398.2241296116</v>
      </c>
      <c r="S79" s="91"/>
      <c r="T79" s="119">
        <f>'Reduction amount'!H51</f>
        <v>19050328.009708341</v>
      </c>
      <c r="U79" s="113">
        <f>IF(OR(LEFT(D79,4)*1&lt;LEFT('General inputs'!$I$16,4)*1,LEFT(D79,4)*1&gt;LEFT('General inputs'!$I$16,4)+'General inputs'!$H$38-1),"",T79/(1+'General inputs'!$H$34)^C79)</f>
        <v>11158918.64307428</v>
      </c>
      <c r="V79" s="93"/>
      <c r="W79" s="92"/>
    </row>
    <row r="80" spans="2:23" x14ac:dyDescent="0.25">
      <c r="B80" s="66"/>
      <c r="C80" s="111">
        <f>IF(D80='General inputs'!$I$16,0,IF(D80&lt;'General inputs'!$I$16,C81-1,C79+1))</f>
        <v>14</v>
      </c>
      <c r="D80" s="111" t="str">
        <f t="shared" si="1"/>
        <v>2036-37</v>
      </c>
      <c r="E80" s="113">
        <f>IF(LEFT(D80,4)*1&gt;LEFT('General inputs'!$I$16,4)+'General inputs'!$H$38-1,"",'ET inputs'!D53)</f>
        <v>12452.578176018262</v>
      </c>
      <c r="F80" s="113">
        <f>IF(LEFT(D80,4)*1&gt;LEFT('General inputs'!$I$16,4)+'General inputs'!$H$38-1,"",E80/(1+'General inputs'!$H$30)^C80)</f>
        <v>8232.6211605140179</v>
      </c>
      <c r="G80" s="113">
        <f>IF(LEFT(D80,4)*1&gt;LEFT('General inputs'!$I$16,4)+'General inputs'!$H$38-1,"",E80/(1+'General inputs'!$H$32)^C80)</f>
        <v>7000.2123005594958</v>
      </c>
      <c r="H80" s="113">
        <f>IF(LEFT(D80,4)*1&lt;LEFT('General inputs'!$I$16,4)*1,"",IF(LEFT(D80,4)*1&gt;LEFT('General inputs'!$I$16,4)+'General inputs'!$H$38-1,"",E80/(1+'General inputs'!$H$34)^C80))</f>
        <v>7000.2123005594958</v>
      </c>
      <c r="I80" s="91"/>
      <c r="J80" s="151"/>
      <c r="K80" s="151"/>
      <c r="L80" s="113" t="str">
        <f>IF(LEFT(D80,4)*1&gt;LEFT('General inputs'!$I$18,4)*1,"",SUMIF('Post-1996 commissioned assets'!$F$22:$F$1477,$D80,'Post-1996 commissioned assets'!$P$22:$P$1477)*(1+$K$34)*(1+$K$35))</f>
        <v/>
      </c>
      <c r="M80" s="113" t="str">
        <f>IF(L80="","",L80/(1+'General inputs'!$H$32)^C80)</f>
        <v/>
      </c>
      <c r="N80" s="285">
        <f>IF(LEFT(D80,4)*1&lt;LEFT('General inputs'!$I$18,4)*1+1,"",SUMIF('Uncommissioned assets'!$F$22:$F$1500,$D80,'Uncommissioned assets'!$P$22:$P$1500))</f>
        <v>0</v>
      </c>
      <c r="O80" s="113">
        <f>IF(N80="","",N80/(1+'General inputs'!$H$32)^C80)</f>
        <v>0</v>
      </c>
      <c r="P80" s="91"/>
      <c r="Q80" s="119">
        <f>'Reduction amount'!M52</f>
        <v>18471835.956957262</v>
      </c>
      <c r="R80" s="113">
        <f>IF(OR(LEFT(D80,4)*1&lt;LEFT('General inputs'!$I$16,4)*1,LEFT(D80,4)*1&gt;LEFT('General inputs'!$I$16,4)+'General inputs'!$H$38-1),"",Q80/(1+'General inputs'!$H$34)^C80)</f>
        <v>10383935.87673549</v>
      </c>
      <c r="S80" s="91"/>
      <c r="T80" s="119">
        <f>'Reduction amount'!H52</f>
        <v>20749436.532349754</v>
      </c>
      <c r="U80" s="113">
        <f>IF(OR(LEFT(D80,4)*1&lt;LEFT('General inputs'!$I$16,4)*1,LEFT(D80,4)*1&gt;LEFT('General inputs'!$I$16,4)+'General inputs'!$H$38-1),"",T80/(1+'General inputs'!$H$34)^C80)</f>
        <v>11664288.213276446</v>
      </c>
      <c r="V80" s="93"/>
      <c r="W80" s="92"/>
    </row>
    <row r="81" spans="2:23" x14ac:dyDescent="0.25">
      <c r="B81" s="66"/>
      <c r="C81" s="111">
        <f>IF(D81='General inputs'!$I$16,0,IF(D81&lt;'General inputs'!$I$16,C82-1,C80+1))</f>
        <v>15</v>
      </c>
      <c r="D81" s="111" t="str">
        <f t="shared" si="1"/>
        <v>2037-38</v>
      </c>
      <c r="E81" s="113">
        <f>IF(LEFT(D81,4)*1&gt;LEFT('General inputs'!$I$16,4)+'General inputs'!$H$38-1,"",'ET inputs'!D54)</f>
        <v>12727.336225038085</v>
      </c>
      <c r="F81" s="113">
        <f>IF(LEFT(D81,4)*1&gt;LEFT('General inputs'!$I$16,4)+'General inputs'!$H$38-1,"",E81/(1+'General inputs'!$H$30)^C81)</f>
        <v>8169.1928145757347</v>
      </c>
      <c r="G81" s="113">
        <f>IF(LEFT(D81,4)*1&gt;LEFT('General inputs'!$I$16,4)+'General inputs'!$H$38-1,"",E81/(1+'General inputs'!$H$32)^C81)</f>
        <v>6866.2835298091104</v>
      </c>
      <c r="H81" s="113">
        <f>IF(LEFT(D81,4)*1&lt;LEFT('General inputs'!$I$16,4)*1,"",IF(LEFT(D81,4)*1&gt;LEFT('General inputs'!$I$16,4)+'General inputs'!$H$38-1,"",E81/(1+'General inputs'!$H$34)^C81))</f>
        <v>6866.2835298091104</v>
      </c>
      <c r="I81" s="91"/>
      <c r="J81" s="151"/>
      <c r="K81" s="151"/>
      <c r="L81" s="113" t="str">
        <f>IF(LEFT(D81,4)*1&gt;LEFT('General inputs'!$I$18,4)*1,"",SUMIF('Post-1996 commissioned assets'!$F$22:$F$1477,$D81,'Post-1996 commissioned assets'!$P$22:$P$1477)*(1+$K$34)*(1+$K$35))</f>
        <v/>
      </c>
      <c r="M81" s="113" t="str">
        <f>IF(L81="","",L81/(1+'General inputs'!$H$32)^C81)</f>
        <v/>
      </c>
      <c r="N81" s="285">
        <f>IF(LEFT(D81,4)*1&lt;LEFT('General inputs'!$I$18,4)*1+1,"",SUMIF('Uncommissioned assets'!$F$22:$F$1500,$D81,'Uncommissioned assets'!$P$22:$P$1500))</f>
        <v>0</v>
      </c>
      <c r="O81" s="113">
        <f>IF(N81="","",N81/(1+'General inputs'!$H$32)^C81)</f>
        <v>0</v>
      </c>
      <c r="P81" s="91"/>
      <c r="Q81" s="119">
        <f>'Reduction amount'!M53</f>
        <v>20408438.429551084</v>
      </c>
      <c r="R81" s="113">
        <f>IF(OR(LEFT(D81,4)*1&lt;LEFT('General inputs'!$I$16,4)*1,LEFT(D81,4)*1&gt;LEFT('General inputs'!$I$16,4)+'General inputs'!$H$38-1),"",Q81/(1+'General inputs'!$H$34)^C81)</f>
        <v>11010169.149320999</v>
      </c>
      <c r="S81" s="91"/>
      <c r="T81" s="119">
        <f>'Reduction amount'!H53</f>
        <v>22458693.499672174</v>
      </c>
      <c r="U81" s="113">
        <f>IF(OR(LEFT(D81,4)*1&lt;LEFT('General inputs'!$I$16,4)*1,LEFT(D81,4)*1&gt;LEFT('General inputs'!$I$16,4)+'General inputs'!$H$38-1),"",T81/(1+'General inputs'!$H$34)^C81)</f>
        <v>12116263.336742999</v>
      </c>
      <c r="V81" s="93"/>
      <c r="W81" s="92"/>
    </row>
    <row r="82" spans="2:23" x14ac:dyDescent="0.25">
      <c r="B82" s="66"/>
      <c r="C82" s="111">
        <f>IF(D82='General inputs'!$I$16,0,IF(D82&lt;'General inputs'!$I$16,C83-1,C81+1))</f>
        <v>16</v>
      </c>
      <c r="D82" s="111" t="str">
        <f t="shared" si="1"/>
        <v>2038-39</v>
      </c>
      <c r="E82" s="113">
        <f>IF(LEFT(D82,4)*1&gt;LEFT('General inputs'!$I$16,4)+'General inputs'!$H$38-1,"",'ET inputs'!D55)</f>
        <v>13491.110428983648</v>
      </c>
      <c r="F82" s="113">
        <f>IF(LEFT(D82,4)*1&gt;LEFT('General inputs'!$I$16,4)+'General inputs'!$H$38-1,"",E82/(1+'General inputs'!$H$30)^C82)</f>
        <v>8407.2139927103035</v>
      </c>
      <c r="G82" s="113">
        <f>IF(LEFT(D82,4)*1&gt;LEFT('General inputs'!$I$16,4)+'General inputs'!$H$38-1,"",E82/(1+'General inputs'!$H$32)^C82)</f>
        <v>6984.9643472336393</v>
      </c>
      <c r="H82" s="113">
        <f>IF(LEFT(D82,4)*1&lt;LEFT('General inputs'!$I$16,4)*1,"",IF(LEFT(D82,4)*1&gt;LEFT('General inputs'!$I$16,4)+'General inputs'!$H$38-1,"",E82/(1+'General inputs'!$H$34)^C82))</f>
        <v>6984.9643472336393</v>
      </c>
      <c r="I82" s="91"/>
      <c r="J82" s="151"/>
      <c r="K82" s="151"/>
      <c r="L82" s="113" t="str">
        <f>IF(LEFT(D82,4)*1&gt;LEFT('General inputs'!$I$18,4)*1,"",SUMIF('Post-1996 commissioned assets'!$F$22:$F$1477,$D82,'Post-1996 commissioned assets'!$P$22:$P$1477)*(1+$K$34)*(1+$K$35))</f>
        <v/>
      </c>
      <c r="M82" s="113" t="str">
        <f>IF(L82="","",L82/(1+'General inputs'!$H$32)^C82)</f>
        <v/>
      </c>
      <c r="N82" s="285">
        <f>IF(LEFT(D82,4)*1&lt;LEFT('General inputs'!$I$18,4)*1+1,"",SUMIF('Uncommissioned assets'!$F$22:$F$1500,$D82,'Uncommissioned assets'!$P$22:$P$1500))</f>
        <v>0</v>
      </c>
      <c r="O82" s="113">
        <f>IF(N82="","",N82/(1+'General inputs'!$H$32)^C82)</f>
        <v>0</v>
      </c>
      <c r="P82" s="91"/>
      <c r="Q82" s="119">
        <f>'Reduction amount'!M54</f>
        <v>22460729.258919474</v>
      </c>
      <c r="R82" s="113">
        <f>IF(OR(LEFT(D82,4)*1&lt;LEFT('General inputs'!$I$16,4)*1,LEFT(D82,4)*1&gt;LEFT('General inputs'!$I$16,4)+'General inputs'!$H$38-1),"",Q82/(1+'General inputs'!$H$34)^C82)</f>
        <v>11628945.883458983</v>
      </c>
      <c r="S82" s="91"/>
      <c r="T82" s="119">
        <f>'Reduction amount'!H54</f>
        <v>24196229.675388552</v>
      </c>
      <c r="U82" s="113">
        <f>IF(OR(LEFT(D82,4)*1&lt;LEFT('General inputs'!$I$16,4)*1,LEFT(D82,4)*1&gt;LEFT('General inputs'!$I$16,4)+'General inputs'!$H$38-1),"",T82/(1+'General inputs'!$H$34)^C82)</f>
        <v>12527493.752995538</v>
      </c>
      <c r="V82" s="93"/>
      <c r="W82" s="92"/>
    </row>
    <row r="83" spans="2:23" x14ac:dyDescent="0.25">
      <c r="B83" s="66"/>
      <c r="C83" s="111">
        <f>IF(D83='General inputs'!$I$16,0,IF(D83&lt;'General inputs'!$I$16,C84-1,C82+1))</f>
        <v>17</v>
      </c>
      <c r="D83" s="111" t="str">
        <f t="shared" si="1"/>
        <v>2039-40</v>
      </c>
      <c r="E83" s="113">
        <f>IF(LEFT(D83,4)*1&gt;LEFT('General inputs'!$I$16,4)+'General inputs'!$H$38-1,"",'ET inputs'!D56)</f>
        <v>14139.47050406237</v>
      </c>
      <c r="F83" s="113">
        <f>IF(LEFT(D83,4)*1&gt;LEFT('General inputs'!$I$16,4)+'General inputs'!$H$38-1,"",E83/(1+'General inputs'!$H$30)^C83)</f>
        <v>8554.6121904947904</v>
      </c>
      <c r="G83" s="113">
        <f>IF(LEFT(D83,4)*1&gt;LEFT('General inputs'!$I$16,4)+'General inputs'!$H$38-1,"",E83/(1+'General inputs'!$H$32)^C83)</f>
        <v>7025.5758013481818</v>
      </c>
      <c r="H83" s="113">
        <f>IF(LEFT(D83,4)*1&lt;LEFT('General inputs'!$I$16,4)*1,"",IF(LEFT(D83,4)*1&gt;LEFT('General inputs'!$I$16,4)+'General inputs'!$H$38-1,"",E83/(1+'General inputs'!$H$34)^C83))</f>
        <v>7025.5758013481818</v>
      </c>
      <c r="I83" s="91"/>
      <c r="J83" s="151"/>
      <c r="K83" s="151"/>
      <c r="L83" s="113" t="str">
        <f>IF(LEFT(D83,4)*1&gt;LEFT('General inputs'!$I$18,4)*1,"",SUMIF('Post-1996 commissioned assets'!$F$22:$F$1477,$D83,'Post-1996 commissioned assets'!$P$22:$P$1477)*(1+$K$34)*(1+$K$35))</f>
        <v/>
      </c>
      <c r="M83" s="113" t="str">
        <f>IF(L83="","",L83/(1+'General inputs'!$H$32)^C83)</f>
        <v/>
      </c>
      <c r="N83" s="285">
        <f>IF(LEFT(D83,4)*1&lt;LEFT('General inputs'!$I$18,4)*1+1,"",SUMIF('Uncommissioned assets'!$F$22:$F$1500,$D83,'Uncommissioned assets'!$P$22:$P$1500))</f>
        <v>0</v>
      </c>
      <c r="O83" s="113">
        <f>IF(N83="","",N83/(1+'General inputs'!$H$32)^C83)</f>
        <v>0</v>
      </c>
      <c r="P83" s="91"/>
      <c r="Q83" s="119">
        <f>'Reduction amount'!M55</f>
        <v>24613900.363549098</v>
      </c>
      <c r="R83" s="113">
        <f>IF(OR(LEFT(D83,4)*1&lt;LEFT('General inputs'!$I$16,4)*1,LEFT(D83,4)*1&gt;LEFT('General inputs'!$I$16,4)+'General inputs'!$H$38-1),"",Q83/(1+'General inputs'!$H$34)^C83)</f>
        <v>12230077.690763785</v>
      </c>
      <c r="S83" s="91"/>
      <c r="T83" s="119">
        <f>'Reduction amount'!H55</f>
        <v>25942436.631111268</v>
      </c>
      <c r="U83" s="113">
        <f>IF(OR(LEFT(D83,4)*1&lt;LEFT('General inputs'!$I$16,4)*1,LEFT(D83,4)*1&gt;LEFT('General inputs'!$I$16,4)+'General inputs'!$H$38-1),"",T83/(1+'General inputs'!$H$34)^C83)</f>
        <v>12890196.628733672</v>
      </c>
      <c r="V83" s="93"/>
      <c r="W83" s="92"/>
    </row>
    <row r="84" spans="2:23" x14ac:dyDescent="0.25">
      <c r="B84" s="66"/>
      <c r="C84" s="111">
        <f>IF(D84='General inputs'!$I$16,0,IF(D84&lt;'General inputs'!$I$16,C85-1,C83+1))</f>
        <v>18</v>
      </c>
      <c r="D84" s="111" t="str">
        <f t="shared" si="1"/>
        <v>2040-41</v>
      </c>
      <c r="E84" s="113">
        <f>IF(LEFT(D84,4)*1&gt;LEFT('General inputs'!$I$16,4)+'General inputs'!$H$38-1,"",'ET inputs'!D57)</f>
        <v>13673.622159593702</v>
      </c>
      <c r="F84" s="113">
        <f>IF(LEFT(D84,4)*1&gt;LEFT('General inputs'!$I$16,4)+'General inputs'!$H$38-1,"",E84/(1+'General inputs'!$H$30)^C84)</f>
        <v>8031.8119231278515</v>
      </c>
      <c r="G84" s="113">
        <f>IF(LEFT(D84,4)*1&gt;LEFT('General inputs'!$I$16,4)+'General inputs'!$H$38-1,"",E84/(1+'General inputs'!$H$32)^C84)</f>
        <v>6520.2557922984415</v>
      </c>
      <c r="H84" s="113">
        <f>IF(LEFT(D84,4)*1&lt;LEFT('General inputs'!$I$16,4)*1,"",IF(LEFT(D84,4)*1&gt;LEFT('General inputs'!$I$16,4)+'General inputs'!$H$38-1,"",E84/(1+'General inputs'!$H$34)^C84))</f>
        <v>6520.2557922984415</v>
      </c>
      <c r="I84" s="91"/>
      <c r="J84" s="151"/>
      <c r="K84" s="151"/>
      <c r="L84" s="113" t="str">
        <f>IF(LEFT(D84,4)*1&gt;LEFT('General inputs'!$I$18,4)*1,"",SUMIF('Post-1996 commissioned assets'!$F$22:$F$1477,$D84,'Post-1996 commissioned assets'!$P$22:$P$1477)*(1+$K$34)*(1+$K$35))</f>
        <v/>
      </c>
      <c r="M84" s="113" t="str">
        <f>IF(L84="","",L84/(1+'General inputs'!$H$32)^C84)</f>
        <v/>
      </c>
      <c r="N84" s="285">
        <f>IF(LEFT(D84,4)*1&lt;LEFT('General inputs'!$I$18,4)*1+1,"",SUMIF('Uncommissioned assets'!$F$22:$F$1500,$D84,'Uncommissioned assets'!$P$22:$P$1500))</f>
        <v>0</v>
      </c>
      <c r="O84" s="113">
        <f>IF(N84="","",N84/(1+'General inputs'!$H$32)^C84)</f>
        <v>0</v>
      </c>
      <c r="P84" s="91"/>
      <c r="Q84" s="119">
        <f>'Reduction amount'!M56</f>
        <v>26693351.823893417</v>
      </c>
      <c r="R84" s="113">
        <f>IF(OR(LEFT(D84,4)*1&lt;LEFT('General inputs'!$I$16,4)*1,LEFT(D84,4)*1&gt;LEFT('General inputs'!$I$16,4)+'General inputs'!$H$38-1),"",Q84/(1+'General inputs'!$H$34)^C84)</f>
        <v>12728703.471119817</v>
      </c>
      <c r="S84" s="91"/>
      <c r="T84" s="119">
        <f>'Reduction amount'!H56</f>
        <v>27587758.444148611</v>
      </c>
      <c r="U84" s="113">
        <f>IF(OR(LEFT(D84,4)*1&lt;LEFT('General inputs'!$I$16,4)*1,LEFT(D84,4)*1&gt;LEFT('General inputs'!$I$16,4)+'General inputs'!$H$38-1),"",T84/(1+'General inputs'!$H$34)^C84)</f>
        <v>13155200.552750621</v>
      </c>
      <c r="V84" s="93"/>
      <c r="W84" s="92"/>
    </row>
    <row r="85" spans="2:23" x14ac:dyDescent="0.25">
      <c r="B85" s="66"/>
      <c r="C85" s="111">
        <f>IF(D85='General inputs'!$I$16,0,IF(D85&lt;'General inputs'!$I$16,C86-1,C84+1))</f>
        <v>19</v>
      </c>
      <c r="D85" s="111" t="str">
        <f t="shared" si="1"/>
        <v>2041-42</v>
      </c>
      <c r="E85" s="113">
        <f>IF(LEFT(D85,4)*1&gt;LEFT('General inputs'!$I$16,4)+'General inputs'!$H$38-1,"",'ET inputs'!D58)</f>
        <v>14022.299224170354</v>
      </c>
      <c r="F85" s="113">
        <f>IF(LEFT(D85,4)*1&gt;LEFT('General inputs'!$I$16,4)+'General inputs'!$H$38-1,"",E85/(1+'General inputs'!$H$30)^C85)</f>
        <v>7996.7213113200496</v>
      </c>
      <c r="G85" s="113">
        <f>IF(LEFT(D85,4)*1&gt;LEFT('General inputs'!$I$16,4)+'General inputs'!$H$38-1,"",E85/(1+'General inputs'!$H$32)^C85)</f>
        <v>6417.0078423341756</v>
      </c>
      <c r="H85" s="113">
        <f>IF(LEFT(D85,4)*1&lt;LEFT('General inputs'!$I$16,4)*1,"",IF(LEFT(D85,4)*1&gt;LEFT('General inputs'!$I$16,4)+'General inputs'!$H$38-1,"",E85/(1+'General inputs'!$H$34)^C85))</f>
        <v>6417.0078423341756</v>
      </c>
      <c r="I85" s="91"/>
      <c r="J85" s="151"/>
      <c r="K85" s="151"/>
      <c r="L85" s="113" t="str">
        <f>IF(LEFT(D85,4)*1&gt;LEFT('General inputs'!$I$18,4)*1,"",SUMIF('Post-1996 commissioned assets'!$F$22:$F$1477,$D85,'Post-1996 commissioned assets'!$P$22:$P$1477)*(1+$K$34)*(1+$K$35))</f>
        <v/>
      </c>
      <c r="M85" s="113" t="str">
        <f>IF(L85="","",L85/(1+'General inputs'!$H$32)^C85)</f>
        <v/>
      </c>
      <c r="N85" s="285">
        <f>IF(LEFT(D85,4)*1&lt;LEFT('General inputs'!$I$18,4)*1+1,"",SUMIF('Uncommissioned assets'!$F$22:$F$1500,$D85,'Uncommissioned assets'!$P$22:$P$1500))</f>
        <v>0</v>
      </c>
      <c r="O85" s="113">
        <f>IF(N85="","",N85/(1+'General inputs'!$H$32)^C85)</f>
        <v>0</v>
      </c>
      <c r="P85" s="91"/>
      <c r="Q85" s="119">
        <f>'Reduction amount'!M57</f>
        <v>28827456.319956932</v>
      </c>
      <c r="R85" s="113">
        <f>IF(OR(LEFT(D85,4)*1&lt;LEFT('General inputs'!$I$16,4)*1,LEFT(D85,4)*1&gt;LEFT('General inputs'!$I$16,4)+'General inputs'!$H$38-1),"",Q85/(1+'General inputs'!$H$34)^C85)</f>
        <v>13192273.986055553</v>
      </c>
      <c r="S85" s="91"/>
      <c r="T85" s="119">
        <f>'Reduction amount'!H57</f>
        <v>29227878.520984888</v>
      </c>
      <c r="U85" s="113">
        <f>IF(OR(LEFT(D85,4)*1&lt;LEFT('General inputs'!$I$16,4)*1,LEFT(D85,4)*1&gt;LEFT('General inputs'!$I$16,4)+'General inputs'!$H$38-1),"",T85/(1+'General inputs'!$H$34)^C85)</f>
        <v>13375518.71383971</v>
      </c>
      <c r="V85" s="93"/>
      <c r="W85" s="92"/>
    </row>
    <row r="86" spans="2:23" x14ac:dyDescent="0.25">
      <c r="B86" s="66"/>
      <c r="C86" s="111">
        <f>IF(D86='General inputs'!$I$16,0,IF(D86&lt;'General inputs'!$I$16,C87-1,C85+1))</f>
        <v>20</v>
      </c>
      <c r="D86" s="111" t="str">
        <f t="shared" si="1"/>
        <v>2042-43</v>
      </c>
      <c r="E86" s="113">
        <f>IF(LEFT(D86,4)*1&gt;LEFT('General inputs'!$I$16,4)+'General inputs'!$H$38-1,"",'ET inputs'!D59)</f>
        <v>14307.412577175417</v>
      </c>
      <c r="F86" s="113">
        <f>IF(LEFT(D86,4)*1&gt;LEFT('General inputs'!$I$16,4)+'General inputs'!$H$38-1,"",E86/(1+'General inputs'!$H$30)^C86)</f>
        <v>7921.6674491226531</v>
      </c>
      <c r="G86" s="113">
        <f>IF(LEFT(D86,4)*1&gt;LEFT('General inputs'!$I$16,4)+'General inputs'!$H$38-1,"",E86/(1+'General inputs'!$H$32)^C86)</f>
        <v>6283.5738209165256</v>
      </c>
      <c r="H86" s="113">
        <f>IF(LEFT(D86,4)*1&lt;LEFT('General inputs'!$I$16,4)*1,"",IF(LEFT(D86,4)*1&gt;LEFT('General inputs'!$I$16,4)+'General inputs'!$H$38-1,"",E86/(1+'General inputs'!$H$34)^C86))</f>
        <v>6283.5738209165256</v>
      </c>
      <c r="I86" s="91"/>
      <c r="J86" s="151"/>
      <c r="K86" s="151"/>
      <c r="L86" s="113" t="str">
        <f>IF(LEFT(D86,4)*1&gt;LEFT('General inputs'!$I$18,4)*1,"",SUMIF('Post-1996 commissioned assets'!$F$22:$F$1477,$D86,'Post-1996 commissioned assets'!$P$22:$P$1477)*(1+$K$34)*(1+$K$35))</f>
        <v/>
      </c>
      <c r="M86" s="113" t="str">
        <f>IF(L86="","",L86/(1+'General inputs'!$H$32)^C86)</f>
        <v/>
      </c>
      <c r="N86" s="285">
        <f>IF(LEFT(D86,4)*1&lt;LEFT('General inputs'!$I$18,4)*1+1,"",SUMIF('Uncommissioned assets'!$F$22:$F$1500,$D86,'Uncommissioned assets'!$P$22:$P$1500))</f>
        <v>0</v>
      </c>
      <c r="O86" s="113">
        <f>IF(N86="","",N86/(1+'General inputs'!$H$32)^C86)</f>
        <v>0</v>
      </c>
      <c r="P86" s="91"/>
      <c r="Q86" s="119">
        <f>'Reduction amount'!M58</f>
        <v>31005246.402082842</v>
      </c>
      <c r="R86" s="113">
        <f>IF(OR(LEFT(D86,4)*1&lt;LEFT('General inputs'!$I$16,4)*1,LEFT(D86,4)*1&gt;LEFT('General inputs'!$I$16,4)+'General inputs'!$H$38-1),"",Q86/(1+'General inputs'!$H$34)^C86)</f>
        <v>13616980.257771831</v>
      </c>
      <c r="S86" s="91"/>
      <c r="T86" s="119">
        <f>'Reduction amount'!H58</f>
        <v>30858336.146949992</v>
      </c>
      <c r="U86" s="113">
        <f>IF(OR(LEFT(D86,4)*1&lt;LEFT('General inputs'!$I$16,4)*1,LEFT(D86,4)*1&gt;LEFT('General inputs'!$I$16,4)+'General inputs'!$H$38-1),"",T86/(1+'General inputs'!$H$34)^C86)</f>
        <v>13552459.756374562</v>
      </c>
      <c r="V86" s="93"/>
      <c r="W86" s="92"/>
    </row>
    <row r="87" spans="2:23" x14ac:dyDescent="0.25">
      <c r="B87" s="66"/>
      <c r="C87" s="111">
        <f>IF(D87='General inputs'!$I$16,0,IF(D87&lt;'General inputs'!$I$16,C88-1,C86+1))</f>
        <v>21</v>
      </c>
      <c r="D87" s="111" t="str">
        <f t="shared" si="1"/>
        <v>2043-44</v>
      </c>
      <c r="E87" s="113">
        <f>IF(LEFT(D87,4)*1&gt;LEFT('General inputs'!$I$16,4)+'General inputs'!$H$38-1,"",'ET inputs'!D60)</f>
        <v>14602.589073393672</v>
      </c>
      <c r="F87" s="113">
        <f>IF(LEFT(D87,4)*1&gt;LEFT('General inputs'!$I$16,4)+'General inputs'!$H$38-1,"",E87/(1+'General inputs'!$H$30)^C87)</f>
        <v>7849.6111828003659</v>
      </c>
      <c r="G87" s="113">
        <f>IF(LEFT(D87,4)*1&gt;LEFT('General inputs'!$I$16,4)+'General inputs'!$H$38-1,"",E87/(1+'General inputs'!$H$32)^C87)</f>
        <v>6154.7124278564561</v>
      </c>
      <c r="H87" s="113">
        <f>IF(LEFT(D87,4)*1&lt;LEFT('General inputs'!$I$16,4)*1,"",IF(LEFT(D87,4)*1&gt;LEFT('General inputs'!$I$16,4)+'General inputs'!$H$38-1,"",E87/(1+'General inputs'!$H$34)^C87))</f>
        <v>6154.7124278564561</v>
      </c>
      <c r="I87" s="91"/>
      <c r="J87" s="151"/>
      <c r="K87" s="151"/>
      <c r="L87" s="113" t="str">
        <f>IF(LEFT(D87,4)*1&gt;LEFT('General inputs'!$I$18,4)*1,"",SUMIF('Post-1996 commissioned assets'!$F$22:$F$1477,$D87,'Post-1996 commissioned assets'!$P$22:$P$1477)*(1+$K$34)*(1+$K$35))</f>
        <v/>
      </c>
      <c r="M87" s="113" t="str">
        <f>IF(L87="","",L87/(1+'General inputs'!$H$32)^C87)</f>
        <v/>
      </c>
      <c r="N87" s="285">
        <f>IF(LEFT(D87,4)*1&lt;LEFT('General inputs'!$I$18,4)*1+1,"",SUMIF('Uncommissioned assets'!$F$22:$F$1500,$D87,'Uncommissioned assets'!$P$22:$P$1500))</f>
        <v>0</v>
      </c>
      <c r="O87" s="113">
        <f>IF(N87="","",N87/(1+'General inputs'!$H$32)^C87)</f>
        <v>0</v>
      </c>
      <c r="P87" s="91"/>
      <c r="Q87" s="119">
        <f>'Reduction amount'!M59</f>
        <v>33228039.82175215</v>
      </c>
      <c r="R87" s="113">
        <f>IF(OR(LEFT(D87,4)*1&lt;LEFT('General inputs'!$I$16,4)*1,LEFT(D87,4)*1&gt;LEFT('General inputs'!$I$16,4)+'General inputs'!$H$38-1),"",Q87/(1+'General inputs'!$H$34)^C87)</f>
        <v>14004984.226863466</v>
      </c>
      <c r="S87" s="91"/>
      <c r="T87" s="119">
        <f>'Reduction amount'!H59</f>
        <v>32483484.645382877</v>
      </c>
      <c r="U87" s="113">
        <f>IF(OR(LEFT(D87,4)*1&lt;LEFT('General inputs'!$I$16,4)*1,LEFT(D87,4)*1&gt;LEFT('General inputs'!$I$16,4)+'General inputs'!$H$38-1),"",T87/(1+'General inputs'!$H$34)^C87)</f>
        <v>13691168.438841717</v>
      </c>
      <c r="V87" s="93"/>
      <c r="W87" s="92"/>
    </row>
    <row r="88" spans="2:23" x14ac:dyDescent="0.25">
      <c r="B88" s="66"/>
      <c r="C88" s="111">
        <f>IF(D88='General inputs'!$I$16,0,IF(D88&lt;'General inputs'!$I$16,C89-1,C87+1))</f>
        <v>22</v>
      </c>
      <c r="D88" s="111" t="str">
        <f t="shared" si="1"/>
        <v>2044-45</v>
      </c>
      <c r="E88" s="113">
        <f>IF(LEFT(D88,4)*1&gt;LEFT('General inputs'!$I$16,4)+'General inputs'!$H$38-1,"",'ET inputs'!D61)</f>
        <v>14894.153257956585</v>
      </c>
      <c r="F88" s="113">
        <f>IF(LEFT(D88,4)*1&gt;LEFT('General inputs'!$I$16,4)+'General inputs'!$H$38-1,"",E88/(1+'General inputs'!$H$30)^C88)</f>
        <v>7773.1468923234706</v>
      </c>
      <c r="G88" s="113">
        <f>IF(LEFT(D88,4)*1&gt;LEFT('General inputs'!$I$16,4)+'General inputs'!$H$38-1,"",E88/(1+'General inputs'!$H$32)^C88)</f>
        <v>6024.5692549230444</v>
      </c>
      <c r="H88" s="113">
        <f>IF(LEFT(D88,4)*1&lt;LEFT('General inputs'!$I$16,4)*1,"",IF(LEFT(D88,4)*1&gt;LEFT('General inputs'!$I$16,4)+'General inputs'!$H$38-1,"",E88/(1+'General inputs'!$H$34)^C88))</f>
        <v>6024.5692549230444</v>
      </c>
      <c r="I88" s="91"/>
      <c r="J88" s="151"/>
      <c r="K88" s="151"/>
      <c r="L88" s="113" t="str">
        <f>IF(LEFT(D88,4)*1&gt;LEFT('General inputs'!$I$18,4)*1,"",SUMIF('Post-1996 commissioned assets'!$F$22:$F$1477,$D88,'Post-1996 commissioned assets'!$P$22:$P$1477)*(1+$K$34)*(1+$K$35))</f>
        <v/>
      </c>
      <c r="M88" s="113" t="str">
        <f>IF(L88="","",L88/(1+'General inputs'!$H$32)^C88)</f>
        <v/>
      </c>
      <c r="N88" s="285">
        <f>IF(LEFT(D88,4)*1&lt;LEFT('General inputs'!$I$18,4)*1+1,"",SUMIF('Uncommissioned assets'!$F$22:$F$1500,$D88,'Uncommissioned assets'!$P$22:$P$1500))</f>
        <v>0</v>
      </c>
      <c r="O88" s="113">
        <f>IF(N88="","",N88/(1+'General inputs'!$H$32)^C88)</f>
        <v>0</v>
      </c>
      <c r="P88" s="91"/>
      <c r="Q88" s="119">
        <f>'Reduction amount'!M60</f>
        <v>35492179.60545586</v>
      </c>
      <c r="R88" s="113">
        <f>IF(OR(LEFT(D88,4)*1&lt;LEFT('General inputs'!$I$16,4)*1,LEFT(D88,4)*1&gt;LEFT('General inputs'!$I$16,4)+'General inputs'!$H$38-1),"",Q88/(1+'General inputs'!$H$34)^C88)</f>
        <v>14356310.851508722</v>
      </c>
      <c r="S88" s="91"/>
      <c r="T88" s="119">
        <f>'Reduction amount'!H60</f>
        <v>34098743.057834662</v>
      </c>
      <c r="U88" s="113">
        <f>IF(OR(LEFT(D88,4)*1&lt;LEFT('General inputs'!$I$16,4)*1,LEFT(D88,4)*1&gt;LEFT('General inputs'!$I$16,4)+'General inputs'!$H$38-1),"",T88/(1+'General inputs'!$H$34)^C88)</f>
        <v>13792676.595966186</v>
      </c>
      <c r="V88" s="93"/>
      <c r="W88" s="92"/>
    </row>
    <row r="89" spans="2:23" x14ac:dyDescent="0.25">
      <c r="B89" s="66"/>
      <c r="C89" s="111">
        <f>IF(D89='General inputs'!$I$16,0,IF(D89&lt;'General inputs'!$I$16,C90-1,C88+1))</f>
        <v>23</v>
      </c>
      <c r="D89" s="111" t="str">
        <f t="shared" si="1"/>
        <v>2045-46</v>
      </c>
      <c r="E89" s="113">
        <f>IF(LEFT(D89,4)*1&gt;LEFT('General inputs'!$I$16,4)+'General inputs'!$H$38-1,"",'ET inputs'!D62)</f>
        <v>15196.003076459125</v>
      </c>
      <c r="F89" s="113">
        <f>IF(LEFT(D89,4)*1&gt;LEFT('General inputs'!$I$16,4)+'General inputs'!$H$38-1,"",E89/(1+'General inputs'!$H$30)^C89)</f>
        <v>7699.6893679540926</v>
      </c>
      <c r="G89" s="113">
        <f>IF(LEFT(D89,4)*1&gt;LEFT('General inputs'!$I$16,4)+'General inputs'!$H$38-1,"",E89/(1+'General inputs'!$H$32)^C89)</f>
        <v>5898.9109029985466</v>
      </c>
      <c r="H89" s="113">
        <f>IF(LEFT(D89,4)*1&lt;LEFT('General inputs'!$I$16,4)*1,"",IF(LEFT(D89,4)*1&gt;LEFT('General inputs'!$I$16,4)+'General inputs'!$H$38-1,"",E89/(1+'General inputs'!$H$34)^C89))</f>
        <v>5898.9109029985466</v>
      </c>
      <c r="I89" s="91"/>
      <c r="J89" s="151"/>
      <c r="K89" s="151"/>
      <c r="L89" s="113" t="str">
        <f>IF(LEFT(D89,4)*1&gt;LEFT('General inputs'!$I$18,4)*1,"",SUMIF('Post-1996 commissioned assets'!$F$22:$F$1477,$D89,'Post-1996 commissioned assets'!$P$22:$P$1477)*(1+$K$34)*(1+$K$35))</f>
        <v/>
      </c>
      <c r="M89" s="113" t="str">
        <f>IF(L89="","",L89/(1+'General inputs'!$H$32)^C89)</f>
        <v/>
      </c>
      <c r="N89" s="285">
        <f>IF(LEFT(D89,4)*1&lt;LEFT('General inputs'!$I$18,4)*1+1,"",SUMIF('Uncommissioned assets'!$F$22:$F$1500,$D89,'Uncommissioned assets'!$P$22:$P$1500))</f>
        <v>0</v>
      </c>
      <c r="O89" s="113">
        <f>IF(N89="","",N89/(1+'General inputs'!$H$32)^C89)</f>
        <v>0</v>
      </c>
      <c r="P89" s="91"/>
      <c r="Q89" s="119">
        <f>'Reduction amount'!M61</f>
        <v>37803404.410327964</v>
      </c>
      <c r="R89" s="113">
        <f>IF(OR(LEFT(D89,4)*1&lt;LEFT('General inputs'!$I$16,4)*1,LEFT(D89,4)*1&gt;LEFT('General inputs'!$I$16,4)+'General inputs'!$H$38-1),"",Q89/(1+'General inputs'!$H$34)^C89)</f>
        <v>14674840.043432575</v>
      </c>
      <c r="S89" s="91"/>
      <c r="T89" s="119">
        <f>'Reduction amount'!H61</f>
        <v>37205308.729047269</v>
      </c>
      <c r="U89" s="113">
        <f>IF(OR(LEFT(D89,4)*1&lt;LEFT('General inputs'!$I$16,4)*1,LEFT(D89,4)*1&gt;LEFT('General inputs'!$I$16,4)+'General inputs'!$H$38-1),"",T89/(1+'General inputs'!$H$34)^C89)</f>
        <v>14442666.285794383</v>
      </c>
      <c r="V89" s="93"/>
      <c r="W89" s="92"/>
    </row>
    <row r="90" spans="2:23" x14ac:dyDescent="0.25">
      <c r="B90" s="66"/>
      <c r="C90" s="111">
        <f>IF(D90='General inputs'!$I$16,0,IF(D90&lt;'General inputs'!$I$16,C91-1,C89+1))</f>
        <v>24</v>
      </c>
      <c r="D90" s="111" t="str">
        <f t="shared" si="1"/>
        <v>2046-47</v>
      </c>
      <c r="E90" s="113">
        <f>IF(LEFT(D90,4)*1&gt;LEFT('General inputs'!$I$16,4)+'General inputs'!$H$38-1,"",'ET inputs'!D63)</f>
        <v>0</v>
      </c>
      <c r="F90" s="113">
        <f>IF(LEFT(D90,4)*1&gt;LEFT('General inputs'!$I$16,4)+'General inputs'!$H$38-1,"",E90/(1+'General inputs'!$H$30)^C90)</f>
        <v>0</v>
      </c>
      <c r="G90" s="113">
        <f>IF(LEFT(D90,4)*1&gt;LEFT('General inputs'!$I$16,4)+'General inputs'!$H$38-1,"",E90/(1+'General inputs'!$H$32)^C90)</f>
        <v>0</v>
      </c>
      <c r="H90" s="113">
        <f>IF(LEFT(D90,4)*1&lt;LEFT('General inputs'!$I$16,4)*1,"",IF(LEFT(D90,4)*1&gt;LEFT('General inputs'!$I$16,4)+'General inputs'!$H$38-1,"",E90/(1+'General inputs'!$H$34)^C90))</f>
        <v>0</v>
      </c>
      <c r="I90" s="91"/>
      <c r="J90" s="151"/>
      <c r="K90" s="151"/>
      <c r="L90" s="113" t="str">
        <f>IF(LEFT(D90,4)*1&gt;LEFT('General inputs'!$I$18,4)*1,"",SUMIF('Post-1996 commissioned assets'!$F$22:$F$1477,$D90,'Post-1996 commissioned assets'!$P$22:$P$1477)*(1+$K$34)*(1+$K$35))</f>
        <v/>
      </c>
      <c r="M90" s="113" t="str">
        <f>IF(L90="","",L90/(1+'General inputs'!$H$32)^C90)</f>
        <v/>
      </c>
      <c r="N90" s="285">
        <f>IF(LEFT(D90,4)*1&lt;LEFT('General inputs'!$I$18,4)*1+1,"",SUMIF('Uncommissioned assets'!$F$22:$F$1500,$D90,'Uncommissioned assets'!$P$22:$P$1500))</f>
        <v>0</v>
      </c>
      <c r="O90" s="113">
        <f>IF(N90="","",N90/(1+'General inputs'!$H$32)^C90)</f>
        <v>0</v>
      </c>
      <c r="P90" s="91"/>
      <c r="Q90" s="119">
        <f>'Reduction amount'!M62</f>
        <v>37803404.410327964</v>
      </c>
      <c r="R90" s="113">
        <f>IF(OR(LEFT(D90,4)*1&lt;LEFT('General inputs'!$I$16,4)*1,LEFT(D90,4)*1&gt;LEFT('General inputs'!$I$16,4)+'General inputs'!$H$38-1),"",Q90/(1+'General inputs'!$H$34)^C90)</f>
        <v>14083339.77296792</v>
      </c>
      <c r="S90" s="91"/>
      <c r="T90" s="119">
        <f>'Reduction amount'!H62</f>
        <v>37215903.416456625</v>
      </c>
      <c r="U90" s="113">
        <f>IF(OR(LEFT(D90,4)*1&lt;LEFT('General inputs'!$I$16,4)*1,LEFT(D90,4)*1&gt;LEFT('General inputs'!$I$16,4)+'General inputs'!$H$38-1),"",T90/(1+'General inputs'!$H$34)^C90)</f>
        <v>13864471.228118401</v>
      </c>
      <c r="V90" s="93"/>
      <c r="W90" s="92"/>
    </row>
    <row r="91" spans="2:23" x14ac:dyDescent="0.25">
      <c r="B91" s="66"/>
      <c r="C91" s="111">
        <f>IF(D91='General inputs'!$I$16,0,IF(D91&lt;'General inputs'!$I$16,C92-1,C90+1))</f>
        <v>25</v>
      </c>
      <c r="D91" s="111" t="str">
        <f t="shared" si="1"/>
        <v>2047-48</v>
      </c>
      <c r="E91" s="113">
        <f>IF(LEFT(D91,4)*1&gt;LEFT('General inputs'!$I$16,4)+'General inputs'!$H$38-1,"",'ET inputs'!D64)</f>
        <v>0</v>
      </c>
      <c r="F91" s="113">
        <f>IF(LEFT(D91,4)*1&gt;LEFT('General inputs'!$I$16,4)+'General inputs'!$H$38-1,"",E91/(1+'General inputs'!$H$30)^C91)</f>
        <v>0</v>
      </c>
      <c r="G91" s="113">
        <f>IF(LEFT(D91,4)*1&gt;LEFT('General inputs'!$I$16,4)+'General inputs'!$H$38-1,"",E91/(1+'General inputs'!$H$32)^C91)</f>
        <v>0</v>
      </c>
      <c r="H91" s="113">
        <f>IF(LEFT(D91,4)*1&lt;LEFT('General inputs'!$I$16,4)*1,"",IF(LEFT(D91,4)*1&gt;LEFT('General inputs'!$I$16,4)+'General inputs'!$H$38-1,"",E91/(1+'General inputs'!$H$34)^C91))</f>
        <v>0</v>
      </c>
      <c r="I91" s="91"/>
      <c r="J91" s="151"/>
      <c r="K91" s="151"/>
      <c r="L91" s="113" t="str">
        <f>IF(LEFT(D91,4)*1&gt;LEFT('General inputs'!$I$18,4)*1,"",SUMIF('Post-1996 commissioned assets'!$F$22:$F$1477,$D91,'Post-1996 commissioned assets'!$P$22:$P$1477)*(1+$K$34)*(1+$K$35))</f>
        <v/>
      </c>
      <c r="M91" s="113" t="str">
        <f>IF(L91="","",L91/(1+'General inputs'!$H$32)^C91)</f>
        <v/>
      </c>
      <c r="N91" s="285">
        <f>IF(LEFT(D91,4)*1&lt;LEFT('General inputs'!$I$18,4)*1+1,"",SUMIF('Uncommissioned assets'!$F$22:$F$1500,$D91,'Uncommissioned assets'!$P$22:$P$1500))</f>
        <v>0</v>
      </c>
      <c r="O91" s="113">
        <f>IF(N91="","",N91/(1+'General inputs'!$H$32)^C91)</f>
        <v>0</v>
      </c>
      <c r="P91" s="91"/>
      <c r="Q91" s="119">
        <f>'Reduction amount'!M63</f>
        <v>37803404.410327964</v>
      </c>
      <c r="R91" s="113">
        <f>IF(OR(LEFT(D91,4)*1&lt;LEFT('General inputs'!$I$16,4)*1,LEFT(D91,4)*1&gt;LEFT('General inputs'!$I$16,4)+'General inputs'!$H$38-1),"",Q91/(1+'General inputs'!$H$34)^C91)</f>
        <v>13515681.164076699</v>
      </c>
      <c r="S91" s="91"/>
      <c r="T91" s="119">
        <f>'Reduction amount'!H63</f>
        <v>37226173.521847799</v>
      </c>
      <c r="U91" s="113">
        <f>IF(OR(LEFT(D91,4)*1&lt;LEFT('General inputs'!$I$16,4)*1,LEFT(D91,4)*1&gt;LEFT('General inputs'!$I$16,4)+'General inputs'!$H$38-1),"",T91/(1+'General inputs'!$H$34)^C91)</f>
        <v>13309306.400521722</v>
      </c>
      <c r="V91" s="93"/>
      <c r="W91" s="92"/>
    </row>
    <row r="92" spans="2:23" x14ac:dyDescent="0.25">
      <c r="B92" s="66"/>
      <c r="C92" s="111">
        <f>IF(D92='General inputs'!$I$16,0,IF(D92&lt;'General inputs'!$I$16,C93-1,C91+1))</f>
        <v>26</v>
      </c>
      <c r="D92" s="111" t="str">
        <f t="shared" si="1"/>
        <v>2048-49</v>
      </c>
      <c r="E92" s="113">
        <f>IF(LEFT(D92,4)*1&gt;LEFT('General inputs'!$I$16,4)+'General inputs'!$H$38-1,"",'ET inputs'!D65)</f>
        <v>0</v>
      </c>
      <c r="F92" s="113">
        <f>IF(LEFT(D92,4)*1&gt;LEFT('General inputs'!$I$16,4)+'General inputs'!$H$38-1,"",E92/(1+'General inputs'!$H$30)^C92)</f>
        <v>0</v>
      </c>
      <c r="G92" s="113">
        <f>IF(LEFT(D92,4)*1&gt;LEFT('General inputs'!$I$16,4)+'General inputs'!$H$38-1,"",E92/(1+'General inputs'!$H$32)^C92)</f>
        <v>0</v>
      </c>
      <c r="H92" s="113">
        <f>IF(LEFT(D92,4)*1&lt;LEFT('General inputs'!$I$16,4)*1,"",IF(LEFT(D92,4)*1&gt;LEFT('General inputs'!$I$16,4)+'General inputs'!$H$38-1,"",E92/(1+'General inputs'!$H$34)^C92))</f>
        <v>0</v>
      </c>
      <c r="I92" s="91"/>
      <c r="J92" s="151"/>
      <c r="K92" s="151"/>
      <c r="L92" s="113" t="str">
        <f>IF(LEFT(D92,4)*1&gt;LEFT('General inputs'!$I$18,4)*1,"",SUMIF('Post-1996 commissioned assets'!$F$22:$F$1477,$D92,'Post-1996 commissioned assets'!$P$22:$P$1477)*(1+$K$34)*(1+$K$35))</f>
        <v/>
      </c>
      <c r="M92" s="113" t="str">
        <f>IF(L92="","",L92/(1+'General inputs'!$H$32)^C92)</f>
        <v/>
      </c>
      <c r="N92" s="285">
        <f>IF(LEFT(D92,4)*1&lt;LEFT('General inputs'!$I$18,4)*1+1,"",SUMIF('Uncommissioned assets'!$F$22:$F$1500,$D92,'Uncommissioned assets'!$P$22:$P$1500))</f>
        <v>0</v>
      </c>
      <c r="O92" s="113">
        <f>IF(N92="","",N92/(1+'General inputs'!$H$32)^C92)</f>
        <v>0</v>
      </c>
      <c r="P92" s="91"/>
      <c r="Q92" s="119">
        <f>'Reduction amount'!M64</f>
        <v>37803404.410327964</v>
      </c>
      <c r="R92" s="113">
        <f>IF(OR(LEFT(D92,4)*1&lt;LEFT('General inputs'!$I$16,4)*1,LEFT(D92,4)*1&gt;LEFT('General inputs'!$I$16,4)+'General inputs'!$H$38-1),"",Q92/(1+'General inputs'!$H$34)^C92)</f>
        <v>12970903.228480516</v>
      </c>
      <c r="S92" s="91"/>
      <c r="T92" s="119">
        <f>'Reduction amount'!H64</f>
        <v>37236480.141884483</v>
      </c>
      <c r="U92" s="113">
        <f>IF(OR(LEFT(D92,4)*1&lt;LEFT('General inputs'!$I$16,4)*1,LEFT(D92,4)*1&gt;LEFT('General inputs'!$I$16,4)+'General inputs'!$H$38-1),"",T92/(1+'General inputs'!$H$34)^C92)</f>
        <v>12776383.186210236</v>
      </c>
      <c r="V92" s="93"/>
      <c r="W92" s="92"/>
    </row>
    <row r="93" spans="2:23" x14ac:dyDescent="0.25">
      <c r="B93" s="66"/>
      <c r="C93" s="111">
        <f>IF(D93='General inputs'!$I$16,0,IF(D93&lt;'General inputs'!$I$16,C94-1,C92+1))</f>
        <v>27</v>
      </c>
      <c r="D93" s="111" t="str">
        <f t="shared" si="1"/>
        <v>2049-50</v>
      </c>
      <c r="E93" s="113">
        <f>IF(LEFT(D93,4)*1&gt;LEFT('General inputs'!$I$16,4)+'General inputs'!$H$38-1,"",'ET inputs'!D66)</f>
        <v>0</v>
      </c>
      <c r="F93" s="113">
        <f>IF(LEFT(D93,4)*1&gt;LEFT('General inputs'!$I$16,4)+'General inputs'!$H$38-1,"",E93/(1+'General inputs'!$H$30)^C93)</f>
        <v>0</v>
      </c>
      <c r="G93" s="113">
        <f>IF(LEFT(D93,4)*1&gt;LEFT('General inputs'!$I$16,4)+'General inputs'!$H$38-1,"",E93/(1+'General inputs'!$H$32)^C93)</f>
        <v>0</v>
      </c>
      <c r="H93" s="113">
        <f>IF(LEFT(D93,4)*1&lt;LEFT('General inputs'!$I$16,4)*1,"",IF(LEFT(D93,4)*1&gt;LEFT('General inputs'!$I$16,4)+'General inputs'!$H$38-1,"",E93/(1+'General inputs'!$H$34)^C93))</f>
        <v>0</v>
      </c>
      <c r="I93" s="91"/>
      <c r="J93" s="151"/>
      <c r="K93" s="151"/>
      <c r="L93" s="113" t="str">
        <f>IF(LEFT(D93,4)*1&gt;LEFT('General inputs'!$I$18,4)*1,"",SUMIF('Post-1996 commissioned assets'!$F$22:$F$1477,$D93,'Post-1996 commissioned assets'!$P$22:$P$1477)*(1+$K$34)*(1+$K$35))</f>
        <v/>
      </c>
      <c r="M93" s="113" t="str">
        <f>IF(L93="","",L93/(1+'General inputs'!$H$32)^C93)</f>
        <v/>
      </c>
      <c r="N93" s="285">
        <f>IF(LEFT(D93,4)*1&lt;LEFT('General inputs'!$I$18,4)*1+1,"",SUMIF('Uncommissioned assets'!$F$22:$F$1500,$D93,'Uncommissioned assets'!$P$22:$P$1500))</f>
        <v>0</v>
      </c>
      <c r="O93" s="113">
        <f>IF(N93="","",N93/(1+'General inputs'!$H$32)^C93)</f>
        <v>0</v>
      </c>
      <c r="P93" s="91"/>
      <c r="Q93" s="119">
        <f>'Reduction amount'!M65</f>
        <v>37803404.410327964</v>
      </c>
      <c r="R93" s="113">
        <f>IF(OR(LEFT(D93,4)*1&lt;LEFT('General inputs'!$I$16,4)*1,LEFT(D93,4)*1&gt;LEFT('General inputs'!$I$16,4)+'General inputs'!$H$38-1),"",Q93/(1+'General inputs'!$H$34)^C93)</f>
        <v>12448083.712553276</v>
      </c>
      <c r="S93" s="91"/>
      <c r="T93" s="119">
        <f>'Reduction amount'!H65</f>
        <v>37246504.398836583</v>
      </c>
      <c r="U93" s="113">
        <f>IF(OR(LEFT(D93,4)*1&lt;LEFT('General inputs'!$I$16,4)*1,LEFT(D93,4)*1&gt;LEFT('General inputs'!$I$16,4)+'General inputs'!$H$38-1),"",T93/(1+'General inputs'!$H$34)^C93)</f>
        <v>12264705.044131745</v>
      </c>
      <c r="V93" s="93"/>
      <c r="W93" s="92"/>
    </row>
    <row r="94" spans="2:23" x14ac:dyDescent="0.25">
      <c r="B94" s="66"/>
      <c r="C94" s="111">
        <f>IF(D94='General inputs'!$I$16,0,IF(D94&lt;'General inputs'!$I$16,C95-1,C93+1))</f>
        <v>28</v>
      </c>
      <c r="D94" s="111" t="str">
        <f t="shared" si="1"/>
        <v>2050-51</v>
      </c>
      <c r="E94" s="113">
        <f>IF(LEFT(D94,4)*1&gt;LEFT('General inputs'!$I$16,4)+'General inputs'!$H$38-1,"",'ET inputs'!D67)</f>
        <v>0</v>
      </c>
      <c r="F94" s="113">
        <f>IF(LEFT(D94,4)*1&gt;LEFT('General inputs'!$I$16,4)+'General inputs'!$H$38-1,"",E94/(1+'General inputs'!$H$30)^C94)</f>
        <v>0</v>
      </c>
      <c r="G94" s="113">
        <f>IF(LEFT(D94,4)*1&gt;LEFT('General inputs'!$I$16,4)+'General inputs'!$H$38-1,"",E94/(1+'General inputs'!$H$32)^C94)</f>
        <v>0</v>
      </c>
      <c r="H94" s="113">
        <f>IF(LEFT(D94,4)*1&lt;LEFT('General inputs'!$I$16,4)*1,"",IF(LEFT(D94,4)*1&gt;LEFT('General inputs'!$I$16,4)+'General inputs'!$H$38-1,"",E94/(1+'General inputs'!$H$34)^C94))</f>
        <v>0</v>
      </c>
      <c r="I94" s="91"/>
      <c r="J94" s="151"/>
      <c r="K94" s="151"/>
      <c r="L94" s="113" t="str">
        <f>IF(LEFT(D94,4)*1&gt;LEFT('General inputs'!$I$18,4)*1,"",SUMIF('Post-1996 commissioned assets'!$F$22:$F$1477,$D94,'Post-1996 commissioned assets'!$P$22:$P$1477)*(1+$K$34)*(1+$K$35))</f>
        <v/>
      </c>
      <c r="M94" s="113" t="str">
        <f>IF(L94="","",L94/(1+'General inputs'!$H$32)^C94)</f>
        <v/>
      </c>
      <c r="N94" s="285">
        <f>IF(LEFT(D94,4)*1&lt;LEFT('General inputs'!$I$18,4)*1+1,"",SUMIF('Uncommissioned assets'!$F$22:$F$1500,$D94,'Uncommissioned assets'!$P$22:$P$1500))</f>
        <v>0</v>
      </c>
      <c r="O94" s="113">
        <f>IF(N94="","",N94/(1+'General inputs'!$H$32)^C94)</f>
        <v>0</v>
      </c>
      <c r="P94" s="91"/>
      <c r="Q94" s="119">
        <f>'Reduction amount'!M66</f>
        <v>37803404.410327964</v>
      </c>
      <c r="R94" s="113">
        <f>IF(OR(LEFT(D94,4)*1&lt;LEFT('General inputs'!$I$16,4)*1,LEFT(D94,4)*1&gt;LEFT('General inputs'!$I$16,4)+'General inputs'!$H$38-1),"",Q94/(1+'General inputs'!$H$34)^C94)</f>
        <v>11946337.536039611</v>
      </c>
      <c r="S94" s="91"/>
      <c r="T94" s="119">
        <f>'Reduction amount'!H66</f>
        <v>37256570.698637299</v>
      </c>
      <c r="U94" s="113">
        <f>IF(OR(LEFT(D94,4)*1&lt;LEFT('General inputs'!$I$16,4)*1,LEFT(D94,4)*1&gt;LEFT('General inputs'!$I$16,4)+'General inputs'!$H$38-1),"",T94/(1+'General inputs'!$H$34)^C94)</f>
        <v>11773531.403950689</v>
      </c>
      <c r="V94" s="93"/>
      <c r="W94" s="92"/>
    </row>
    <row r="95" spans="2:23" x14ac:dyDescent="0.25">
      <c r="B95" s="66"/>
      <c r="C95" s="111">
        <f>IF(D95='General inputs'!$I$16,0,IF(D95&lt;'General inputs'!$I$16,C96-1,C94+1))</f>
        <v>29</v>
      </c>
      <c r="D95" s="111" t="str">
        <f t="shared" si="1"/>
        <v>2051-52</v>
      </c>
      <c r="E95" s="113">
        <f>IF(LEFT(D95,4)*1&gt;LEFT('General inputs'!$I$16,4)+'General inputs'!$H$38-1,"",'ET inputs'!D68)</f>
        <v>0</v>
      </c>
      <c r="F95" s="113">
        <f>IF(LEFT(D95,4)*1&gt;LEFT('General inputs'!$I$16,4)+'General inputs'!$H$38-1,"",E95/(1+'General inputs'!$H$30)^C95)</f>
        <v>0</v>
      </c>
      <c r="G95" s="113">
        <f>IF(LEFT(D95,4)*1&gt;LEFT('General inputs'!$I$16,4)+'General inputs'!$H$38-1,"",E95/(1+'General inputs'!$H$32)^C95)</f>
        <v>0</v>
      </c>
      <c r="H95" s="113">
        <f>IF(LEFT(D95,4)*1&lt;LEFT('General inputs'!$I$16,4)*1,"",IF(LEFT(D95,4)*1&gt;LEFT('General inputs'!$I$16,4)+'General inputs'!$H$38-1,"",E95/(1+'General inputs'!$H$34)^C95))</f>
        <v>0</v>
      </c>
      <c r="I95" s="91"/>
      <c r="J95" s="151"/>
      <c r="K95" s="151"/>
      <c r="L95" s="113" t="str">
        <f>IF(LEFT(D95,4)*1&gt;LEFT('General inputs'!$I$18,4)*1,"",SUMIF('Post-1996 commissioned assets'!$F$22:$F$1477,$D95,'Post-1996 commissioned assets'!$P$22:$P$1477)*(1+$K$34)*(1+$K$35))</f>
        <v/>
      </c>
      <c r="M95" s="113" t="str">
        <f>IF(L95="","",L95/(1+'General inputs'!$H$32)^C95)</f>
        <v/>
      </c>
      <c r="N95" s="285">
        <f>IF(LEFT(D95,4)*1&lt;LEFT('General inputs'!$I$18,4)*1+1,"",SUMIF('Uncommissioned assets'!$F$22:$F$1500,$D95,'Uncommissioned assets'!$P$22:$P$1500))</f>
        <v>0</v>
      </c>
      <c r="O95" s="113">
        <f>IF(N95="","",N95/(1+'General inputs'!$H$32)^C95)</f>
        <v>0</v>
      </c>
      <c r="P95" s="91"/>
      <c r="Q95" s="119">
        <f>'Reduction amount'!M67</f>
        <v>37803404.410327964</v>
      </c>
      <c r="R95" s="113">
        <f>IF(OR(LEFT(D95,4)*1&lt;LEFT('General inputs'!$I$16,4)*1,LEFT(D95,4)*1&gt;LEFT('General inputs'!$I$16,4)+'General inputs'!$H$38-1),"",Q95/(1+'General inputs'!$H$34)^C95)</f>
        <v>11464815.29370404</v>
      </c>
      <c r="S95" s="91"/>
      <c r="T95" s="119">
        <f>'Reduction amount'!H67</f>
        <v>37266518.156922303</v>
      </c>
      <c r="U95" s="113">
        <f>IF(OR(LEFT(D95,4)*1&lt;LEFT('General inputs'!$I$16,4)*1,LEFT(D95,4)*1&gt;LEFT('General inputs'!$I$16,4)+'General inputs'!$H$38-1),"",T95/(1+'General inputs'!$H$34)^C95)</f>
        <v>11301991.288167041</v>
      </c>
      <c r="V95" s="93"/>
      <c r="W95" s="92"/>
    </row>
    <row r="96" spans="2:23" x14ac:dyDescent="0.25">
      <c r="B96" s="66"/>
      <c r="C96" s="111">
        <f>IF(D96='General inputs'!$I$16,0,IF(D96&lt;'General inputs'!$I$16,C97-1,C95+1))</f>
        <v>30</v>
      </c>
      <c r="D96" s="111" t="str">
        <f t="shared" si="1"/>
        <v>2052-53</v>
      </c>
      <c r="E96" s="113" t="str">
        <f>IF(LEFT(D96,4)*1&gt;LEFT('General inputs'!$I$16,4)+'General inputs'!$H$38-1,"",'ET inputs'!D69)</f>
        <v/>
      </c>
      <c r="F96" s="113" t="str">
        <f>IF(LEFT(D96,4)*1&gt;LEFT('General inputs'!$I$16,4)+'General inputs'!$H$38-1,"",E96/(1+'General inputs'!$H$30)^C96)</f>
        <v/>
      </c>
      <c r="G96" s="113" t="str">
        <f>IF(LEFT(D96,4)*1&gt;LEFT('General inputs'!$I$16,4)+'General inputs'!$H$38-1,"",E96/(1+'General inputs'!$H$32)^C96)</f>
        <v/>
      </c>
      <c r="H96" s="113" t="str">
        <f>IF(LEFT(D96,4)*1&lt;LEFT('General inputs'!$I$16,4)*1,"",IF(LEFT(D96,4)*1&gt;LEFT('General inputs'!$I$16,4)+'General inputs'!$H$38-1,"",E96/(1+'General inputs'!$H$34)^C96))</f>
        <v/>
      </c>
      <c r="I96" s="91"/>
      <c r="J96" s="151"/>
      <c r="K96" s="151"/>
      <c r="L96" s="113" t="str">
        <f>IF(LEFT(D96,4)*1&gt;LEFT('General inputs'!$I$18,4)*1,"",SUMIF('Post-1996 commissioned assets'!$F$22:$F$1477,$D96,'Post-1996 commissioned assets'!$P$22:$P$1477)*(1+$K$34)*(1+$K$35))</f>
        <v/>
      </c>
      <c r="M96" s="113" t="str">
        <f>IF(L96="","",L96/(1+'General inputs'!$H$32)^C96)</f>
        <v/>
      </c>
      <c r="N96" s="285">
        <f>IF(LEFT(D96,4)*1&lt;LEFT('General inputs'!$I$18,4)*1+1,"",SUMIF('Uncommissioned assets'!$F$22:$F$1500,$D96,'Uncommissioned assets'!$P$22:$P$1500))</f>
        <v>0</v>
      </c>
      <c r="O96" s="113">
        <f>IF(N96="","",N96/(1+'General inputs'!$H$32)^C96)</f>
        <v>0</v>
      </c>
      <c r="P96" s="91"/>
      <c r="Q96" s="120"/>
      <c r="R96" s="113" t="str">
        <f>IF(OR(LEFT(D96,4)*1&lt;LEFT('General inputs'!$I$16,4)*1,LEFT(D96,4)*1&gt;LEFT('General inputs'!$I$16,4)+'General inputs'!$H$38-1),"",Q96/(1+'General inputs'!$H$34)^C96)</f>
        <v/>
      </c>
      <c r="S96" s="91"/>
      <c r="T96" s="120"/>
      <c r="U96" s="113" t="str">
        <f>IF(OR(LEFT(D96,4)*1&lt;LEFT('General inputs'!$I$16,4)*1,LEFT(D96,4)*1&gt;LEFT('General inputs'!$I$16,4)+'General inputs'!$H$38-1),"",T96/(1+'General inputs'!$H$34)^C96)</f>
        <v/>
      </c>
      <c r="V96" s="93"/>
      <c r="W96" s="92"/>
    </row>
    <row r="97" spans="2:23" x14ac:dyDescent="0.25">
      <c r="B97" s="66"/>
      <c r="C97" s="111">
        <f>IF(D97='General inputs'!$I$16,0,IF(D97&lt;'General inputs'!$I$16,C98-1,C96+1))</f>
        <v>31</v>
      </c>
      <c r="D97" s="111" t="str">
        <f t="shared" si="1"/>
        <v>2053-54</v>
      </c>
      <c r="E97" s="113" t="str">
        <f>IF(LEFT(D97,4)*1&gt;LEFT('General inputs'!$I$16,4)+'General inputs'!$H$38-1,"",'ET inputs'!D70)</f>
        <v/>
      </c>
      <c r="F97" s="113" t="str">
        <f>IF(LEFT(D97,4)*1&gt;LEFT('General inputs'!$I$16,4)+'General inputs'!$H$38-1,"",E97/(1+'General inputs'!$H$30)^C97)</f>
        <v/>
      </c>
      <c r="G97" s="113" t="str">
        <f>IF(LEFT(D97,4)*1&gt;LEFT('General inputs'!$I$16,4)+'General inputs'!$H$38-1,"",E97/(1+'General inputs'!$H$32)^C97)</f>
        <v/>
      </c>
      <c r="H97" s="113" t="str">
        <f>IF(LEFT(D97,4)*1&lt;LEFT('General inputs'!$I$16,4)*1,"",IF(LEFT(D97,4)*1&gt;LEFT('General inputs'!$I$16,4)+'General inputs'!$H$38-1,"",E97/(1+'General inputs'!$H$34)^C97))</f>
        <v/>
      </c>
      <c r="I97" s="91"/>
      <c r="J97" s="151"/>
      <c r="K97" s="151"/>
      <c r="L97" s="113" t="str">
        <f>IF(LEFT(D97,4)*1&gt;LEFT('General inputs'!$I$18,4)*1,"",SUMIF('Post-1996 commissioned assets'!$F$22:$F$1477,$D97,'Post-1996 commissioned assets'!$P$22:$P$1477)*(1+$K$34)*(1+$K$35))</f>
        <v/>
      </c>
      <c r="M97" s="113" t="str">
        <f>IF(L97="","",L97/(1+'General inputs'!$H$32)^C97)</f>
        <v/>
      </c>
      <c r="N97" s="285">
        <f>IF(LEFT(D97,4)*1&lt;LEFT('General inputs'!$I$18,4)*1+1,"",SUMIF('Uncommissioned assets'!$F$22:$F$1500,$D97,'Uncommissioned assets'!$P$22:$P$1500))</f>
        <v>0</v>
      </c>
      <c r="O97" s="113">
        <f>IF(N97="","",N97/(1+'General inputs'!$H$32)^C97)</f>
        <v>0</v>
      </c>
      <c r="P97" s="91"/>
      <c r="Q97" s="120"/>
      <c r="R97" s="113" t="str">
        <f>IF(OR(LEFT(D97,4)*1&lt;LEFT('General inputs'!$I$16,4)*1,LEFT(D97,4)*1&gt;LEFT('General inputs'!$I$16,4)+'General inputs'!$H$38-1),"",Q97/(1+'General inputs'!$H$34)^C97)</f>
        <v/>
      </c>
      <c r="S97" s="91"/>
      <c r="T97" s="120"/>
      <c r="U97" s="113" t="str">
        <f>IF(OR(LEFT(D97,4)*1&lt;LEFT('General inputs'!$I$16,4)*1,LEFT(D97,4)*1&gt;LEFT('General inputs'!$I$16,4)+'General inputs'!$H$38-1),"",T97/(1+'General inputs'!$H$34)^C97)</f>
        <v/>
      </c>
      <c r="V97" s="93"/>
      <c r="W97" s="92"/>
    </row>
    <row r="98" spans="2:23" x14ac:dyDescent="0.25">
      <c r="B98" s="66"/>
      <c r="C98" s="111">
        <f>IF(D98='General inputs'!$I$16,0,IF(D98&lt;'General inputs'!$I$16,C99-1,C97+1))</f>
        <v>32</v>
      </c>
      <c r="D98" s="111" t="str">
        <f t="shared" si="1"/>
        <v>2054-55</v>
      </c>
      <c r="E98" s="113" t="str">
        <f>IF(LEFT(D98,4)*1&gt;LEFT('General inputs'!$I$16,4)+'General inputs'!$H$38-1,"",'ET inputs'!D71)</f>
        <v/>
      </c>
      <c r="F98" s="113" t="str">
        <f>IF(LEFT(D98,4)*1&gt;LEFT('General inputs'!$I$16,4)+'General inputs'!$H$38-1,"",E98/(1+'General inputs'!$H$30)^C98)</f>
        <v/>
      </c>
      <c r="G98" s="113" t="str">
        <f>IF(LEFT(D98,4)*1&gt;LEFT('General inputs'!$I$16,4)+'General inputs'!$H$38-1,"",E98/(1+'General inputs'!$H$32)^C98)</f>
        <v/>
      </c>
      <c r="H98" s="113" t="str">
        <f>IF(LEFT(D98,4)*1&lt;LEFT('General inputs'!$I$16,4)*1,"",IF(LEFT(D98,4)*1&gt;LEFT('General inputs'!$I$16,4)+'General inputs'!$H$38-1,"",E98/(1+'General inputs'!$H$34)^C98))</f>
        <v/>
      </c>
      <c r="I98" s="91"/>
      <c r="J98" s="151"/>
      <c r="K98" s="151"/>
      <c r="L98" s="113" t="str">
        <f>IF(LEFT(D98,4)*1&gt;LEFT('General inputs'!$I$18,4)*1,"",SUMIF('Post-1996 commissioned assets'!$F$22:$F$1477,$D98,'Post-1996 commissioned assets'!$P$22:$P$1477)*(1+$K$34)*(1+$K$35))</f>
        <v/>
      </c>
      <c r="M98" s="113" t="str">
        <f>IF(L98="","",L98/(1+'General inputs'!$H$32)^C98)</f>
        <v/>
      </c>
      <c r="N98" s="285">
        <f>IF(LEFT(D98,4)*1&lt;LEFT('General inputs'!$I$18,4)*1+1,"",SUMIF('Uncommissioned assets'!$F$22:$F$1500,$D98,'Uncommissioned assets'!$P$22:$P$1500))</f>
        <v>0</v>
      </c>
      <c r="O98" s="113">
        <f>IF(N98="","",N98/(1+'General inputs'!$H$32)^C98)</f>
        <v>0</v>
      </c>
      <c r="P98" s="91"/>
      <c r="Q98" s="120"/>
      <c r="R98" s="113" t="str">
        <f>IF(OR(LEFT(D98,4)*1&lt;LEFT('General inputs'!$I$16,4)*1,LEFT(D98,4)*1&gt;LEFT('General inputs'!$I$16,4)+'General inputs'!$H$38-1),"",Q98/(1+'General inputs'!$H$34)^C98)</f>
        <v/>
      </c>
      <c r="S98" s="91"/>
      <c r="T98" s="120"/>
      <c r="U98" s="113" t="str">
        <f>IF(OR(LEFT(D98,4)*1&lt;LEFT('General inputs'!$I$16,4)*1,LEFT(D98,4)*1&gt;LEFT('General inputs'!$I$16,4)+'General inputs'!$H$38-1),"",T98/(1+'General inputs'!$H$34)^C98)</f>
        <v/>
      </c>
      <c r="V98" s="93"/>
      <c r="W98" s="92"/>
    </row>
    <row r="99" spans="2:23" x14ac:dyDescent="0.25">
      <c r="B99" s="66"/>
      <c r="C99" s="111">
        <f>IF(D99='General inputs'!$I$16,0,IF(D99&lt;'General inputs'!$I$16,C100-1,C98+1))</f>
        <v>33</v>
      </c>
      <c r="D99" s="111" t="str">
        <f t="shared" si="1"/>
        <v>2055-56</v>
      </c>
      <c r="E99" s="113" t="str">
        <f>IF(LEFT(D99,4)*1&gt;LEFT('General inputs'!$I$16,4)+'General inputs'!$H$38-1,"",'ET inputs'!D72)</f>
        <v/>
      </c>
      <c r="F99" s="113" t="str">
        <f>IF(LEFT(D99,4)*1&gt;LEFT('General inputs'!$I$16,4)+'General inputs'!$H$38-1,"",E99/(1+'General inputs'!$H$30)^C99)</f>
        <v/>
      </c>
      <c r="G99" s="113" t="str">
        <f>IF(LEFT(D99,4)*1&gt;LEFT('General inputs'!$I$16,4)+'General inputs'!$H$38-1,"",E99/(1+'General inputs'!$H$32)^C99)</f>
        <v/>
      </c>
      <c r="H99" s="113" t="str">
        <f>IF(LEFT(D99,4)*1&lt;LEFT('General inputs'!$I$16,4)*1,"",IF(LEFT(D99,4)*1&gt;LEFT('General inputs'!$I$16,4)+'General inputs'!$H$38-1,"",E99/(1+'General inputs'!$H$34)^C99))</f>
        <v/>
      </c>
      <c r="I99" s="91"/>
      <c r="J99" s="151"/>
      <c r="K99" s="151"/>
      <c r="L99" s="113" t="str">
        <f>IF(LEFT(D99,4)*1&gt;LEFT('General inputs'!$I$18,4)*1,"",SUMIF('Post-1996 commissioned assets'!$F$22:$F$1477,$D99,'Post-1996 commissioned assets'!$P$22:$P$1477)*(1+$K$34)*(1+$K$35))</f>
        <v/>
      </c>
      <c r="M99" s="113" t="str">
        <f>IF(L99="","",L99/(1+'General inputs'!$H$32)^C99)</f>
        <v/>
      </c>
      <c r="N99" s="285">
        <f>IF(LEFT(D99,4)*1&lt;LEFT('General inputs'!$I$18,4)*1+1,"",SUMIF('Uncommissioned assets'!$F$22:$F$1500,$D99,'Uncommissioned assets'!$P$22:$P$1500))</f>
        <v>0</v>
      </c>
      <c r="O99" s="113">
        <f>IF(N99="","",N99/(1+'General inputs'!$H$32)^C99)</f>
        <v>0</v>
      </c>
      <c r="P99" s="91"/>
      <c r="Q99" s="120"/>
      <c r="R99" s="113" t="str">
        <f>IF(OR(LEFT(D99,4)*1&lt;LEFT('General inputs'!$I$16,4)*1,LEFT(D99,4)*1&gt;LEFT('General inputs'!$I$16,4)+'General inputs'!$H$38-1),"",Q99/(1+'General inputs'!$H$34)^C99)</f>
        <v/>
      </c>
      <c r="S99" s="91"/>
      <c r="T99" s="120"/>
      <c r="U99" s="113" t="str">
        <f>IF(OR(LEFT(D99,4)*1&lt;LEFT('General inputs'!$I$16,4)*1,LEFT(D99,4)*1&gt;LEFT('General inputs'!$I$16,4)+'General inputs'!$H$38-1),"",T99/(1+'General inputs'!$H$34)^C99)</f>
        <v/>
      </c>
      <c r="V99" s="93"/>
      <c r="W99" s="92"/>
    </row>
    <row r="100" spans="2:23" x14ac:dyDescent="0.25">
      <c r="B100" s="66"/>
      <c r="C100" s="111">
        <f>IF(D100='General inputs'!$I$16,0,IF(D100&lt;'General inputs'!$I$16,C101-1,C99+1))</f>
        <v>34</v>
      </c>
      <c r="D100" s="111" t="str">
        <f t="shared" ref="D100:D122" si="3">LEFT(D99,4)+1&amp;"-"&amp;RIGHT(D99,2)+1</f>
        <v>2056-57</v>
      </c>
      <c r="E100" s="113" t="str">
        <f>IF(LEFT(D100,4)*1&gt;LEFT('General inputs'!$I$16,4)+'General inputs'!$H$38-1,"",'ET inputs'!D73)</f>
        <v/>
      </c>
      <c r="F100" s="113" t="str">
        <f>IF(LEFT(D100,4)*1&gt;LEFT('General inputs'!$I$16,4)+'General inputs'!$H$38-1,"",E100/(1+'General inputs'!$H$30)^C100)</f>
        <v/>
      </c>
      <c r="G100" s="113" t="str">
        <f>IF(LEFT(D100,4)*1&gt;LEFT('General inputs'!$I$16,4)+'General inputs'!$H$38-1,"",E100/(1+'General inputs'!$H$32)^C100)</f>
        <v/>
      </c>
      <c r="H100" s="113" t="str">
        <f>IF(LEFT(D100,4)*1&lt;LEFT('General inputs'!$I$16,4)*1,"",IF(LEFT(D100,4)*1&gt;LEFT('General inputs'!$I$16,4)+'General inputs'!$H$38-1,"",E100/(1+'General inputs'!$H$34)^C100))</f>
        <v/>
      </c>
      <c r="I100" s="91"/>
      <c r="J100" s="151"/>
      <c r="K100" s="151"/>
      <c r="L100" s="113" t="str">
        <f>IF(LEFT(D100,4)*1&gt;LEFT('General inputs'!$I$18,4)*1,"",SUMIF('Post-1996 commissioned assets'!$F$22:$F$1477,$D100,'Post-1996 commissioned assets'!$P$22:$P$1477)*(1+$K$34)*(1+$K$35))</f>
        <v/>
      </c>
      <c r="M100" s="113" t="str">
        <f>IF(L100="","",L100/(1+'General inputs'!$H$32)^C100)</f>
        <v/>
      </c>
      <c r="N100" s="285">
        <f>IF(LEFT(D100,4)*1&lt;LEFT('General inputs'!$I$18,4)*1+1,"",SUMIF('Uncommissioned assets'!$F$22:$F$1500,$D100,'Uncommissioned assets'!$P$22:$P$1500))</f>
        <v>0</v>
      </c>
      <c r="O100" s="113">
        <f>IF(N100="","",N100/(1+'General inputs'!$H$32)^C100)</f>
        <v>0</v>
      </c>
      <c r="P100" s="91"/>
      <c r="Q100" s="120"/>
      <c r="R100" s="113" t="str">
        <f>IF(OR(LEFT(D100,4)*1&lt;LEFT('General inputs'!$I$16,4)*1,LEFT(D100,4)*1&gt;LEFT('General inputs'!$I$16,4)+'General inputs'!$H$38-1),"",Q100/(1+'General inputs'!$H$34)^C100)</f>
        <v/>
      </c>
      <c r="S100" s="91"/>
      <c r="T100" s="120"/>
      <c r="U100" s="113" t="str">
        <f>IF(OR(LEFT(D100,4)*1&lt;LEFT('General inputs'!$I$16,4)*1,LEFT(D100,4)*1&gt;LEFT('General inputs'!$I$16,4)+'General inputs'!$H$38-1),"",T100/(1+'General inputs'!$H$34)^C100)</f>
        <v/>
      </c>
      <c r="V100" s="93"/>
      <c r="W100" s="92"/>
    </row>
    <row r="101" spans="2:23" x14ac:dyDescent="0.25">
      <c r="B101" s="66"/>
      <c r="C101" s="111">
        <f>IF(D101='General inputs'!$I$16,0,IF(D101&lt;'General inputs'!$I$16,C102-1,C100+1))</f>
        <v>35</v>
      </c>
      <c r="D101" s="111" t="str">
        <f t="shared" si="3"/>
        <v>2057-58</v>
      </c>
      <c r="E101" s="113" t="str">
        <f>IF(LEFT(D101,4)*1&gt;LEFT('General inputs'!$I$16,4)+'General inputs'!$H$38-1,"",'ET inputs'!D74)</f>
        <v/>
      </c>
      <c r="F101" s="113" t="str">
        <f>IF(LEFT(D101,4)*1&gt;LEFT('General inputs'!$I$16,4)+'General inputs'!$H$38-1,"",E101/(1+'General inputs'!$H$30)^C101)</f>
        <v/>
      </c>
      <c r="G101" s="113" t="str">
        <f>IF(LEFT(D101,4)*1&gt;LEFT('General inputs'!$I$16,4)+'General inputs'!$H$38-1,"",E101/(1+'General inputs'!$H$32)^C101)</f>
        <v/>
      </c>
      <c r="H101" s="113" t="str">
        <f>IF(LEFT(D101,4)*1&lt;LEFT('General inputs'!$I$16,4)*1,"",IF(LEFT(D101,4)*1&gt;LEFT('General inputs'!$I$16,4)+'General inputs'!$H$38-1,"",E101/(1+'General inputs'!$H$34)^C101))</f>
        <v/>
      </c>
      <c r="I101" s="91"/>
      <c r="J101" s="151"/>
      <c r="K101" s="151"/>
      <c r="L101" s="113" t="str">
        <f>IF(LEFT(D101,4)*1&gt;LEFT('General inputs'!$I$18,4)*1,"",SUMIF('Post-1996 commissioned assets'!$F$22:$F$1477,$D101,'Post-1996 commissioned assets'!$P$22:$P$1477)*(1+$K$34)*(1+$K$35))</f>
        <v/>
      </c>
      <c r="M101" s="113" t="str">
        <f>IF(L101="","",L101/(1+'General inputs'!$H$32)^C101)</f>
        <v/>
      </c>
      <c r="N101" s="285">
        <f>IF(LEFT(D101,4)*1&lt;LEFT('General inputs'!$I$18,4)*1+1,"",SUMIF('Uncommissioned assets'!$F$22:$F$1500,$D101,'Uncommissioned assets'!$P$22:$P$1500))</f>
        <v>0</v>
      </c>
      <c r="O101" s="113">
        <f>IF(N101="","",N101/(1+'General inputs'!$H$32)^C101)</f>
        <v>0</v>
      </c>
      <c r="P101" s="91"/>
      <c r="Q101" s="120"/>
      <c r="R101" s="113" t="str">
        <f>IF(OR(LEFT(D101,4)*1&lt;LEFT('General inputs'!$I$16,4)*1,LEFT(D101,4)*1&gt;LEFT('General inputs'!$I$16,4)+'General inputs'!$H$38-1),"",Q101/(1+'General inputs'!$H$34)^C101)</f>
        <v/>
      </c>
      <c r="S101" s="91"/>
      <c r="T101" s="120"/>
      <c r="U101" s="113" t="str">
        <f>IF(OR(LEFT(D101,4)*1&lt;LEFT('General inputs'!$I$16,4)*1,LEFT(D101,4)*1&gt;LEFT('General inputs'!$I$16,4)+'General inputs'!$H$38-1),"",T101/(1+'General inputs'!$H$34)^C101)</f>
        <v/>
      </c>
      <c r="V101" s="93"/>
      <c r="W101" s="92"/>
    </row>
    <row r="102" spans="2:23" x14ac:dyDescent="0.25">
      <c r="B102" s="66"/>
      <c r="C102" s="111">
        <f>IF(D102='General inputs'!$I$16,0,IF(D102&lt;'General inputs'!$I$16,C103-1,C101+1))</f>
        <v>36</v>
      </c>
      <c r="D102" s="111" t="str">
        <f t="shared" si="3"/>
        <v>2058-59</v>
      </c>
      <c r="E102" s="113" t="str">
        <f>IF(LEFT(D102,4)*1&gt;LEFT('General inputs'!$I$16,4)+'General inputs'!$H$38-1,"",'ET inputs'!D75)</f>
        <v/>
      </c>
      <c r="F102" s="113" t="str">
        <f>IF(LEFT(D102,4)*1&gt;LEFT('General inputs'!$I$16,4)+'General inputs'!$H$38-1,"",E102/(1+'General inputs'!$H$30)^C102)</f>
        <v/>
      </c>
      <c r="G102" s="113" t="str">
        <f>IF(LEFT(D102,4)*1&gt;LEFT('General inputs'!$I$16,4)+'General inputs'!$H$38-1,"",E102/(1+'General inputs'!$H$32)^C102)</f>
        <v/>
      </c>
      <c r="H102" s="113" t="str">
        <f>IF(LEFT(D102,4)*1&lt;LEFT('General inputs'!$I$16,4)*1,"",IF(LEFT(D102,4)*1&gt;LEFT('General inputs'!$I$16,4)+'General inputs'!$H$38-1,"",E102/(1+'General inputs'!$H$34)^C102))</f>
        <v/>
      </c>
      <c r="I102" s="91"/>
      <c r="J102" s="151"/>
      <c r="K102" s="151"/>
      <c r="L102" s="113" t="str">
        <f>IF(LEFT(D102,4)*1&gt;LEFT('General inputs'!$I$18,4)*1,"",SUMIF('Post-1996 commissioned assets'!$F$22:$F$1477,$D102,'Post-1996 commissioned assets'!$P$22:$P$1477)*(1+$K$34)*(1+$K$35))</f>
        <v/>
      </c>
      <c r="M102" s="113" t="str">
        <f>IF(L102="","",L102/(1+'General inputs'!$H$32)^C102)</f>
        <v/>
      </c>
      <c r="N102" s="285">
        <f>IF(LEFT(D102,4)*1&lt;LEFT('General inputs'!$I$18,4)*1+1,"",SUMIF('Uncommissioned assets'!$F$22:$F$1500,$D102,'Uncommissioned assets'!$P$22:$P$1500))</f>
        <v>0</v>
      </c>
      <c r="O102" s="113">
        <f>IF(N102="","",N102/(1+'General inputs'!$H$32)^C102)</f>
        <v>0</v>
      </c>
      <c r="P102" s="91"/>
      <c r="Q102" s="120"/>
      <c r="R102" s="113" t="str">
        <f>IF(OR(LEFT(D102,4)*1&lt;LEFT('General inputs'!$I$16,4)*1,LEFT(D102,4)*1&gt;LEFT('General inputs'!$I$16,4)+'General inputs'!$H$38-1),"",Q102/(1+'General inputs'!$H$34)^C102)</f>
        <v/>
      </c>
      <c r="S102" s="91"/>
      <c r="T102" s="120"/>
      <c r="U102" s="113" t="str">
        <f>IF(OR(LEFT(D102,4)*1&lt;LEFT('General inputs'!$I$16,4)*1,LEFT(D102,4)*1&gt;LEFT('General inputs'!$I$16,4)+'General inputs'!$H$38-1),"",T102/(1+'General inputs'!$H$34)^C102)</f>
        <v/>
      </c>
      <c r="V102" s="93"/>
      <c r="W102" s="92"/>
    </row>
    <row r="103" spans="2:23" x14ac:dyDescent="0.25">
      <c r="B103" s="66"/>
      <c r="C103" s="111">
        <f>IF(D103='General inputs'!$I$16,0,IF(D103&lt;'General inputs'!$I$16,C104-1,C102+1))</f>
        <v>37</v>
      </c>
      <c r="D103" s="111" t="str">
        <f t="shared" si="3"/>
        <v>2059-60</v>
      </c>
      <c r="E103" s="113" t="str">
        <f>IF(LEFT(D103,4)*1&gt;LEFT('General inputs'!$I$16,4)+'General inputs'!$H$38-1,"",'ET inputs'!D76)</f>
        <v/>
      </c>
      <c r="F103" s="113" t="str">
        <f>IF(LEFT(D103,4)*1&gt;LEFT('General inputs'!$I$16,4)+'General inputs'!$H$38-1,"",E103/(1+'General inputs'!$H$30)^C103)</f>
        <v/>
      </c>
      <c r="G103" s="113" t="str">
        <f>IF(LEFT(D103,4)*1&gt;LEFT('General inputs'!$I$16,4)+'General inputs'!$H$38-1,"",E103/(1+'General inputs'!$H$32)^C103)</f>
        <v/>
      </c>
      <c r="H103" s="113" t="str">
        <f>IF(LEFT(D103,4)*1&lt;LEFT('General inputs'!$I$16,4)*1,"",IF(LEFT(D103,4)*1&gt;LEFT('General inputs'!$I$16,4)+'General inputs'!$H$38-1,"",E103/(1+'General inputs'!$H$34)^C103))</f>
        <v/>
      </c>
      <c r="I103" s="91"/>
      <c r="J103" s="151"/>
      <c r="K103" s="151"/>
      <c r="L103" s="113" t="str">
        <f>IF(LEFT(D103,4)*1&gt;LEFT('General inputs'!$I$18,4)*1,"",SUMIF('Post-1996 commissioned assets'!$F$22:$F$1477,$D103,'Post-1996 commissioned assets'!$P$22:$P$1477)*(1+$K$34)*(1+$K$35))</f>
        <v/>
      </c>
      <c r="M103" s="113" t="str">
        <f>IF(L103="","",L103/(1+'General inputs'!$H$32)^C103)</f>
        <v/>
      </c>
      <c r="N103" s="285">
        <f>IF(LEFT(D103,4)*1&lt;LEFT('General inputs'!$I$18,4)*1+1,"",SUMIF('Uncommissioned assets'!$F$22:$F$1500,$D103,'Uncommissioned assets'!$P$22:$P$1500))</f>
        <v>0</v>
      </c>
      <c r="O103" s="113">
        <f>IF(N103="","",N103/(1+'General inputs'!$H$32)^C103)</f>
        <v>0</v>
      </c>
      <c r="P103" s="91"/>
      <c r="Q103" s="120"/>
      <c r="R103" s="113" t="str">
        <f>IF(OR(LEFT(D103,4)*1&lt;LEFT('General inputs'!$I$16,4)*1,LEFT(D103,4)*1&gt;LEFT('General inputs'!$I$16,4)+'General inputs'!$H$38-1),"",Q103/(1+'General inputs'!$H$34)^C103)</f>
        <v/>
      </c>
      <c r="S103" s="91"/>
      <c r="T103" s="120"/>
      <c r="U103" s="113" t="str">
        <f>IF(OR(LEFT(D103,4)*1&lt;LEFT('General inputs'!$I$16,4)*1,LEFT(D103,4)*1&gt;LEFT('General inputs'!$I$16,4)+'General inputs'!$H$38-1),"",T103/(1+'General inputs'!$H$34)^C103)</f>
        <v/>
      </c>
      <c r="V103" s="93"/>
      <c r="W103" s="92"/>
    </row>
    <row r="104" spans="2:23" x14ac:dyDescent="0.25">
      <c r="B104" s="66"/>
      <c r="C104" s="111">
        <f>IF(D104='General inputs'!$I$16,0,IF(D104&lt;'General inputs'!$I$16,C105-1,C103+1))</f>
        <v>38</v>
      </c>
      <c r="D104" s="111" t="str">
        <f t="shared" si="3"/>
        <v>2060-61</v>
      </c>
      <c r="E104" s="113" t="str">
        <f>IF(LEFT(D104,4)*1&gt;LEFT('General inputs'!$I$16,4)+'General inputs'!$H$38-1,"",'ET inputs'!D77)</f>
        <v/>
      </c>
      <c r="F104" s="113" t="str">
        <f>IF(LEFT(D104,4)*1&gt;LEFT('General inputs'!$I$16,4)+'General inputs'!$H$38-1,"",E104/(1+'General inputs'!$H$30)^C104)</f>
        <v/>
      </c>
      <c r="G104" s="113" t="str">
        <f>IF(LEFT(D104,4)*1&gt;LEFT('General inputs'!$I$16,4)+'General inputs'!$H$38-1,"",E104/(1+'General inputs'!$H$32)^C104)</f>
        <v/>
      </c>
      <c r="H104" s="113" t="str">
        <f>IF(LEFT(D104,4)*1&lt;LEFT('General inputs'!$I$16,4)*1,"",IF(LEFT(D104,4)*1&gt;LEFT('General inputs'!$I$16,4)+'General inputs'!$H$38-1,"",E104/(1+'General inputs'!$H$34)^C104))</f>
        <v/>
      </c>
      <c r="I104" s="91"/>
      <c r="J104" s="151"/>
      <c r="K104" s="151"/>
      <c r="L104" s="113" t="str">
        <f>IF(LEFT(D104,4)*1&gt;LEFT('General inputs'!$I$18,4)*1,"",SUMIF('Post-1996 commissioned assets'!$F$22:$F$1477,$D104,'Post-1996 commissioned assets'!$P$22:$P$1477)*(1+$K$34)*(1+$K$35))</f>
        <v/>
      </c>
      <c r="M104" s="113" t="str">
        <f>IF(L104="","",L104/(1+'General inputs'!$H$32)^C104)</f>
        <v/>
      </c>
      <c r="N104" s="285">
        <f>IF(LEFT(D104,4)*1&lt;LEFT('General inputs'!$I$18,4)*1+1,"",SUMIF('Uncommissioned assets'!$F$22:$F$1500,$D104,'Uncommissioned assets'!$P$22:$P$1500))</f>
        <v>0</v>
      </c>
      <c r="O104" s="113">
        <f>IF(N104="","",N104/(1+'General inputs'!$H$32)^C104)</f>
        <v>0</v>
      </c>
      <c r="P104" s="91"/>
      <c r="Q104" s="120"/>
      <c r="R104" s="113" t="str">
        <f>IF(OR(LEFT(D104,4)*1&lt;LEFT('General inputs'!$I$16,4)*1,LEFT(D104,4)*1&gt;LEFT('General inputs'!$I$16,4)+'General inputs'!$H$38-1),"",Q104/(1+'General inputs'!$H$34)^C104)</f>
        <v/>
      </c>
      <c r="S104" s="91"/>
      <c r="T104" s="120"/>
      <c r="U104" s="113" t="str">
        <f>IF(OR(LEFT(D104,4)*1&lt;LEFT('General inputs'!$I$16,4)*1,LEFT(D104,4)*1&gt;LEFT('General inputs'!$I$16,4)+'General inputs'!$H$38-1),"",T104/(1+'General inputs'!$H$34)^C104)</f>
        <v/>
      </c>
      <c r="V104" s="93"/>
      <c r="W104" s="92"/>
    </row>
    <row r="105" spans="2:23" x14ac:dyDescent="0.25">
      <c r="B105" s="66"/>
      <c r="C105" s="111">
        <f>IF(D105='General inputs'!$I$16,0,IF(D105&lt;'General inputs'!$I$16,C106-1,C104+1))</f>
        <v>39</v>
      </c>
      <c r="D105" s="111" t="str">
        <f t="shared" si="3"/>
        <v>2061-62</v>
      </c>
      <c r="E105" s="113" t="str">
        <f>IF(LEFT(D105,4)*1&gt;LEFT('General inputs'!$I$16,4)+'General inputs'!$H$38-1,"",'ET inputs'!D78)</f>
        <v/>
      </c>
      <c r="F105" s="113" t="str">
        <f>IF(LEFT(D105,4)*1&gt;LEFT('General inputs'!$I$16,4)+'General inputs'!$H$38-1,"",E105/(1+'General inputs'!$H$30)^C105)</f>
        <v/>
      </c>
      <c r="G105" s="113" t="str">
        <f>IF(LEFT(D105,4)*1&gt;LEFT('General inputs'!$I$16,4)+'General inputs'!$H$38-1,"",E105/(1+'General inputs'!$H$32)^C105)</f>
        <v/>
      </c>
      <c r="H105" s="113" t="str">
        <f>IF(LEFT(D105,4)*1&lt;LEFT('General inputs'!$I$16,4)*1,"",IF(LEFT(D105,4)*1&gt;LEFT('General inputs'!$I$16,4)+'General inputs'!$H$38-1,"",E105/(1+'General inputs'!$H$34)^C105))</f>
        <v/>
      </c>
      <c r="I105" s="91"/>
      <c r="J105" s="151"/>
      <c r="K105" s="151"/>
      <c r="L105" s="113" t="str">
        <f>IF(LEFT(D105,4)*1&gt;LEFT('General inputs'!$I$18,4)*1,"",SUMIF('Post-1996 commissioned assets'!$F$22:$F$1477,$D105,'Post-1996 commissioned assets'!$P$22:$P$1477)*(1+$K$34)*(1+$K$35))</f>
        <v/>
      </c>
      <c r="M105" s="113" t="str">
        <f>IF(L105="","",L105/(1+'General inputs'!$H$32)^C105)</f>
        <v/>
      </c>
      <c r="N105" s="285">
        <f>IF(LEFT(D105,4)*1&lt;LEFT('General inputs'!$I$18,4)*1+1,"",SUMIF('Uncommissioned assets'!$F$22:$F$1500,$D105,'Uncommissioned assets'!$P$22:$P$1500))</f>
        <v>0</v>
      </c>
      <c r="O105" s="113">
        <f>IF(N105="","",N105/(1+'General inputs'!$H$32)^C105)</f>
        <v>0</v>
      </c>
      <c r="P105" s="91"/>
      <c r="Q105" s="120"/>
      <c r="R105" s="113" t="str">
        <f>IF(OR(LEFT(D105,4)*1&lt;LEFT('General inputs'!$I$16,4)*1,LEFT(D105,4)*1&gt;LEFT('General inputs'!$I$16,4)+'General inputs'!$H$38-1),"",Q105/(1+'General inputs'!$H$34)^C105)</f>
        <v/>
      </c>
      <c r="S105" s="91"/>
      <c r="T105" s="120"/>
      <c r="U105" s="113" t="str">
        <f>IF(OR(LEFT(D105,4)*1&lt;LEFT('General inputs'!$I$16,4)*1,LEFT(D105,4)*1&gt;LEFT('General inputs'!$I$16,4)+'General inputs'!$H$38-1),"",T105/(1+'General inputs'!$H$34)^C105)</f>
        <v/>
      </c>
      <c r="V105" s="93"/>
      <c r="W105" s="92"/>
    </row>
    <row r="106" spans="2:23" x14ac:dyDescent="0.25">
      <c r="B106" s="66"/>
      <c r="C106" s="111">
        <f>IF(D106='General inputs'!$I$16,0,IF(D106&lt;'General inputs'!$I$16,C107-1,C105+1))</f>
        <v>40</v>
      </c>
      <c r="D106" s="111" t="str">
        <f t="shared" si="3"/>
        <v>2062-63</v>
      </c>
      <c r="E106" s="113" t="str">
        <f>IF(LEFT(D106,4)*1&gt;LEFT('General inputs'!$I$16,4)+'General inputs'!$H$38-1,"",'ET inputs'!D79)</f>
        <v/>
      </c>
      <c r="F106" s="113" t="str">
        <f>IF(LEFT(D106,4)*1&gt;LEFT('General inputs'!$I$16,4)+'General inputs'!$H$38-1,"",E106/(1+'General inputs'!$H$30)^C106)</f>
        <v/>
      </c>
      <c r="G106" s="113" t="str">
        <f>IF(LEFT(D106,4)*1&gt;LEFT('General inputs'!$I$16,4)+'General inputs'!$H$38-1,"",E106/(1+'General inputs'!$H$32)^C106)</f>
        <v/>
      </c>
      <c r="H106" s="113" t="str">
        <f>IF(LEFT(D106,4)*1&lt;LEFT('General inputs'!$I$16,4)*1,"",IF(LEFT(D106,4)*1&gt;LEFT('General inputs'!$I$16,4)+'General inputs'!$H$38-1,"",E106/(1+'General inputs'!$H$34)^C106))</f>
        <v/>
      </c>
      <c r="I106" s="91"/>
      <c r="J106" s="151"/>
      <c r="K106" s="151"/>
      <c r="L106" s="113" t="str">
        <f>IF(LEFT(D106,4)*1&gt;LEFT('General inputs'!$I$18,4)*1,"",SUMIF('Post-1996 commissioned assets'!$F$22:$F$1477,$D106,'Post-1996 commissioned assets'!$P$22:$P$1477)*(1+$K$34)*(1+$K$35))</f>
        <v/>
      </c>
      <c r="M106" s="113" t="str">
        <f>IF(L106="","",L106/(1+'General inputs'!$H$32)^C106)</f>
        <v/>
      </c>
      <c r="N106" s="285">
        <f>IF(LEFT(D106,4)*1&lt;LEFT('General inputs'!$I$18,4)*1+1,"",SUMIF('Uncommissioned assets'!$F$22:$F$1500,$D106,'Uncommissioned assets'!$P$22:$P$1500))</f>
        <v>0</v>
      </c>
      <c r="O106" s="113">
        <f>IF(N106="","",N106/(1+'General inputs'!$H$32)^C106)</f>
        <v>0</v>
      </c>
      <c r="P106" s="91"/>
      <c r="Q106" s="120"/>
      <c r="R106" s="113" t="str">
        <f>IF(OR(LEFT(D106,4)*1&lt;LEFT('General inputs'!$I$16,4)*1,LEFT(D106,4)*1&gt;LEFT('General inputs'!$I$16,4)+'General inputs'!$H$38-1),"",Q106/(1+'General inputs'!$H$34)^C106)</f>
        <v/>
      </c>
      <c r="S106" s="91"/>
      <c r="T106" s="120"/>
      <c r="U106" s="113" t="str">
        <f>IF(OR(LEFT(D106,4)*1&lt;LEFT('General inputs'!$I$16,4)*1,LEFT(D106,4)*1&gt;LEFT('General inputs'!$I$16,4)+'General inputs'!$H$38-1),"",T106/(1+'General inputs'!$H$34)^C106)</f>
        <v/>
      </c>
      <c r="V106" s="93"/>
      <c r="W106" s="92"/>
    </row>
    <row r="107" spans="2:23" x14ac:dyDescent="0.25">
      <c r="B107" s="66"/>
      <c r="C107" s="111">
        <f>IF(D107='General inputs'!$I$16,0,IF(D107&lt;'General inputs'!$I$16,C108-1,C106+1))</f>
        <v>41</v>
      </c>
      <c r="D107" s="111" t="str">
        <f t="shared" si="3"/>
        <v>2063-64</v>
      </c>
      <c r="E107" s="113" t="str">
        <f>IF(LEFT(D107,4)*1&gt;LEFT('General inputs'!$I$16,4)+'General inputs'!$H$38-1,"",'ET inputs'!D80)</f>
        <v/>
      </c>
      <c r="F107" s="113" t="str">
        <f>IF(LEFT(D107,4)*1&gt;LEFT('General inputs'!$I$16,4)+'General inputs'!$H$38-1,"",E107/(1+'General inputs'!$H$30)^C107)</f>
        <v/>
      </c>
      <c r="G107" s="113" t="str">
        <f>IF(LEFT(D107,4)*1&gt;LEFT('General inputs'!$I$16,4)+'General inputs'!$H$38-1,"",E107/(1+'General inputs'!$H$32)^C107)</f>
        <v/>
      </c>
      <c r="H107" s="113" t="str">
        <f>IF(LEFT(D107,4)*1&lt;LEFT('General inputs'!$I$16,4)*1,"",IF(LEFT(D107,4)*1&gt;LEFT('General inputs'!$I$16,4)+'General inputs'!$H$38-1,"",E107/(1+'General inputs'!$H$34)^C107))</f>
        <v/>
      </c>
      <c r="I107" s="91"/>
      <c r="J107" s="151"/>
      <c r="K107" s="151"/>
      <c r="L107" s="113" t="str">
        <f>IF(LEFT(D107,4)*1&gt;LEFT('General inputs'!$I$18,4)*1,"",SUMIF('Post-1996 commissioned assets'!$F$22:$F$1477,$D107,'Post-1996 commissioned assets'!$P$22:$P$1477)*(1+$K$34)*(1+$K$35))</f>
        <v/>
      </c>
      <c r="M107" s="113" t="str">
        <f>IF(L107="","",L107/(1+'General inputs'!$H$32)^C107)</f>
        <v/>
      </c>
      <c r="N107" s="285">
        <f>IF(LEFT(D107,4)*1&lt;LEFT('General inputs'!$I$18,4)*1+1,"",SUMIF('Uncommissioned assets'!$F$22:$F$1500,$D107,'Uncommissioned assets'!$P$22:$P$1500))</f>
        <v>0</v>
      </c>
      <c r="O107" s="113">
        <f>IF(N107="","",N107/(1+'General inputs'!$H$32)^C107)</f>
        <v>0</v>
      </c>
      <c r="P107" s="91"/>
      <c r="Q107" s="120"/>
      <c r="R107" s="113" t="str">
        <f>IF(OR(LEFT(D107,4)*1&lt;LEFT('General inputs'!$I$16,4)*1,LEFT(D107,4)*1&gt;LEFT('General inputs'!$I$16,4)+'General inputs'!$H$38-1),"",Q107/(1+'General inputs'!$H$34)^C107)</f>
        <v/>
      </c>
      <c r="S107" s="91"/>
      <c r="T107" s="120"/>
      <c r="U107" s="113" t="str">
        <f>IF(OR(LEFT(D107,4)*1&lt;LEFT('General inputs'!$I$16,4)*1,LEFT(D107,4)*1&gt;LEFT('General inputs'!$I$16,4)+'General inputs'!$H$38-1),"",T107/(1+'General inputs'!$H$34)^C107)</f>
        <v/>
      </c>
      <c r="V107" s="93"/>
      <c r="W107" s="92"/>
    </row>
    <row r="108" spans="2:23" x14ac:dyDescent="0.25">
      <c r="B108" s="66"/>
      <c r="C108" s="111">
        <f>IF(D108='General inputs'!$I$16,0,IF(D108&lt;'General inputs'!$I$16,C109-1,C107+1))</f>
        <v>42</v>
      </c>
      <c r="D108" s="111" t="str">
        <f t="shared" si="3"/>
        <v>2064-65</v>
      </c>
      <c r="E108" s="113" t="str">
        <f>IF(LEFT(D108,4)*1&gt;LEFT('General inputs'!$I$16,4)+'General inputs'!$H$38-1,"",'ET inputs'!D81)</f>
        <v/>
      </c>
      <c r="F108" s="113" t="str">
        <f>IF(LEFT(D108,4)*1&gt;LEFT('General inputs'!$I$16,4)+'General inputs'!$H$38-1,"",E108/(1+'General inputs'!$H$30)^C108)</f>
        <v/>
      </c>
      <c r="G108" s="113" t="str">
        <f>IF(LEFT(D108,4)*1&gt;LEFT('General inputs'!$I$16,4)+'General inputs'!$H$38-1,"",E108/(1+'General inputs'!$H$32)^C108)</f>
        <v/>
      </c>
      <c r="H108" s="113" t="str">
        <f>IF(LEFT(D108,4)*1&lt;LEFT('General inputs'!$I$16,4)*1,"",IF(LEFT(D108,4)*1&gt;LEFT('General inputs'!$I$16,4)+'General inputs'!$H$38-1,"",E108/(1+'General inputs'!$H$34)^C108))</f>
        <v/>
      </c>
      <c r="I108" s="91"/>
      <c r="J108" s="151"/>
      <c r="K108" s="151"/>
      <c r="L108" s="113" t="str">
        <f>IF(LEFT(D108,4)*1&gt;LEFT('General inputs'!$I$18,4)*1,"",SUMIF('Post-1996 commissioned assets'!$F$22:$F$1477,$D108,'Post-1996 commissioned assets'!$P$22:$P$1477)*(1+$K$34)*(1+$K$35))</f>
        <v/>
      </c>
      <c r="M108" s="113" t="str">
        <f>IF(L108="","",L108/(1+'General inputs'!$H$32)^C108)</f>
        <v/>
      </c>
      <c r="N108" s="285">
        <f>IF(LEFT(D108,4)*1&lt;LEFT('General inputs'!$I$18,4)*1+1,"",SUMIF('Uncommissioned assets'!$F$22:$F$1500,$D108,'Uncommissioned assets'!$P$22:$P$1500))</f>
        <v>0</v>
      </c>
      <c r="O108" s="113">
        <f>IF(N108="","",N108/(1+'General inputs'!$H$32)^C108)</f>
        <v>0</v>
      </c>
      <c r="P108" s="91"/>
      <c r="Q108" s="120"/>
      <c r="R108" s="113" t="str">
        <f>IF(OR(LEFT(D108,4)*1&lt;LEFT('General inputs'!$I$16,4)*1,LEFT(D108,4)*1&gt;LEFT('General inputs'!$I$16,4)+'General inputs'!$H$38-1),"",Q108/(1+'General inputs'!$H$34)^C108)</f>
        <v/>
      </c>
      <c r="S108" s="91"/>
      <c r="T108" s="120"/>
      <c r="U108" s="113" t="str">
        <f>IF(OR(LEFT(D108,4)*1&lt;LEFT('General inputs'!$I$16,4)*1,LEFT(D108,4)*1&gt;LEFT('General inputs'!$I$16,4)+'General inputs'!$H$38-1),"",T108/(1+'General inputs'!$H$34)^C108)</f>
        <v/>
      </c>
      <c r="V108" s="93"/>
      <c r="W108" s="92"/>
    </row>
    <row r="109" spans="2:23" x14ac:dyDescent="0.25">
      <c r="B109" s="66"/>
      <c r="C109" s="111">
        <f>IF(D109='General inputs'!$I$16,0,IF(D109&lt;'General inputs'!$I$16,C110-1,C108+1))</f>
        <v>43</v>
      </c>
      <c r="D109" s="111" t="str">
        <f t="shared" si="3"/>
        <v>2065-66</v>
      </c>
      <c r="E109" s="113" t="str">
        <f>IF(LEFT(D109,4)*1&gt;LEFT('General inputs'!$I$16,4)+'General inputs'!$H$38-1,"",'ET inputs'!D82)</f>
        <v/>
      </c>
      <c r="F109" s="113" t="str">
        <f>IF(LEFT(D109,4)*1&gt;LEFT('General inputs'!$I$16,4)+'General inputs'!$H$38-1,"",E109/(1+'General inputs'!$H$30)^C109)</f>
        <v/>
      </c>
      <c r="G109" s="113" t="str">
        <f>IF(LEFT(D109,4)*1&gt;LEFT('General inputs'!$I$16,4)+'General inputs'!$H$38-1,"",E109/(1+'General inputs'!$H$32)^C109)</f>
        <v/>
      </c>
      <c r="H109" s="113" t="str">
        <f>IF(LEFT(D109,4)*1&lt;LEFT('General inputs'!$I$16,4)*1,"",IF(LEFT(D109,4)*1&gt;LEFT('General inputs'!$I$16,4)+'General inputs'!$H$38-1,"",E109/(1+'General inputs'!$H$34)^C109))</f>
        <v/>
      </c>
      <c r="I109" s="91"/>
      <c r="J109" s="151"/>
      <c r="K109" s="151"/>
      <c r="L109" s="113" t="str">
        <f>IF(LEFT(D109,4)*1&gt;LEFT('General inputs'!$I$18,4)*1,"",SUMIF('Post-1996 commissioned assets'!$F$22:$F$1477,$D109,'Post-1996 commissioned assets'!$P$22:$P$1477)*(1+$K$34)*(1+$K$35))</f>
        <v/>
      </c>
      <c r="M109" s="113" t="str">
        <f>IF(L109="","",L109/(1+'General inputs'!$H$32)^C109)</f>
        <v/>
      </c>
      <c r="N109" s="285">
        <f>IF(LEFT(D109,4)*1&lt;LEFT('General inputs'!$I$18,4)*1+1,"",SUMIF('Uncommissioned assets'!$F$22:$F$1500,$D109,'Uncommissioned assets'!$P$22:$P$1500))</f>
        <v>0</v>
      </c>
      <c r="O109" s="113">
        <f>IF(N109="","",N109/(1+'General inputs'!$H$32)^C109)</f>
        <v>0</v>
      </c>
      <c r="P109" s="91"/>
      <c r="Q109" s="120"/>
      <c r="R109" s="113" t="str">
        <f>IF(OR(LEFT(D109,4)*1&lt;LEFT('General inputs'!$I$16,4)*1,LEFT(D109,4)*1&gt;LEFT('General inputs'!$I$16,4)+'General inputs'!$H$38-1),"",Q109/(1+'General inputs'!$H$34)^C109)</f>
        <v/>
      </c>
      <c r="S109" s="91"/>
      <c r="T109" s="120"/>
      <c r="U109" s="113" t="str">
        <f>IF(OR(LEFT(D109,4)*1&lt;LEFT('General inputs'!$I$16,4)*1,LEFT(D109,4)*1&gt;LEFT('General inputs'!$I$16,4)+'General inputs'!$H$38-1),"",T109/(1+'General inputs'!$H$34)^C109)</f>
        <v/>
      </c>
      <c r="V109" s="93"/>
      <c r="W109" s="92"/>
    </row>
    <row r="110" spans="2:23" x14ac:dyDescent="0.25">
      <c r="B110" s="66"/>
      <c r="C110" s="111">
        <f>IF(D110='General inputs'!$I$16,0,IF(D110&lt;'General inputs'!$I$16,C111-1,C109+1))</f>
        <v>44</v>
      </c>
      <c r="D110" s="111" t="str">
        <f t="shared" si="3"/>
        <v>2066-67</v>
      </c>
      <c r="E110" s="113" t="str">
        <f>IF(LEFT(D110,4)*1&gt;LEFT('General inputs'!$I$16,4)+'General inputs'!$H$38-1,"",'ET inputs'!D83)</f>
        <v/>
      </c>
      <c r="F110" s="113" t="str">
        <f>IF(LEFT(D110,4)*1&gt;LEFT('General inputs'!$I$16,4)+'General inputs'!$H$38-1,"",E110/(1+'General inputs'!$H$30)^C110)</f>
        <v/>
      </c>
      <c r="G110" s="113" t="str">
        <f>IF(LEFT(D110,4)*1&gt;LEFT('General inputs'!$I$16,4)+'General inputs'!$H$38-1,"",E110/(1+'General inputs'!$H$32)^C110)</f>
        <v/>
      </c>
      <c r="H110" s="113" t="str">
        <f>IF(LEFT(D110,4)*1&lt;LEFT('General inputs'!$I$16,4)*1,"",IF(LEFT(D110,4)*1&gt;LEFT('General inputs'!$I$16,4)+'General inputs'!$H$38-1,"",E110/(1+'General inputs'!$H$34)^C110))</f>
        <v/>
      </c>
      <c r="I110" s="91"/>
      <c r="J110" s="151"/>
      <c r="K110" s="151"/>
      <c r="L110" s="113" t="str">
        <f>IF(LEFT(D110,4)*1&gt;LEFT('General inputs'!$I$18,4)*1,"",SUMIF('Post-1996 commissioned assets'!$F$22:$F$1477,$D110,'Post-1996 commissioned assets'!$P$22:$P$1477)*(1+$K$34)*(1+$K$35))</f>
        <v/>
      </c>
      <c r="M110" s="113" t="str">
        <f>IF(L110="","",L110/(1+'General inputs'!$H$32)^C110)</f>
        <v/>
      </c>
      <c r="N110" s="285">
        <f>IF(LEFT(D110,4)*1&lt;LEFT('General inputs'!$I$18,4)*1+1,"",SUMIF('Uncommissioned assets'!$F$22:$F$1500,$D110,'Uncommissioned assets'!$P$22:$P$1500))</f>
        <v>0</v>
      </c>
      <c r="O110" s="113">
        <f>IF(N110="","",N110/(1+'General inputs'!$H$32)^C110)</f>
        <v>0</v>
      </c>
      <c r="P110" s="91"/>
      <c r="Q110" s="120"/>
      <c r="R110" s="113" t="str">
        <f>IF(OR(LEFT(D110,4)*1&lt;LEFT('General inputs'!$I$16,4)*1,LEFT(D110,4)*1&gt;LEFT('General inputs'!$I$16,4)+'General inputs'!$H$38-1),"",Q110/(1+'General inputs'!$H$34)^C110)</f>
        <v/>
      </c>
      <c r="S110" s="91"/>
      <c r="T110" s="120"/>
      <c r="U110" s="113" t="str">
        <f>IF(OR(LEFT(D110,4)*1&lt;LEFT('General inputs'!$I$16,4)*1,LEFT(D110,4)*1&gt;LEFT('General inputs'!$I$16,4)+'General inputs'!$H$38-1),"",T110/(1+'General inputs'!$H$34)^C110)</f>
        <v/>
      </c>
      <c r="V110" s="93"/>
      <c r="W110" s="92"/>
    </row>
    <row r="111" spans="2:23" x14ac:dyDescent="0.25">
      <c r="B111" s="66"/>
      <c r="C111" s="111">
        <f>IF(D111='General inputs'!$I$16,0,IF(D111&lt;'General inputs'!$I$16,C112-1,C110+1))</f>
        <v>45</v>
      </c>
      <c r="D111" s="111" t="str">
        <f t="shared" si="3"/>
        <v>2067-68</v>
      </c>
      <c r="E111" s="113" t="str">
        <f>IF(LEFT(D111,4)*1&gt;LEFT('General inputs'!$I$16,4)+'General inputs'!$H$38-1,"",'ET inputs'!D84)</f>
        <v/>
      </c>
      <c r="F111" s="113" t="str">
        <f>IF(LEFT(D111,4)*1&gt;LEFT('General inputs'!$I$16,4)+'General inputs'!$H$38-1,"",E111/(1+'General inputs'!$H$30)^C111)</f>
        <v/>
      </c>
      <c r="G111" s="113" t="str">
        <f>IF(LEFT(D111,4)*1&gt;LEFT('General inputs'!$I$16,4)+'General inputs'!$H$38-1,"",E111/(1+'General inputs'!$H$32)^C111)</f>
        <v/>
      </c>
      <c r="H111" s="113" t="str">
        <f>IF(LEFT(D111,4)*1&lt;LEFT('General inputs'!$I$16,4)*1,"",IF(LEFT(D111,4)*1&gt;LEFT('General inputs'!$I$16,4)+'General inputs'!$H$38-1,"",E111/(1+'General inputs'!$H$34)^C111))</f>
        <v/>
      </c>
      <c r="I111" s="91"/>
      <c r="J111" s="151"/>
      <c r="K111" s="151"/>
      <c r="L111" s="113" t="str">
        <f>IF(LEFT(D111,4)*1&gt;LEFT('General inputs'!$I$18,4)*1,"",SUMIF('Post-1996 commissioned assets'!$F$22:$F$1477,$D111,'Post-1996 commissioned assets'!$P$22:$P$1477)*(1+$K$34)*(1+$K$35))</f>
        <v/>
      </c>
      <c r="M111" s="113" t="str">
        <f>IF(L111="","",L111/(1+'General inputs'!$H$32)^C111)</f>
        <v/>
      </c>
      <c r="N111" s="285">
        <f>IF(LEFT(D111,4)*1&lt;LEFT('General inputs'!$I$18,4)*1+1,"",SUMIF('Uncommissioned assets'!$F$22:$F$1500,$D111,'Uncommissioned assets'!$P$22:$P$1500))</f>
        <v>0</v>
      </c>
      <c r="O111" s="113">
        <f>IF(N111="","",N111/(1+'General inputs'!$H$32)^C111)</f>
        <v>0</v>
      </c>
      <c r="P111" s="91"/>
      <c r="Q111" s="120"/>
      <c r="R111" s="113" t="str">
        <f>IF(OR(LEFT(D111,4)*1&lt;LEFT('General inputs'!$I$16,4)*1,LEFT(D111,4)*1&gt;LEFT('General inputs'!$I$16,4)+'General inputs'!$H$38-1),"",Q111/(1+'General inputs'!$H$34)^C111)</f>
        <v/>
      </c>
      <c r="S111" s="91"/>
      <c r="T111" s="120"/>
      <c r="U111" s="113" t="str">
        <f>IF(OR(LEFT(D111,4)*1&lt;LEFT('General inputs'!$I$16,4)*1,LEFT(D111,4)*1&gt;LEFT('General inputs'!$I$16,4)+'General inputs'!$H$38-1),"",T111/(1+'General inputs'!$H$34)^C111)</f>
        <v/>
      </c>
      <c r="V111" s="93"/>
      <c r="W111" s="92"/>
    </row>
    <row r="112" spans="2:23" x14ac:dyDescent="0.25">
      <c r="B112" s="66"/>
      <c r="C112" s="111">
        <f>IF(D112='General inputs'!$I$16,0,IF(D112&lt;'General inputs'!$I$16,C113-1,C111+1))</f>
        <v>46</v>
      </c>
      <c r="D112" s="111" t="str">
        <f t="shared" si="3"/>
        <v>2068-69</v>
      </c>
      <c r="E112" s="113" t="str">
        <f>IF(LEFT(D112,4)*1&gt;LEFT('General inputs'!$I$16,4)+'General inputs'!$H$38-1,"",'ET inputs'!D85)</f>
        <v/>
      </c>
      <c r="F112" s="113" t="str">
        <f>IF(LEFT(D112,4)*1&gt;LEFT('General inputs'!$I$16,4)+'General inputs'!$H$38-1,"",E112/(1+'General inputs'!$H$30)^C112)</f>
        <v/>
      </c>
      <c r="G112" s="113" t="str">
        <f>IF(LEFT(D112,4)*1&gt;LEFT('General inputs'!$I$16,4)+'General inputs'!$H$38-1,"",E112/(1+'General inputs'!$H$32)^C112)</f>
        <v/>
      </c>
      <c r="H112" s="113" t="str">
        <f>IF(LEFT(D112,4)*1&lt;LEFT('General inputs'!$I$16,4)*1,"",IF(LEFT(D112,4)*1&gt;LEFT('General inputs'!$I$16,4)+'General inputs'!$H$38-1,"",E112/(1+'General inputs'!$H$34)^C112))</f>
        <v/>
      </c>
      <c r="I112" s="91"/>
      <c r="J112" s="151"/>
      <c r="K112" s="151"/>
      <c r="L112" s="113" t="str">
        <f>IF(LEFT(D112,4)*1&gt;LEFT('General inputs'!$I$18,4)*1,"",SUMIF('Post-1996 commissioned assets'!$F$22:$F$1477,$D112,'Post-1996 commissioned assets'!$P$22:$P$1477)*(1+$K$34)*(1+$K$35))</f>
        <v/>
      </c>
      <c r="M112" s="113" t="str">
        <f>IF(L112="","",L112/(1+'General inputs'!$H$32)^C112)</f>
        <v/>
      </c>
      <c r="N112" s="285">
        <f>IF(LEFT(D112,4)*1&lt;LEFT('General inputs'!$I$18,4)*1+1,"",SUMIF('Uncommissioned assets'!$F$22:$F$1500,$D112,'Uncommissioned assets'!$P$22:$P$1500))</f>
        <v>0</v>
      </c>
      <c r="O112" s="113">
        <f>IF(N112="","",N112/(1+'General inputs'!$H$32)^C112)</f>
        <v>0</v>
      </c>
      <c r="P112" s="91"/>
      <c r="Q112" s="120"/>
      <c r="R112" s="113" t="str">
        <f>IF(OR(LEFT(D112,4)*1&lt;LEFT('General inputs'!$I$16,4)*1,LEFT(D112,4)*1&gt;LEFT('General inputs'!$I$16,4)+'General inputs'!$H$38-1),"",Q112/(1+'General inputs'!$H$34)^C112)</f>
        <v/>
      </c>
      <c r="S112" s="91"/>
      <c r="T112" s="120"/>
      <c r="U112" s="113" t="str">
        <f>IF(OR(LEFT(D112,4)*1&lt;LEFT('General inputs'!$I$16,4)*1,LEFT(D112,4)*1&gt;LEFT('General inputs'!$I$16,4)+'General inputs'!$H$38-1),"",T112/(1+'General inputs'!$H$34)^C112)</f>
        <v/>
      </c>
      <c r="V112" s="93"/>
      <c r="W112" s="92"/>
    </row>
    <row r="113" spans="2:23" x14ac:dyDescent="0.25">
      <c r="B113" s="66"/>
      <c r="C113" s="111">
        <f>IF(D113='General inputs'!$I$16,0,IF(D113&lt;'General inputs'!$I$16,C114-1,C112+1))</f>
        <v>47</v>
      </c>
      <c r="D113" s="111" t="str">
        <f t="shared" si="3"/>
        <v>2069-70</v>
      </c>
      <c r="E113" s="113" t="str">
        <f>IF(LEFT(D113,4)*1&gt;LEFT('General inputs'!$I$16,4)+'General inputs'!$H$38-1,"",'ET inputs'!D86)</f>
        <v/>
      </c>
      <c r="F113" s="113" t="str">
        <f>IF(LEFT(D113,4)*1&gt;LEFT('General inputs'!$I$16,4)+'General inputs'!$H$38-1,"",E113/(1+'General inputs'!$H$30)^C113)</f>
        <v/>
      </c>
      <c r="G113" s="113" t="str">
        <f>IF(LEFT(D113,4)*1&gt;LEFT('General inputs'!$I$16,4)+'General inputs'!$H$38-1,"",E113/(1+'General inputs'!$H$32)^C113)</f>
        <v/>
      </c>
      <c r="H113" s="113" t="str">
        <f>IF(LEFT(D113,4)*1&lt;LEFT('General inputs'!$I$16,4)*1,"",IF(LEFT(D113,4)*1&gt;LEFT('General inputs'!$I$16,4)+'General inputs'!$H$38-1,"",E113/(1+'General inputs'!$H$34)^C113))</f>
        <v/>
      </c>
      <c r="I113" s="91"/>
      <c r="J113" s="151"/>
      <c r="K113" s="151"/>
      <c r="L113" s="113" t="str">
        <f>IF(LEFT(D113,4)*1&gt;LEFT('General inputs'!$I$18,4)*1,"",SUMIF('Post-1996 commissioned assets'!$F$22:$F$1477,$D113,'Post-1996 commissioned assets'!$P$22:$P$1477)*(1+$K$34)*(1+$K$35))</f>
        <v/>
      </c>
      <c r="M113" s="113" t="str">
        <f>IF(L113="","",L113/(1+'General inputs'!$H$32)^C113)</f>
        <v/>
      </c>
      <c r="N113" s="285">
        <f>IF(LEFT(D113,4)*1&lt;LEFT('General inputs'!$I$18,4)*1+1,"",SUMIF('Uncommissioned assets'!$F$22:$F$1500,$D113,'Uncommissioned assets'!$P$22:$P$1500))</f>
        <v>0</v>
      </c>
      <c r="O113" s="113">
        <f>IF(N113="","",N113/(1+'General inputs'!$H$32)^C113)</f>
        <v>0</v>
      </c>
      <c r="P113" s="91"/>
      <c r="Q113" s="120"/>
      <c r="R113" s="113" t="str">
        <f>IF(OR(LEFT(D113,4)*1&lt;LEFT('General inputs'!$I$16,4)*1,LEFT(D113,4)*1&gt;LEFT('General inputs'!$I$16,4)+'General inputs'!$H$38-1),"",Q113/(1+'General inputs'!$H$34)^C113)</f>
        <v/>
      </c>
      <c r="S113" s="91"/>
      <c r="T113" s="120"/>
      <c r="U113" s="113" t="str">
        <f>IF(OR(LEFT(D113,4)*1&lt;LEFT('General inputs'!$I$16,4)*1,LEFT(D113,4)*1&gt;LEFT('General inputs'!$I$16,4)+'General inputs'!$H$38-1),"",T113/(1+'General inputs'!$H$34)^C113)</f>
        <v/>
      </c>
      <c r="V113" s="93"/>
      <c r="W113" s="92"/>
    </row>
    <row r="114" spans="2:23" x14ac:dyDescent="0.25">
      <c r="B114" s="66"/>
      <c r="C114" s="111">
        <f>IF(D114='General inputs'!$I$16,0,IF(D114&lt;'General inputs'!$I$16,C115-1,C113+1))</f>
        <v>48</v>
      </c>
      <c r="D114" s="111" t="str">
        <f t="shared" si="3"/>
        <v>2070-71</v>
      </c>
      <c r="E114" s="113" t="str">
        <f>IF(LEFT(D114,4)*1&gt;LEFT('General inputs'!$I$16,4)+'General inputs'!$H$38-1,"",'ET inputs'!D87)</f>
        <v/>
      </c>
      <c r="F114" s="113" t="str">
        <f>IF(LEFT(D114,4)*1&gt;LEFT('General inputs'!$I$16,4)+'General inputs'!$H$38-1,"",E114/(1+'General inputs'!$H$30)^C114)</f>
        <v/>
      </c>
      <c r="G114" s="113" t="str">
        <f>IF(LEFT(D114,4)*1&gt;LEFT('General inputs'!$I$16,4)+'General inputs'!$H$38-1,"",E114/(1+'General inputs'!$H$32)^C114)</f>
        <v/>
      </c>
      <c r="H114" s="113" t="str">
        <f>IF(LEFT(D114,4)*1&lt;LEFT('General inputs'!$I$16,4)*1,"",IF(LEFT(D114,4)*1&gt;LEFT('General inputs'!$I$16,4)+'General inputs'!$H$38-1,"",E114/(1+'General inputs'!$H$34)^C114))</f>
        <v/>
      </c>
      <c r="I114" s="91"/>
      <c r="J114" s="151"/>
      <c r="K114" s="151"/>
      <c r="L114" s="113" t="str">
        <f>IF(LEFT(D114,4)*1&gt;LEFT('General inputs'!$I$18,4)*1,"",SUMIF('Post-1996 commissioned assets'!$F$22:$F$1477,$D114,'Post-1996 commissioned assets'!$P$22:$P$1477)*(1+$K$34)*(1+$K$35))</f>
        <v/>
      </c>
      <c r="M114" s="113" t="str">
        <f>IF(L114="","",L114/(1+'General inputs'!$H$32)^C114)</f>
        <v/>
      </c>
      <c r="N114" s="285">
        <f>IF(LEFT(D114,4)*1&lt;LEFT('General inputs'!$I$18,4)*1+1,"",SUMIF('Uncommissioned assets'!$F$22:$F$1500,$D114,'Uncommissioned assets'!$P$22:$P$1500))</f>
        <v>0</v>
      </c>
      <c r="O114" s="113">
        <f>IF(N114="","",N114/(1+'General inputs'!$H$32)^C114)</f>
        <v>0</v>
      </c>
      <c r="P114" s="91"/>
      <c r="Q114" s="120"/>
      <c r="R114" s="113" t="str">
        <f>IF(OR(LEFT(D114,4)*1&lt;LEFT('General inputs'!$I$16,4)*1,LEFT(D114,4)*1&gt;LEFT('General inputs'!$I$16,4)+'General inputs'!$H$38-1),"",Q114/(1+'General inputs'!$H$34)^C114)</f>
        <v/>
      </c>
      <c r="S114" s="91"/>
      <c r="T114" s="120"/>
      <c r="U114" s="113" t="str">
        <f>IF(OR(LEFT(D114,4)*1&lt;LEFT('General inputs'!$I$16,4)*1,LEFT(D114,4)*1&gt;LEFT('General inputs'!$I$16,4)+'General inputs'!$H$38-1),"",T114/(1+'General inputs'!$H$34)^C114)</f>
        <v/>
      </c>
      <c r="V114" s="93"/>
      <c r="W114" s="92"/>
    </row>
    <row r="115" spans="2:23" x14ac:dyDescent="0.25">
      <c r="B115" s="66"/>
      <c r="C115" s="111">
        <f>IF(D115='General inputs'!$I$16,0,IF(D115&lt;'General inputs'!$I$16,C116-1,C114+1))</f>
        <v>49</v>
      </c>
      <c r="D115" s="111" t="str">
        <f t="shared" si="3"/>
        <v>2071-72</v>
      </c>
      <c r="E115" s="113" t="str">
        <f>IF(LEFT(D115,4)*1&gt;LEFT('General inputs'!$I$16,4)+'General inputs'!$H$38-1,"",'ET inputs'!D88)</f>
        <v/>
      </c>
      <c r="F115" s="113" t="str">
        <f>IF(LEFT(D115,4)*1&gt;LEFT('General inputs'!$I$16,4)+'General inputs'!$H$38-1,"",E115/(1+'General inputs'!$H$30)^C115)</f>
        <v/>
      </c>
      <c r="G115" s="113" t="str">
        <f>IF(LEFT(D115,4)*1&gt;LEFT('General inputs'!$I$16,4)+'General inputs'!$H$38-1,"",E115/(1+'General inputs'!$H$32)^C115)</f>
        <v/>
      </c>
      <c r="H115" s="113" t="str">
        <f>IF(LEFT(D115,4)*1&lt;LEFT('General inputs'!$I$16,4)*1,"",IF(LEFT(D115,4)*1&gt;LEFT('General inputs'!$I$16,4)+'General inputs'!$H$38-1,"",E115/(1+'General inputs'!$H$34)^C115))</f>
        <v/>
      </c>
      <c r="I115" s="91"/>
      <c r="J115" s="151"/>
      <c r="K115" s="151"/>
      <c r="L115" s="113" t="str">
        <f>IF(LEFT(D115,4)*1&gt;LEFT('General inputs'!$I$18,4)*1,"",SUMIF('Post-1996 commissioned assets'!$F$22:$F$1477,$D115,'Post-1996 commissioned assets'!$P$22:$P$1477)*(1+$K$34)*(1+$K$35))</f>
        <v/>
      </c>
      <c r="M115" s="113" t="str">
        <f>IF(L115="","",L115/(1+'General inputs'!$H$32)^C115)</f>
        <v/>
      </c>
      <c r="N115" s="285">
        <f>IF(LEFT(D115,4)*1&lt;LEFT('General inputs'!$I$18,4)*1+1,"",SUMIF('Uncommissioned assets'!$F$22:$F$1500,$D115,'Uncommissioned assets'!$P$22:$P$1500))</f>
        <v>0</v>
      </c>
      <c r="O115" s="113">
        <f>IF(N115="","",N115/(1+'General inputs'!$H$32)^C115)</f>
        <v>0</v>
      </c>
      <c r="P115" s="91"/>
      <c r="Q115" s="120"/>
      <c r="R115" s="113" t="str">
        <f>IF(OR(LEFT(D115,4)*1&lt;LEFT('General inputs'!$I$16,4)*1,LEFT(D115,4)*1&gt;LEFT('General inputs'!$I$16,4)+'General inputs'!$H$38-1),"",Q115/(1+'General inputs'!$H$34)^C115)</f>
        <v/>
      </c>
      <c r="S115" s="91"/>
      <c r="T115" s="120"/>
      <c r="U115" s="113" t="str">
        <f>IF(OR(LEFT(D115,4)*1&lt;LEFT('General inputs'!$I$16,4)*1,LEFT(D115,4)*1&gt;LEFT('General inputs'!$I$16,4)+'General inputs'!$H$38-1),"",T115/(1+'General inputs'!$H$34)^C115)</f>
        <v/>
      </c>
      <c r="V115" s="93"/>
      <c r="W115" s="92"/>
    </row>
    <row r="116" spans="2:23" x14ac:dyDescent="0.25">
      <c r="B116" s="66"/>
      <c r="C116" s="111">
        <f>IF(D116='General inputs'!$I$16,0,IF(D116&lt;'General inputs'!$I$16,C117-1,C115+1))</f>
        <v>50</v>
      </c>
      <c r="D116" s="111" t="str">
        <f t="shared" si="3"/>
        <v>2072-73</v>
      </c>
      <c r="E116" s="113" t="str">
        <f>IF(LEFT(D116,4)*1&gt;LEFT('General inputs'!$I$16,4)+'General inputs'!$H$38-1,"",'ET inputs'!D89)</f>
        <v/>
      </c>
      <c r="F116" s="113" t="str">
        <f>IF(LEFT(D116,4)*1&gt;LEFT('General inputs'!$I$16,4)+'General inputs'!$H$38-1,"",E116/(1+'General inputs'!$H$30)^C116)</f>
        <v/>
      </c>
      <c r="G116" s="113" t="str">
        <f>IF(LEFT(D116,4)*1&gt;LEFT('General inputs'!$I$16,4)+'General inputs'!$H$38-1,"",E116/(1+'General inputs'!$H$32)^C116)</f>
        <v/>
      </c>
      <c r="H116" s="113" t="str">
        <f>IF(LEFT(D116,4)*1&lt;LEFT('General inputs'!$I$16,4)*1,"",IF(LEFT(D116,4)*1&gt;LEFT('General inputs'!$I$16,4)+'General inputs'!$H$38-1,"",E116/(1+'General inputs'!$H$34)^C116))</f>
        <v/>
      </c>
      <c r="I116" s="91"/>
      <c r="J116" s="151"/>
      <c r="K116" s="151"/>
      <c r="L116" s="113" t="str">
        <f>IF(LEFT(D116,4)*1&gt;LEFT('General inputs'!$I$18,4)*1,"",SUMIF('Post-1996 commissioned assets'!$F$22:$F$1477,$D116,'Post-1996 commissioned assets'!$P$22:$P$1477)*(1+$K$34)*(1+$K$35))</f>
        <v/>
      </c>
      <c r="M116" s="113" t="str">
        <f>IF(L116="","",L116/(1+'General inputs'!$H$32)^C116)</f>
        <v/>
      </c>
      <c r="N116" s="285">
        <f>IF(LEFT(D116,4)*1&lt;LEFT('General inputs'!$I$18,4)*1+1,"",SUMIF('Uncommissioned assets'!$F$22:$F$1500,$D116,'Uncommissioned assets'!$P$22:$P$1500))</f>
        <v>0</v>
      </c>
      <c r="O116" s="113">
        <f>IF(N116="","",N116/(1+'General inputs'!$H$32)^C116)</f>
        <v>0</v>
      </c>
      <c r="P116" s="91"/>
      <c r="Q116" s="120"/>
      <c r="R116" s="113" t="str">
        <f>IF(OR(LEFT(D116,4)*1&lt;LEFT('General inputs'!$I$16,4)*1,LEFT(D116,4)*1&gt;LEFT('General inputs'!$I$16,4)+'General inputs'!$H$38-1),"",Q116/(1+'General inputs'!$H$34)^C116)</f>
        <v/>
      </c>
      <c r="S116" s="91"/>
      <c r="T116" s="120"/>
      <c r="U116" s="113" t="str">
        <f>IF(OR(LEFT(D116,4)*1&lt;LEFT('General inputs'!$I$16,4)*1,LEFT(D116,4)*1&gt;LEFT('General inputs'!$I$16,4)+'General inputs'!$H$38-1),"",T116/(1+'General inputs'!$H$34)^C116)</f>
        <v/>
      </c>
      <c r="V116" s="93"/>
      <c r="W116" s="92"/>
    </row>
    <row r="117" spans="2:23" x14ac:dyDescent="0.25">
      <c r="B117" s="66"/>
      <c r="C117" s="111">
        <f>IF(D117='General inputs'!$I$16,0,IF(D117&lt;'General inputs'!$I$16,C118-1,C116+1))</f>
        <v>51</v>
      </c>
      <c r="D117" s="111" t="str">
        <f t="shared" si="3"/>
        <v>2073-74</v>
      </c>
      <c r="E117" s="113" t="str">
        <f>IF(LEFT(D117,4)*1&gt;LEFT('General inputs'!$I$16,4)+'General inputs'!$H$38-1,"",'ET inputs'!D90)</f>
        <v/>
      </c>
      <c r="F117" s="113" t="str">
        <f>IF(LEFT(D117,4)*1&gt;LEFT('General inputs'!$I$16,4)+'General inputs'!$H$38-1,"",E117/(1+'General inputs'!$H$30)^C117)</f>
        <v/>
      </c>
      <c r="G117" s="113" t="str">
        <f>IF(LEFT(D117,4)*1&gt;LEFT('General inputs'!$I$16,4)+'General inputs'!$H$38-1,"",E117/(1+'General inputs'!$H$32)^C117)</f>
        <v/>
      </c>
      <c r="H117" s="113" t="str">
        <f>IF(LEFT(D117,4)*1&lt;LEFT('General inputs'!$I$16,4)*1,"",IF(LEFT(D117,4)*1&gt;LEFT('General inputs'!$I$16,4)+'General inputs'!$H$38-1,"",E117/(1+'General inputs'!$H$34)^C117))</f>
        <v/>
      </c>
      <c r="I117" s="91"/>
      <c r="J117" s="151"/>
      <c r="K117" s="151"/>
      <c r="L117" s="113" t="str">
        <f>IF(LEFT(D117,4)*1&gt;LEFT('General inputs'!$I$18,4)*1,"",SUMIF('Post-1996 commissioned assets'!$F$22:$F$1477,$D117,'Post-1996 commissioned assets'!$P$22:$P$1477)*(1+$K$34)*(1+$K$35))</f>
        <v/>
      </c>
      <c r="M117" s="113" t="str">
        <f>IF(L117="","",L117/(1+'General inputs'!$H$32)^C117)</f>
        <v/>
      </c>
      <c r="N117" s="285">
        <f>IF(LEFT(D117,4)*1&lt;LEFT('General inputs'!$I$18,4)*1+1,"",SUMIF('Uncommissioned assets'!$F$22:$F$1500,$D117,'Uncommissioned assets'!$P$22:$P$1500))</f>
        <v>0</v>
      </c>
      <c r="O117" s="113">
        <f>IF(N117="","",N117/(1+'General inputs'!$H$32)^C117)</f>
        <v>0</v>
      </c>
      <c r="P117" s="91"/>
      <c r="Q117" s="120"/>
      <c r="R117" s="113" t="str">
        <f>IF(OR(LEFT(D117,4)*1&lt;LEFT('General inputs'!$I$16,4)*1,LEFT(D117,4)*1&gt;LEFT('General inputs'!$I$16,4)+'General inputs'!$H$38-1),"",Q117/(1+'General inputs'!$H$34)^C117)</f>
        <v/>
      </c>
      <c r="S117" s="91"/>
      <c r="T117" s="120"/>
      <c r="U117" s="113" t="str">
        <f>IF(OR(LEFT(D117,4)*1&lt;LEFT('General inputs'!$I$16,4)*1,LEFT(D117,4)*1&gt;LEFT('General inputs'!$I$16,4)+'General inputs'!$H$38-1),"",T117/(1+'General inputs'!$H$34)^C117)</f>
        <v/>
      </c>
      <c r="V117" s="93"/>
      <c r="W117" s="92"/>
    </row>
    <row r="118" spans="2:23" x14ac:dyDescent="0.25">
      <c r="B118" s="66"/>
      <c r="C118" s="111">
        <f>IF(D118='General inputs'!$I$16,0,IF(D118&lt;'General inputs'!$I$16,C119-1,C117+1))</f>
        <v>52</v>
      </c>
      <c r="D118" s="111" t="str">
        <f t="shared" si="3"/>
        <v>2074-75</v>
      </c>
      <c r="E118" s="113" t="str">
        <f>IF(LEFT(D118,4)*1&gt;LEFT('General inputs'!$I$16,4)+'General inputs'!$H$38-1,"",'ET inputs'!D91)</f>
        <v/>
      </c>
      <c r="F118" s="113" t="str">
        <f>IF(LEFT(D118,4)*1&gt;LEFT('General inputs'!$I$16,4)+'General inputs'!$H$38-1,"",E118/(1+'General inputs'!$H$30)^C118)</f>
        <v/>
      </c>
      <c r="G118" s="113" t="str">
        <f>IF(LEFT(D118,4)*1&gt;LEFT('General inputs'!$I$16,4)+'General inputs'!$H$38-1,"",E118/(1+'General inputs'!$H$32)^C118)</f>
        <v/>
      </c>
      <c r="H118" s="113" t="str">
        <f>IF(LEFT(D118,4)*1&lt;LEFT('General inputs'!$I$16,4)*1,"",IF(LEFT(D118,4)*1&gt;LEFT('General inputs'!$I$16,4)+'General inputs'!$H$38-1,"",E118/(1+'General inputs'!$H$34)^C118))</f>
        <v/>
      </c>
      <c r="I118" s="91"/>
      <c r="J118" s="151"/>
      <c r="K118" s="151"/>
      <c r="L118" s="113" t="str">
        <f>IF(LEFT(D118,4)*1&gt;LEFT('General inputs'!$I$18,4)*1,"",SUMIF('Post-1996 commissioned assets'!$F$22:$F$1477,$D118,'Post-1996 commissioned assets'!$P$22:$P$1477)*(1+$K$34)*(1+$K$35))</f>
        <v/>
      </c>
      <c r="M118" s="113" t="str">
        <f>IF(L118="","",L118/(1+'General inputs'!$H$32)^C118)</f>
        <v/>
      </c>
      <c r="N118" s="285">
        <f>IF(LEFT(D118,4)*1&lt;LEFT('General inputs'!$I$18,4)*1+1,"",SUMIF('Uncommissioned assets'!$F$22:$F$1500,$D118,'Uncommissioned assets'!$P$22:$P$1500))</f>
        <v>0</v>
      </c>
      <c r="O118" s="113">
        <f>IF(N118="","",N118/(1+'General inputs'!$H$32)^C118)</f>
        <v>0</v>
      </c>
      <c r="P118" s="91"/>
      <c r="Q118" s="120"/>
      <c r="R118" s="113" t="str">
        <f>IF(OR(LEFT(D118,4)*1&lt;LEFT('General inputs'!$I$16,4)*1,LEFT(D118,4)*1&gt;LEFT('General inputs'!$I$16,4)+'General inputs'!$H$38-1),"",Q118/(1+'General inputs'!$H$34)^C118)</f>
        <v/>
      </c>
      <c r="S118" s="91"/>
      <c r="T118" s="120"/>
      <c r="U118" s="113" t="str">
        <f>IF(OR(LEFT(D118,4)*1&lt;LEFT('General inputs'!$I$16,4)*1,LEFT(D118,4)*1&gt;LEFT('General inputs'!$I$16,4)+'General inputs'!$H$38-1),"",T118/(1+'General inputs'!$H$34)^C118)</f>
        <v/>
      </c>
      <c r="V118" s="93"/>
      <c r="W118" s="92"/>
    </row>
    <row r="119" spans="2:23" x14ac:dyDescent="0.25">
      <c r="B119" s="66"/>
      <c r="C119" s="111">
        <f>IF(D119='General inputs'!$I$16,0,IF(D119&lt;'General inputs'!$I$16,C120-1,C118+1))</f>
        <v>53</v>
      </c>
      <c r="D119" s="111" t="str">
        <f t="shared" si="3"/>
        <v>2075-76</v>
      </c>
      <c r="E119" s="113" t="str">
        <f>IF(LEFT(D119,4)*1&gt;LEFT('General inputs'!$I$16,4)+'General inputs'!$H$38-1,"",'ET inputs'!D92)</f>
        <v/>
      </c>
      <c r="F119" s="113" t="str">
        <f>IF(LEFT(D119,4)*1&gt;LEFT('General inputs'!$I$16,4)+'General inputs'!$H$38-1,"",E119/(1+'General inputs'!$H$30)^C119)</f>
        <v/>
      </c>
      <c r="G119" s="113" t="str">
        <f>IF(LEFT(D119,4)*1&gt;LEFT('General inputs'!$I$16,4)+'General inputs'!$H$38-1,"",E119/(1+'General inputs'!$H$32)^C119)</f>
        <v/>
      </c>
      <c r="H119" s="113" t="str">
        <f>IF(LEFT(D119,4)*1&lt;LEFT('General inputs'!$I$16,4)*1,"",IF(LEFT(D119,4)*1&gt;LEFT('General inputs'!$I$16,4)+'General inputs'!$H$38-1,"",E119/(1+'General inputs'!$H$34)^C119))</f>
        <v/>
      </c>
      <c r="I119" s="91"/>
      <c r="J119" s="151"/>
      <c r="K119" s="151"/>
      <c r="L119" s="113" t="str">
        <f>IF(LEFT(D119,4)*1&gt;LEFT('General inputs'!$I$18,4)*1,"",SUMIF('Post-1996 commissioned assets'!$F$22:$F$1477,$D119,'Post-1996 commissioned assets'!$P$22:$P$1477)*(1+$K$34)*(1+$K$35))</f>
        <v/>
      </c>
      <c r="M119" s="113" t="str">
        <f>IF(L119="","",L119/(1+'General inputs'!$H$32)^C119)</f>
        <v/>
      </c>
      <c r="N119" s="285">
        <f>IF(LEFT(D119,4)*1&lt;LEFT('General inputs'!$I$18,4)*1+1,"",SUMIF('Uncommissioned assets'!$F$22:$F$1500,$D119,'Uncommissioned assets'!$P$22:$P$1500))</f>
        <v>0</v>
      </c>
      <c r="O119" s="113">
        <f>IF(N119="","",N119/(1+'General inputs'!$H$32)^C119)</f>
        <v>0</v>
      </c>
      <c r="P119" s="91"/>
      <c r="Q119" s="120"/>
      <c r="R119" s="113" t="str">
        <f>IF(OR(LEFT(D119,4)*1&lt;LEFT('General inputs'!$I$16,4)*1,LEFT(D119,4)*1&gt;LEFT('General inputs'!$I$16,4)+'General inputs'!$H$38-1),"",Q119/(1+'General inputs'!$H$34)^C119)</f>
        <v/>
      </c>
      <c r="S119" s="91"/>
      <c r="T119" s="120"/>
      <c r="U119" s="113" t="str">
        <f>IF(OR(LEFT(D119,4)*1&lt;LEFT('General inputs'!$I$16,4)*1,LEFT(D119,4)*1&gt;LEFT('General inputs'!$I$16,4)+'General inputs'!$H$38-1),"",T119/(1+'General inputs'!$H$34)^C119)</f>
        <v/>
      </c>
      <c r="V119" s="93"/>
      <c r="W119" s="92"/>
    </row>
    <row r="120" spans="2:23" x14ac:dyDescent="0.25">
      <c r="B120" s="66"/>
      <c r="C120" s="111">
        <f>IF(D120='General inputs'!$I$16,0,IF(D120&lt;'General inputs'!$I$16,C121-1,C119+1))</f>
        <v>54</v>
      </c>
      <c r="D120" s="111" t="str">
        <f t="shared" si="3"/>
        <v>2076-77</v>
      </c>
      <c r="E120" s="113" t="str">
        <f>IF(LEFT(D120,4)*1&gt;LEFT('General inputs'!$I$16,4)+'General inputs'!$H$38-1,"",'ET inputs'!D93)</f>
        <v/>
      </c>
      <c r="F120" s="113" t="str">
        <f>IF(LEFT(D120,4)*1&gt;LEFT('General inputs'!$I$16,4)+'General inputs'!$H$38-1,"",E120/(1+'General inputs'!$H$30)^C120)</f>
        <v/>
      </c>
      <c r="G120" s="113" t="str">
        <f>IF(LEFT(D120,4)*1&gt;LEFT('General inputs'!$I$16,4)+'General inputs'!$H$38-1,"",E120/(1+'General inputs'!$H$32)^C120)</f>
        <v/>
      </c>
      <c r="H120" s="113" t="str">
        <f>IF(LEFT(D120,4)*1&lt;LEFT('General inputs'!$I$16,4)*1,"",IF(LEFT(D120,4)*1&gt;LEFT('General inputs'!$I$16,4)+'General inputs'!$H$38-1,"",E120/(1+'General inputs'!$H$34)^C120))</f>
        <v/>
      </c>
      <c r="I120" s="91"/>
      <c r="J120" s="151"/>
      <c r="K120" s="151"/>
      <c r="L120" s="113" t="str">
        <f>IF(LEFT(D120,4)*1&gt;LEFT('General inputs'!$I$18,4)*1,"",SUMIF('Post-1996 commissioned assets'!$F$22:$F$1477,$D120,'Post-1996 commissioned assets'!$P$22:$P$1477)*(1+$K$34)*(1+$K$35))</f>
        <v/>
      </c>
      <c r="M120" s="113" t="str">
        <f>IF(L120="","",L120/(1+'General inputs'!$H$32)^C120)</f>
        <v/>
      </c>
      <c r="N120" s="285">
        <f>IF(LEFT(D120,4)*1&lt;LEFT('General inputs'!$I$18,4)*1+1,"",SUMIF('Uncommissioned assets'!$F$22:$F$1500,$D120,'Uncommissioned assets'!$P$22:$P$1500))</f>
        <v>0</v>
      </c>
      <c r="O120" s="113">
        <f>IF(N120="","",N120/(1+'General inputs'!$H$32)^C120)</f>
        <v>0</v>
      </c>
      <c r="P120" s="91"/>
      <c r="Q120" s="120"/>
      <c r="R120" s="113" t="str">
        <f>IF(OR(LEFT(D120,4)*1&lt;LEFT('General inputs'!$I$16,4)*1,LEFT(D120,4)*1&gt;LEFT('General inputs'!$I$16,4)+'General inputs'!$H$38-1),"",Q120/(1+'General inputs'!$H$34)^C120)</f>
        <v/>
      </c>
      <c r="S120" s="91"/>
      <c r="T120" s="120"/>
      <c r="U120" s="113" t="str">
        <f>IF(OR(LEFT(D120,4)*1&lt;LEFT('General inputs'!$I$16,4)*1,LEFT(D120,4)*1&gt;LEFT('General inputs'!$I$16,4)+'General inputs'!$H$38-1),"",T120/(1+'General inputs'!$H$34)^C120)</f>
        <v/>
      </c>
      <c r="V120" s="93"/>
      <c r="W120" s="92"/>
    </row>
    <row r="121" spans="2:23" x14ac:dyDescent="0.25">
      <c r="B121" s="66"/>
      <c r="C121" s="111">
        <f>IF(D121='General inputs'!$I$16,0,IF(D121&lt;'General inputs'!$I$16,C122-1,C120+1))</f>
        <v>55</v>
      </c>
      <c r="D121" s="111" t="str">
        <f t="shared" si="3"/>
        <v>2077-78</v>
      </c>
      <c r="E121" s="113" t="str">
        <f>IF(LEFT(D121,4)*1&gt;LEFT('General inputs'!$I$16,4)+'General inputs'!$H$38-1,"",'ET inputs'!D94)</f>
        <v/>
      </c>
      <c r="F121" s="113" t="str">
        <f>IF(LEFT(D121,4)*1&gt;LEFT('General inputs'!$I$16,4)+'General inputs'!$H$38-1,"",E121/(1+'General inputs'!$H$30)^C121)</f>
        <v/>
      </c>
      <c r="G121" s="113" t="str">
        <f>IF(LEFT(D121,4)*1&gt;LEFT('General inputs'!$I$16,4)+'General inputs'!$H$38-1,"",E121/(1+'General inputs'!$H$32)^C121)</f>
        <v/>
      </c>
      <c r="H121" s="113" t="str">
        <f>IF(LEFT(D121,4)*1&lt;LEFT('General inputs'!$I$16,4)*1,"",IF(LEFT(D121,4)*1&gt;LEFT('General inputs'!$I$16,4)+'General inputs'!$H$38-1,"",E121/(1+'General inputs'!$H$34)^C121))</f>
        <v/>
      </c>
      <c r="I121" s="91"/>
      <c r="J121" s="151"/>
      <c r="K121" s="151"/>
      <c r="L121" s="113" t="str">
        <f>IF(LEFT(D121,4)*1&gt;LEFT('General inputs'!$I$18,4)*1,"",SUMIF('Post-1996 commissioned assets'!$F$22:$F$1477,$D121,'Post-1996 commissioned assets'!$P$22:$P$1477)*(1+$K$34)*(1+$K$35))</f>
        <v/>
      </c>
      <c r="M121" s="113" t="str">
        <f>IF(L121="","",L121/(1+'General inputs'!$H$32)^C121)</f>
        <v/>
      </c>
      <c r="N121" s="285">
        <f>IF(LEFT(D121,4)*1&lt;LEFT('General inputs'!$I$18,4)*1+1,"",SUMIF('Uncommissioned assets'!$F$22:$F$1500,$D121,'Uncommissioned assets'!$P$22:$P$1500))</f>
        <v>0</v>
      </c>
      <c r="O121" s="113">
        <f>IF(N121="","",N121/(1+'General inputs'!$H$32)^C121)</f>
        <v>0</v>
      </c>
      <c r="P121" s="91"/>
      <c r="Q121" s="120"/>
      <c r="R121" s="113" t="str">
        <f>IF(OR(LEFT(D121,4)*1&lt;LEFT('General inputs'!$I$16,4)*1,LEFT(D121,4)*1&gt;LEFT('General inputs'!$I$16,4)+'General inputs'!$H$38-1),"",Q121/(1+'General inputs'!$H$34)^C121)</f>
        <v/>
      </c>
      <c r="S121" s="91"/>
      <c r="T121" s="120"/>
      <c r="U121" s="113" t="str">
        <f>IF(OR(LEFT(D121,4)*1&lt;LEFT('General inputs'!$I$16,4)*1,LEFT(D121,4)*1&gt;LEFT('General inputs'!$I$16,4)+'General inputs'!$H$38-1),"",T121/(1+'General inputs'!$H$34)^C121)</f>
        <v/>
      </c>
      <c r="V121" s="93"/>
      <c r="W121" s="92"/>
    </row>
    <row r="122" spans="2:23" x14ac:dyDescent="0.25">
      <c r="B122" s="66"/>
      <c r="C122" s="111">
        <f>IF(D122='General inputs'!$I$16,0,IF(D122&lt;'General inputs'!$I$16,C123-1,C121+1))</f>
        <v>56</v>
      </c>
      <c r="D122" s="111" t="str">
        <f t="shared" si="3"/>
        <v>2078-79</v>
      </c>
      <c r="E122" s="113" t="str">
        <f>IF(LEFT(D122,4)*1&gt;LEFT('General inputs'!$I$16,4)+'General inputs'!$H$38-1,"",'ET inputs'!D95)</f>
        <v/>
      </c>
      <c r="F122" s="113" t="str">
        <f>IF(LEFT(D122,4)*1&gt;LEFT('General inputs'!$I$16,4)+'General inputs'!$H$38-1,"",E122/(1+'General inputs'!$H$30)^C122)</f>
        <v/>
      </c>
      <c r="G122" s="113" t="str">
        <f>IF(LEFT(D122,4)*1&gt;LEFT('General inputs'!$I$16,4)+'General inputs'!$H$38-1,"",E122/(1+'General inputs'!$H$32)^C122)</f>
        <v/>
      </c>
      <c r="H122" s="113" t="str">
        <f>IF(LEFT(D122,4)*1&lt;LEFT('General inputs'!$I$16,4)*1,"",IF(LEFT(D122,4)*1&gt;LEFT('General inputs'!$I$16,4)+'General inputs'!$H$38-1,"",E122/(1+'General inputs'!$H$34)^C122))</f>
        <v/>
      </c>
      <c r="I122" s="91"/>
      <c r="J122" s="151"/>
      <c r="K122" s="151"/>
      <c r="L122" s="113" t="str">
        <f>IF(LEFT(D122,4)*1&gt;LEFT('General inputs'!$I$18,4)*1,"",SUMIF('Post-1996 commissioned assets'!$F$22:$F$1477,$D122,'Post-1996 commissioned assets'!$P$22:$P$1477)*(1+$K$34)*(1+$K$35))</f>
        <v/>
      </c>
      <c r="M122" s="113" t="str">
        <f>IF(L122="","",L122/(1+'General inputs'!$H$32)^C122)</f>
        <v/>
      </c>
      <c r="N122" s="285">
        <f>IF(LEFT(D122,4)*1&lt;LEFT('General inputs'!$I$18,4)*1+1,"",SUMIF('Uncommissioned assets'!$F$22:$F$1500,$D122,'Uncommissioned assets'!$P$22:$P$1500))</f>
        <v>0</v>
      </c>
      <c r="O122" s="113">
        <f>IF(N122="","",N122/(1+'General inputs'!$H$32)^C122)</f>
        <v>0</v>
      </c>
      <c r="P122" s="91"/>
      <c r="Q122" s="120"/>
      <c r="R122" s="113" t="str">
        <f>IF(OR(LEFT(D122,4)*1&lt;LEFT('General inputs'!$I$16,4)*1,LEFT(D122,4)*1&gt;LEFT('General inputs'!$I$16,4)+'General inputs'!$H$38-1),"",Q122/(1+'General inputs'!$H$34)^C122)</f>
        <v/>
      </c>
      <c r="S122" s="91"/>
      <c r="T122" s="120"/>
      <c r="U122" s="113" t="str">
        <f>IF(OR(LEFT(D122,4)*1&lt;LEFT('General inputs'!$I$16,4)*1,LEFT(D122,4)*1&gt;LEFT('General inputs'!$I$16,4)+'General inputs'!$H$38-1),"",T122/(1+'General inputs'!$H$34)^C122)</f>
        <v/>
      </c>
      <c r="V122" s="93"/>
      <c r="W122" s="92"/>
    </row>
    <row r="123" spans="2:23" x14ac:dyDescent="0.25">
      <c r="B123" s="66"/>
      <c r="C123" s="111">
        <f>IF(D123='General inputs'!$I$16,0,IF(D123&lt;'General inputs'!$I$16,C124-1,C122+1))</f>
        <v>57</v>
      </c>
      <c r="D123" s="111" t="str">
        <f t="shared" ref="D123:D129" si="4">LEFT(D122,4)+1&amp;"-"&amp;RIGHT(D122,2)+1</f>
        <v>2079-80</v>
      </c>
      <c r="E123" s="113" t="str">
        <f>IF(LEFT(D123,4)*1&gt;LEFT('General inputs'!$I$16,4)+'General inputs'!$H$38-1,"",'ET inputs'!D96)</f>
        <v/>
      </c>
      <c r="F123" s="113" t="str">
        <f>IF(LEFT(D123,4)*1&gt;LEFT('General inputs'!$I$16,4)+'General inputs'!$H$38-1,"",E123/(1+'General inputs'!$H$30)^C123)</f>
        <v/>
      </c>
      <c r="G123" s="113" t="str">
        <f>IF(LEFT(D123,4)*1&gt;LEFT('General inputs'!$I$16,4)+'General inputs'!$H$38-1,"",E123/(1+'General inputs'!$H$32)^C123)</f>
        <v/>
      </c>
      <c r="H123" s="113" t="str">
        <f>IF(LEFT(D123,4)*1&lt;LEFT('General inputs'!$I$16,4)*1,"",IF(LEFT(D123,4)*1&gt;LEFT('General inputs'!$I$16,4)+'General inputs'!$H$38-1,"",E123/(1+'General inputs'!$H$34)^C123))</f>
        <v/>
      </c>
      <c r="I123" s="91"/>
      <c r="J123" s="151"/>
      <c r="K123" s="151"/>
      <c r="L123" s="113" t="str">
        <f>IF(LEFT(D123,4)*1&gt;LEFT('General inputs'!$I$18,4)*1,"",SUMIF('Post-1996 commissioned assets'!$F$22:$F$1477,$D123,'Post-1996 commissioned assets'!$P$22:$P$1477)*(1+$K$34)*(1+$K$35))</f>
        <v/>
      </c>
      <c r="M123" s="113" t="str">
        <f>IF(L123="","",L123/(1+'General inputs'!$H$32)^C123)</f>
        <v/>
      </c>
      <c r="N123" s="285">
        <f>IF(LEFT(D123,4)*1&lt;LEFT('General inputs'!$I$18,4)*1+1,"",SUMIF('Uncommissioned assets'!$F$22:$F$1500,$D123,'Uncommissioned assets'!$P$22:$P$1500))</f>
        <v>0</v>
      </c>
      <c r="O123" s="113">
        <f>IF(N123="","",N123/(1+'General inputs'!$H$32)^C123)</f>
        <v>0</v>
      </c>
      <c r="P123" s="91"/>
      <c r="Q123" s="120"/>
      <c r="R123" s="113" t="str">
        <f>IF(OR(LEFT(D123,4)*1&lt;LEFT('General inputs'!$I$16,4)*1,LEFT(D123,4)*1&gt;LEFT('General inputs'!$I$16,4)+'General inputs'!$H$38-1),"",Q123/(1+'General inputs'!$H$34)^C123)</f>
        <v/>
      </c>
      <c r="S123" s="91"/>
      <c r="T123" s="120"/>
      <c r="U123" s="113" t="str">
        <f>IF(OR(LEFT(D123,4)*1&lt;LEFT('General inputs'!$I$16,4)*1,LEFT(D123,4)*1&gt;LEFT('General inputs'!$I$16,4)+'General inputs'!$H$38-1),"",T123/(1+'General inputs'!$H$34)^C123)</f>
        <v/>
      </c>
      <c r="V123" s="93"/>
      <c r="W123" s="92"/>
    </row>
    <row r="124" spans="2:23" x14ac:dyDescent="0.25">
      <c r="B124" s="66"/>
      <c r="C124" s="111">
        <f>IF(D124='General inputs'!$I$16,0,IF(D124&lt;'General inputs'!$I$16,C125-1,C123+1))</f>
        <v>58</v>
      </c>
      <c r="D124" s="111" t="str">
        <f t="shared" si="4"/>
        <v>2080-81</v>
      </c>
      <c r="E124" s="113" t="str">
        <f>IF(LEFT(D124,4)*1&gt;LEFT('General inputs'!$I$16,4)+'General inputs'!$H$38-1,"",'ET inputs'!D97)</f>
        <v/>
      </c>
      <c r="F124" s="113" t="str">
        <f>IF(LEFT(D124,4)*1&gt;LEFT('General inputs'!$I$16,4)+'General inputs'!$H$38-1,"",E124/(1+'General inputs'!$H$30)^C124)</f>
        <v/>
      </c>
      <c r="G124" s="113" t="str">
        <f>IF(LEFT(D124,4)*1&gt;LEFT('General inputs'!$I$16,4)+'General inputs'!$H$38-1,"",E124/(1+'General inputs'!$H$32)^C124)</f>
        <v/>
      </c>
      <c r="H124" s="113" t="str">
        <f>IF(LEFT(D124,4)*1&lt;LEFT('General inputs'!$I$16,4)*1,"",IF(LEFT(D124,4)*1&gt;LEFT('General inputs'!$I$16,4)+'General inputs'!$H$38-1,"",E124/(1+'General inputs'!$H$34)^C124))</f>
        <v/>
      </c>
      <c r="I124" s="91"/>
      <c r="J124" s="151"/>
      <c r="K124" s="151"/>
      <c r="L124" s="113" t="str">
        <f>IF(LEFT(D124,4)*1&gt;LEFT('General inputs'!$I$18,4)*1,"",SUMIF('Post-1996 commissioned assets'!$F$22:$F$1477,$D124,'Post-1996 commissioned assets'!$P$22:$P$1477)*(1+$K$34)*(1+$K$35))</f>
        <v/>
      </c>
      <c r="M124" s="113" t="str">
        <f>IF(L124="","",L124/(1+'General inputs'!$H$32)^C124)</f>
        <v/>
      </c>
      <c r="N124" s="285">
        <f>IF(LEFT(D124,4)*1&lt;LEFT('General inputs'!$I$18,4)*1+1,"",SUMIF('Uncommissioned assets'!$F$22:$F$1500,$D124,'Uncommissioned assets'!$P$22:$P$1500))</f>
        <v>0</v>
      </c>
      <c r="O124" s="113">
        <f>IF(N124="","",N124/(1+'General inputs'!$H$32)^C124)</f>
        <v>0</v>
      </c>
      <c r="P124" s="91"/>
      <c r="Q124" s="120"/>
      <c r="R124" s="113" t="str">
        <f>IF(OR(LEFT(D124,4)*1&lt;LEFT('General inputs'!$I$16,4)*1,LEFT(D124,4)*1&gt;LEFT('General inputs'!$I$16,4)+'General inputs'!$H$38-1),"",Q124/(1+'General inputs'!$H$34)^C124)</f>
        <v/>
      </c>
      <c r="S124" s="91"/>
      <c r="T124" s="120"/>
      <c r="U124" s="113" t="str">
        <f>IF(OR(LEFT(D124,4)*1&lt;LEFT('General inputs'!$I$16,4)*1,LEFT(D124,4)*1&gt;LEFT('General inputs'!$I$16,4)+'General inputs'!$H$38-1),"",T124/(1+'General inputs'!$H$34)^C124)</f>
        <v/>
      </c>
      <c r="V124" s="93"/>
      <c r="W124" s="92"/>
    </row>
    <row r="125" spans="2:23" x14ac:dyDescent="0.25">
      <c r="B125" s="66"/>
      <c r="C125" s="111">
        <f>IF(D125='General inputs'!$I$16,0,IF(D125&lt;'General inputs'!$I$16,C126-1,C124+1))</f>
        <v>59</v>
      </c>
      <c r="D125" s="111" t="str">
        <f t="shared" si="4"/>
        <v>2081-82</v>
      </c>
      <c r="E125" s="113" t="str">
        <f>IF(LEFT(D125,4)*1&gt;LEFT('General inputs'!$I$16,4)+'General inputs'!$H$38-1,"",'ET inputs'!D98)</f>
        <v/>
      </c>
      <c r="F125" s="113" t="str">
        <f>IF(LEFT(D125,4)*1&gt;LEFT('General inputs'!$I$16,4)+'General inputs'!$H$38-1,"",E125/(1+'General inputs'!$H$30)^C125)</f>
        <v/>
      </c>
      <c r="G125" s="113" t="str">
        <f>IF(LEFT(D125,4)*1&gt;LEFT('General inputs'!$I$16,4)+'General inputs'!$H$38-1,"",E125/(1+'General inputs'!$H$32)^C125)</f>
        <v/>
      </c>
      <c r="H125" s="113" t="str">
        <f>IF(LEFT(D125,4)*1&lt;LEFT('General inputs'!$I$16,4)*1,"",IF(LEFT(D125,4)*1&gt;LEFT('General inputs'!$I$16,4)+'General inputs'!$H$38-1,"",E125/(1+'General inputs'!$H$34)^C125))</f>
        <v/>
      </c>
      <c r="I125" s="91"/>
      <c r="J125" s="151"/>
      <c r="K125" s="151"/>
      <c r="L125" s="113" t="str">
        <f>IF(LEFT(D125,4)*1&gt;LEFT('General inputs'!$I$18,4)*1,"",SUMIF('Post-1996 commissioned assets'!$F$22:$F$1477,$D125,'Post-1996 commissioned assets'!$P$22:$P$1477)*(1+$K$34)*(1+$K$35))</f>
        <v/>
      </c>
      <c r="M125" s="113" t="str">
        <f>IF(L125="","",L125/(1+'General inputs'!$H$32)^C125)</f>
        <v/>
      </c>
      <c r="N125" s="285">
        <f>IF(LEFT(D125,4)*1&lt;LEFT('General inputs'!$I$18,4)*1+1,"",SUMIF('Uncommissioned assets'!$F$22:$F$1500,$D125,'Uncommissioned assets'!$P$22:$P$1500))</f>
        <v>0</v>
      </c>
      <c r="O125" s="113">
        <f>IF(N125="","",N125/(1+'General inputs'!$H$32)^C125)</f>
        <v>0</v>
      </c>
      <c r="P125" s="91"/>
      <c r="Q125" s="120"/>
      <c r="R125" s="113" t="str">
        <f>IF(OR(LEFT(D125,4)*1&lt;LEFT('General inputs'!$I$16,4)*1,LEFT(D125,4)*1&gt;LEFT('General inputs'!$I$16,4)+'General inputs'!$H$38-1),"",Q125/(1+'General inputs'!$H$34)^C125)</f>
        <v/>
      </c>
      <c r="S125" s="91"/>
      <c r="T125" s="120"/>
      <c r="U125" s="113" t="str">
        <f>IF(OR(LEFT(D125,4)*1&lt;LEFT('General inputs'!$I$16,4)*1,LEFT(D125,4)*1&gt;LEFT('General inputs'!$I$16,4)+'General inputs'!$H$38-1),"",T125/(1+'General inputs'!$H$34)^C125)</f>
        <v/>
      </c>
      <c r="V125" s="93"/>
      <c r="W125" s="92"/>
    </row>
    <row r="126" spans="2:23" x14ac:dyDescent="0.25">
      <c r="B126" s="66"/>
      <c r="C126" s="111">
        <f>IF(D126='General inputs'!$I$16,0,IF(D126&lt;'General inputs'!$I$16,C127-1,C125+1))</f>
        <v>60</v>
      </c>
      <c r="D126" s="111" t="str">
        <f t="shared" si="4"/>
        <v>2082-83</v>
      </c>
      <c r="E126" s="113" t="str">
        <f>IF(LEFT(D126,4)*1&gt;LEFT('General inputs'!$I$16,4)+'General inputs'!$H$38-1,"",'ET inputs'!D99)</f>
        <v/>
      </c>
      <c r="F126" s="113" t="str">
        <f>IF(LEFT(D126,4)*1&gt;LEFT('General inputs'!$I$16,4)+'General inputs'!$H$38-1,"",E126/(1+'General inputs'!$H$30)^C126)</f>
        <v/>
      </c>
      <c r="G126" s="113" t="str">
        <f>IF(LEFT(D126,4)*1&gt;LEFT('General inputs'!$I$16,4)+'General inputs'!$H$38-1,"",E126/(1+'General inputs'!$H$32)^C126)</f>
        <v/>
      </c>
      <c r="H126" s="113" t="str">
        <f>IF(LEFT(D126,4)*1&lt;LEFT('General inputs'!$I$16,4)*1,"",IF(LEFT(D126,4)*1&gt;LEFT('General inputs'!$I$16,4)+'General inputs'!$H$38-1,"",E126/(1+'General inputs'!$H$34)^C126))</f>
        <v/>
      </c>
      <c r="I126" s="91"/>
      <c r="J126" s="151"/>
      <c r="K126" s="151"/>
      <c r="L126" s="113" t="str">
        <f>IF(LEFT(D126,4)*1&gt;LEFT('General inputs'!$I$18,4)*1,"",SUMIF('Post-1996 commissioned assets'!$F$22:$F$1477,$D126,'Post-1996 commissioned assets'!$P$22:$P$1477)*(1+$K$34)*(1+$K$35))</f>
        <v/>
      </c>
      <c r="M126" s="113" t="str">
        <f>IF(L126="","",L126/(1+'General inputs'!$H$32)^C126)</f>
        <v/>
      </c>
      <c r="N126" s="285">
        <f>IF(LEFT(D126,4)*1&lt;LEFT('General inputs'!$I$18,4)*1+1,"",SUMIF('Uncommissioned assets'!$F$22:$F$1500,$D126,'Uncommissioned assets'!$P$22:$P$1500))</f>
        <v>0</v>
      </c>
      <c r="O126" s="113">
        <f>IF(N126="","",N126/(1+'General inputs'!$H$32)^C126)</f>
        <v>0</v>
      </c>
      <c r="P126" s="91"/>
      <c r="Q126" s="120"/>
      <c r="R126" s="113" t="str">
        <f>IF(OR(LEFT(D126,4)*1&lt;LEFT('General inputs'!$I$16,4)*1,LEFT(D126,4)*1&gt;LEFT('General inputs'!$I$16,4)+'General inputs'!$H$38-1),"",Q126/(1+'General inputs'!$H$34)^C126)</f>
        <v/>
      </c>
      <c r="S126" s="91"/>
      <c r="T126" s="120"/>
      <c r="U126" s="113" t="str">
        <f>IF(OR(LEFT(D126,4)*1&lt;LEFT('General inputs'!$I$16,4)*1,LEFT(D126,4)*1&gt;LEFT('General inputs'!$I$16,4)+'General inputs'!$H$38-1),"",T126/(1+'General inputs'!$H$34)^C126)</f>
        <v/>
      </c>
      <c r="V126" s="93"/>
      <c r="W126" s="92"/>
    </row>
    <row r="127" spans="2:23" x14ac:dyDescent="0.25">
      <c r="B127" s="66"/>
      <c r="C127" s="111">
        <f>IF(D127='General inputs'!$I$16,0,IF(D127&lt;'General inputs'!$I$16,C128-1,C126+1))</f>
        <v>61</v>
      </c>
      <c r="D127" s="111" t="str">
        <f t="shared" si="4"/>
        <v>2083-84</v>
      </c>
      <c r="E127" s="113" t="str">
        <f>IF(LEFT(D127,4)*1&gt;LEFT('General inputs'!$I$16,4)+'General inputs'!$H$38-1,"",'ET inputs'!D100)</f>
        <v/>
      </c>
      <c r="F127" s="113" t="str">
        <f>IF(LEFT(D127,4)*1&gt;LEFT('General inputs'!$I$16,4)+'General inputs'!$H$38-1,"",E127/(1+'General inputs'!$H$30)^C127)</f>
        <v/>
      </c>
      <c r="G127" s="113" t="str">
        <f>IF(LEFT(D127,4)*1&gt;LEFT('General inputs'!$I$16,4)+'General inputs'!$H$38-1,"",E127/(1+'General inputs'!$H$32)^C127)</f>
        <v/>
      </c>
      <c r="H127" s="113" t="str">
        <f>IF(LEFT(D127,4)*1&lt;LEFT('General inputs'!$I$16,4)*1,"",IF(LEFT(D127,4)*1&gt;LEFT('General inputs'!$I$16,4)+'General inputs'!$H$38-1,"",E127/(1+'General inputs'!$H$34)^C127))</f>
        <v/>
      </c>
      <c r="I127" s="91"/>
      <c r="J127" s="151"/>
      <c r="K127" s="151"/>
      <c r="L127" s="113" t="str">
        <f>IF(LEFT(D127,4)*1&gt;LEFT('General inputs'!$I$18,4)*1,"",SUMIF('Post-1996 commissioned assets'!$F$22:$F$1477,$D127,'Post-1996 commissioned assets'!$P$22:$P$1477)*(1+$K$34)*(1+$K$35))</f>
        <v/>
      </c>
      <c r="M127" s="113" t="str">
        <f>IF(L127="","",L127/(1+'General inputs'!$H$32)^C127)</f>
        <v/>
      </c>
      <c r="N127" s="285">
        <f>IF(LEFT(D127,4)*1&lt;LEFT('General inputs'!$I$18,4)*1+1,"",SUMIF('Uncommissioned assets'!$F$22:$F$1500,$D127,'Uncommissioned assets'!$P$22:$P$1500))</f>
        <v>0</v>
      </c>
      <c r="O127" s="113">
        <f>IF(N127="","",N127/(1+'General inputs'!$H$32)^C127)</f>
        <v>0</v>
      </c>
      <c r="P127" s="91"/>
      <c r="Q127" s="120"/>
      <c r="R127" s="113" t="str">
        <f>IF(OR(LEFT(D127,4)*1&lt;LEFT('General inputs'!$I$16,4)*1,LEFT(D127,4)*1&gt;LEFT('General inputs'!$I$16,4)+'General inputs'!$H$38-1),"",Q127/(1+'General inputs'!$H$34)^C127)</f>
        <v/>
      </c>
      <c r="S127" s="91"/>
      <c r="T127" s="120"/>
      <c r="U127" s="113" t="str">
        <f>IF(OR(LEFT(D127,4)*1&lt;LEFT('General inputs'!$I$16,4)*1,LEFT(D127,4)*1&gt;LEFT('General inputs'!$I$16,4)+'General inputs'!$H$38-1),"",T127/(1+'General inputs'!$H$34)^C127)</f>
        <v/>
      </c>
      <c r="V127" s="93"/>
      <c r="W127" s="92"/>
    </row>
    <row r="128" spans="2:23" x14ac:dyDescent="0.25">
      <c r="B128" s="66"/>
      <c r="C128" s="111">
        <f>IF(D128='General inputs'!$I$16,0,IF(D128&lt;'General inputs'!$I$16,C129-1,C127+1))</f>
        <v>62</v>
      </c>
      <c r="D128" s="111" t="str">
        <f t="shared" si="4"/>
        <v>2084-85</v>
      </c>
      <c r="E128" s="113" t="str">
        <f>IF(LEFT(D128,4)*1&gt;LEFT('General inputs'!$I$16,4)+'General inputs'!$H$38-1,"",'ET inputs'!D101)</f>
        <v/>
      </c>
      <c r="F128" s="113" t="str">
        <f>IF(LEFT(D128,4)*1&gt;LEFT('General inputs'!$I$16,4)+'General inputs'!$H$38-1,"",E128/(1+'General inputs'!$H$30)^C128)</f>
        <v/>
      </c>
      <c r="G128" s="113" t="str">
        <f>IF(LEFT(D128,4)*1&gt;LEFT('General inputs'!$I$16,4)+'General inputs'!$H$38-1,"",E128/(1+'General inputs'!$H$32)^C128)</f>
        <v/>
      </c>
      <c r="H128" s="113" t="str">
        <f>IF(LEFT(D128,4)*1&lt;LEFT('General inputs'!$I$16,4)*1,"",IF(LEFT(D128,4)*1&gt;LEFT('General inputs'!$I$16,4)+'General inputs'!$H$38-1,"",E128/(1+'General inputs'!$H$34)^C128))</f>
        <v/>
      </c>
      <c r="I128" s="91"/>
      <c r="J128" s="151"/>
      <c r="K128" s="151"/>
      <c r="L128" s="113" t="str">
        <f>IF(LEFT(D128,4)*1&gt;LEFT('General inputs'!$I$18,4)*1,"",SUMIF('Post-1996 commissioned assets'!$F$22:$F$1477,$D128,'Post-1996 commissioned assets'!$P$22:$P$1477)*(1+$K$34)*(1+$K$35))</f>
        <v/>
      </c>
      <c r="M128" s="113" t="str">
        <f>IF(L128="","",L128/(1+'General inputs'!$H$32)^C128)</f>
        <v/>
      </c>
      <c r="N128" s="285">
        <f>IF(LEFT(D128,4)*1&lt;LEFT('General inputs'!$I$18,4)*1+1,"",SUMIF('Uncommissioned assets'!$F$22:$F$1500,$D128,'Uncommissioned assets'!$P$22:$P$1500))</f>
        <v>0</v>
      </c>
      <c r="O128" s="113">
        <f>IF(N128="","",N128/(1+'General inputs'!$H$32)^C128)</f>
        <v>0</v>
      </c>
      <c r="P128" s="91"/>
      <c r="Q128" s="120"/>
      <c r="R128" s="113" t="str">
        <f>IF(OR(LEFT(D128,4)*1&lt;LEFT('General inputs'!$I$16,4)*1,LEFT(D128,4)*1&gt;LEFT('General inputs'!$I$16,4)+'General inputs'!$H$38-1),"",Q128/(1+'General inputs'!$H$34)^C128)</f>
        <v/>
      </c>
      <c r="S128" s="91"/>
      <c r="T128" s="120"/>
      <c r="U128" s="113" t="str">
        <f>IF(OR(LEFT(D128,4)*1&lt;LEFT('General inputs'!$I$16,4)*1,LEFT(D128,4)*1&gt;LEFT('General inputs'!$I$16,4)+'General inputs'!$H$38-1),"",T128/(1+'General inputs'!$H$34)^C128)</f>
        <v/>
      </c>
      <c r="V128" s="93"/>
      <c r="W128" s="92"/>
    </row>
    <row r="129" spans="2:23" x14ac:dyDescent="0.25">
      <c r="B129" s="66"/>
      <c r="C129" s="111">
        <f>IF(D129='General inputs'!$I$16,0,IF(D129&lt;'General inputs'!$I$16,C130-1,C128+1))</f>
        <v>63</v>
      </c>
      <c r="D129" s="111" t="str">
        <f t="shared" si="4"/>
        <v>2085-86</v>
      </c>
      <c r="E129" s="113" t="str">
        <f>IF(LEFT(D129,4)*1&gt;LEFT('General inputs'!$I$16,4)+'General inputs'!$H$38-1,"",'ET inputs'!D102)</f>
        <v/>
      </c>
      <c r="F129" s="113" t="str">
        <f>IF(LEFT(D129,4)*1&gt;LEFT('General inputs'!$I$16,4)+'General inputs'!$H$38-1,"",E129/(1+'General inputs'!$H$30)^C129)</f>
        <v/>
      </c>
      <c r="G129" s="113" t="str">
        <f>IF(LEFT(D129,4)*1&gt;LEFT('General inputs'!$I$16,4)+'General inputs'!$H$38-1,"",E129/(1+'General inputs'!$H$32)^C129)</f>
        <v/>
      </c>
      <c r="H129" s="113" t="str">
        <f>IF(LEFT(D129,4)*1&lt;LEFT('General inputs'!$I$16,4)*1,"",IF(LEFT(D129,4)*1&gt;LEFT('General inputs'!$I$16,4)+'General inputs'!$H$38-1,"",E129/(1+'General inputs'!$H$34)^C129))</f>
        <v/>
      </c>
      <c r="I129" s="91"/>
      <c r="J129" s="151"/>
      <c r="K129" s="151"/>
      <c r="L129" s="113" t="str">
        <f>IF(LEFT(D129,4)*1&gt;LEFT('General inputs'!$I$18,4)*1,"",SUMIF('Post-1996 commissioned assets'!$F$22:$F$1477,$D129,'Post-1996 commissioned assets'!$P$22:$P$1477)*(1+$K$34)*(1+$K$35))</f>
        <v/>
      </c>
      <c r="M129" s="113" t="str">
        <f>IF(L129="","",L129/(1+'General inputs'!$H$32)^C129)</f>
        <v/>
      </c>
      <c r="N129" s="285">
        <f>IF(LEFT(D129,4)*1&lt;LEFT('General inputs'!$I$18,4)*1+1,"",SUMIF('Uncommissioned assets'!$F$22:$F$1500,$D129,'Uncommissioned assets'!$P$22:$P$1500))</f>
        <v>0</v>
      </c>
      <c r="O129" s="113">
        <f>IF(N129="","",N129/(1+'General inputs'!$H$32)^C129)</f>
        <v>0</v>
      </c>
      <c r="P129" s="91"/>
      <c r="Q129" s="120"/>
      <c r="R129" s="113" t="str">
        <f>IF(OR(LEFT(D129,4)*1&lt;LEFT('General inputs'!$I$16,4)*1,LEFT(D129,4)*1&gt;LEFT('General inputs'!$I$16,4)+'General inputs'!$H$38-1),"",Q129/(1+'General inputs'!$H$34)^C129)</f>
        <v/>
      </c>
      <c r="S129" s="91"/>
      <c r="T129" s="120"/>
      <c r="U129" s="113" t="str">
        <f>IF(OR(LEFT(D129,4)*1&lt;LEFT('General inputs'!$I$16,4)*1,LEFT(D129,4)*1&gt;LEFT('General inputs'!$I$16,4)+'General inputs'!$H$38-1),"",T129/(1+'General inputs'!$H$34)^C129)</f>
        <v/>
      </c>
      <c r="V129" s="93"/>
      <c r="W129" s="92"/>
    </row>
    <row r="130" spans="2:23" x14ac:dyDescent="0.25">
      <c r="B130" s="68"/>
      <c r="C130" s="52"/>
      <c r="D130" s="52"/>
      <c r="E130" s="52"/>
      <c r="F130" s="52"/>
      <c r="G130" s="52"/>
      <c r="H130" s="52"/>
      <c r="I130" s="52"/>
      <c r="J130" s="52"/>
      <c r="K130" s="52"/>
      <c r="L130" s="52"/>
      <c r="M130" s="52"/>
      <c r="N130" s="52"/>
      <c r="O130" s="52"/>
      <c r="P130" s="52"/>
      <c r="Q130" s="52"/>
      <c r="R130" s="52"/>
      <c r="S130" s="52"/>
      <c r="T130" s="52"/>
      <c r="U130" s="52"/>
      <c r="V130" s="69"/>
    </row>
  </sheetData>
  <conditionalFormatting sqref="Q36">
    <cfRule type="containsText" dxfId="41" priority="5" operator="containsText" text="data">
      <formula>NOT(ISERROR(SEARCH("data",Q36)))</formula>
    </cfRule>
  </conditionalFormatting>
  <conditionalFormatting sqref="T36">
    <cfRule type="containsText" dxfId="40"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85" zoomScaleNormal="85" workbookViewId="0">
      <selection activeCell="T16" sqref="T16"/>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70" t="s">
        <v>57</v>
      </c>
    </row>
    <row r="5" spans="3:13" ht="15.5" x14ac:dyDescent="0.35">
      <c r="C5" s="3" t="s">
        <v>123</v>
      </c>
      <c r="H5" s="341" t="s">
        <v>128</v>
      </c>
      <c r="I5" s="342"/>
      <c r="L5" s="56" t="str">
        <f>"Do not delete - data validation for option at "&amp;ADDRESS(ROW(H5),COLUMN(H5))</f>
        <v>Do not delete - data validation for option at $H$5</v>
      </c>
    </row>
    <row r="6" spans="3:13" x14ac:dyDescent="0.25">
      <c r="L6" t="s">
        <v>124</v>
      </c>
      <c r="M6" t="s">
        <v>125</v>
      </c>
    </row>
    <row r="7" spans="3:13" ht="15.5" x14ac:dyDescent="0.35">
      <c r="C7" s="3" t="s">
        <v>75</v>
      </c>
      <c r="H7" s="341" t="s">
        <v>807</v>
      </c>
      <c r="I7" s="342"/>
      <c r="L7" s="53" t="s">
        <v>126</v>
      </c>
      <c r="M7" s="181">
        <v>0</v>
      </c>
    </row>
    <row r="8" spans="3:13" x14ac:dyDescent="0.25">
      <c r="L8" s="54" t="s">
        <v>127</v>
      </c>
      <c r="M8" s="182">
        <v>0.03</v>
      </c>
    </row>
    <row r="9" spans="3:13" ht="15.5" hidden="1" outlineLevel="1" x14ac:dyDescent="0.35">
      <c r="C9" s="3" t="s">
        <v>137</v>
      </c>
      <c r="H9" s="341" t="s">
        <v>138</v>
      </c>
      <c r="I9" s="342"/>
      <c r="L9" s="55" t="s">
        <v>128</v>
      </c>
      <c r="M9" s="183">
        <v>0.03</v>
      </c>
    </row>
    <row r="10" spans="3:13" hidden="1" outlineLevel="1" x14ac:dyDescent="0.25"/>
    <row r="11" spans="3:13" ht="15.5" collapsed="1" x14ac:dyDescent="0.35">
      <c r="C11" s="3" t="s">
        <v>136</v>
      </c>
      <c r="H11" s="341" t="s">
        <v>140</v>
      </c>
      <c r="I11" s="342"/>
    </row>
    <row r="12" spans="3:13" x14ac:dyDescent="0.25">
      <c r="L12" s="56" t="str">
        <f>"Do not delete - data validation for options at "&amp;ADDRESS(ROW(H11),COLUMN(H11))</f>
        <v>Do not delete - data validation for options at $H$11</v>
      </c>
    </row>
    <row r="13" spans="3:13" x14ac:dyDescent="0.25">
      <c r="L13" s="53" t="s">
        <v>139</v>
      </c>
    </row>
    <row r="14" spans="3:13" ht="15.5" x14ac:dyDescent="0.35">
      <c r="C14" s="3" t="s">
        <v>86</v>
      </c>
      <c r="I14" s="144" t="s">
        <v>40</v>
      </c>
      <c r="L14" s="54" t="s">
        <v>140</v>
      </c>
    </row>
    <row r="15" spans="3:13" x14ac:dyDescent="0.25">
      <c r="L15" s="55" t="s">
        <v>141</v>
      </c>
    </row>
    <row r="16" spans="3:13" x14ac:dyDescent="0.25">
      <c r="D16" s="56" t="s">
        <v>220</v>
      </c>
      <c r="I16" s="61" t="s">
        <v>44</v>
      </c>
    </row>
    <row r="17" spans="3:12" x14ac:dyDescent="0.25">
      <c r="D17" s="56"/>
    </row>
    <row r="18" spans="3:12" x14ac:dyDescent="0.25">
      <c r="D18" s="56" t="s">
        <v>53</v>
      </c>
      <c r="H18" s="236">
        <v>44377</v>
      </c>
      <c r="I18" s="78" t="str">
        <f>IF(MONTH(H18)&gt;=7,YEAR(H18)&amp;"-"&amp;RIGHT(YEAR(H18),2)+1,RIGHT(YEAR(H18),4)-1&amp;"-"&amp;RIGHT(YEAR(H18),2))</f>
        <v>2020-21</v>
      </c>
      <c r="L18" s="56" t="str">
        <f>"Do not delete - data validation for options at "&amp;ADDRESS(ROW(I16),COLUMN(I16))&amp;" and "&amp;ADDRESS(ROW(I40),COLUMN(I40))</f>
        <v>Do not delete - data validation for options at $I$16 and $I$40</v>
      </c>
    </row>
    <row r="19" spans="3:12" x14ac:dyDescent="0.25">
      <c r="L19" s="217" t="s">
        <v>15</v>
      </c>
    </row>
    <row r="20" spans="3:12" x14ac:dyDescent="0.25">
      <c r="L20" s="54" t="s">
        <v>98</v>
      </c>
    </row>
    <row r="21" spans="3:12" x14ac:dyDescent="0.25">
      <c r="D21" s="56" t="s">
        <v>39</v>
      </c>
      <c r="L21" s="54" t="s">
        <v>42</v>
      </c>
    </row>
    <row r="22" spans="3:12" x14ac:dyDescent="0.25">
      <c r="L22" s="54" t="s">
        <v>43</v>
      </c>
    </row>
    <row r="23" spans="3:12" x14ac:dyDescent="0.25">
      <c r="D23" s="76" t="s">
        <v>55</v>
      </c>
      <c r="H23" s="77">
        <v>25569</v>
      </c>
      <c r="L23" s="54" t="s">
        <v>44</v>
      </c>
    </row>
    <row r="24" spans="3:12" x14ac:dyDescent="0.25">
      <c r="D24" s="76" t="s">
        <v>56</v>
      </c>
      <c r="H24" s="77">
        <v>35064</v>
      </c>
      <c r="L24" s="54" t="s">
        <v>45</v>
      </c>
    </row>
    <row r="25" spans="3:12" x14ac:dyDescent="0.25">
      <c r="L25" s="54" t="s">
        <v>46</v>
      </c>
    </row>
    <row r="26" spans="3:12" x14ac:dyDescent="0.25">
      <c r="L26" s="54" t="s">
        <v>47</v>
      </c>
    </row>
    <row r="27" spans="3:12" x14ac:dyDescent="0.25">
      <c r="L27" s="54" t="s">
        <v>48</v>
      </c>
    </row>
    <row r="28" spans="3:12" ht="15.5" x14ac:dyDescent="0.35">
      <c r="C28" s="3" t="s">
        <v>85</v>
      </c>
      <c r="L28" s="54" t="s">
        <v>49</v>
      </c>
    </row>
    <row r="29" spans="3:12" x14ac:dyDescent="0.25">
      <c r="L29" s="54" t="s">
        <v>50</v>
      </c>
    </row>
    <row r="30" spans="3:12" x14ac:dyDescent="0.25">
      <c r="D30" s="56" t="s">
        <v>110</v>
      </c>
      <c r="H30" s="79">
        <f>INDEX($M$7:$M$12,MATCH($H$5,$L$7:$L$12))</f>
        <v>0.03</v>
      </c>
      <c r="L30" s="54" t="s">
        <v>51</v>
      </c>
    </row>
    <row r="31" spans="3:12" ht="12" customHeight="1" x14ac:dyDescent="0.35">
      <c r="C31" s="3"/>
      <c r="D31" s="56"/>
      <c r="H31" s="46"/>
      <c r="L31" s="55" t="s">
        <v>52</v>
      </c>
    </row>
    <row r="32" spans="3:12" ht="12" customHeight="1" x14ac:dyDescent="0.35">
      <c r="C32" s="3"/>
      <c r="D32" s="6" t="s">
        <v>111</v>
      </c>
      <c r="H32" s="219">
        <v>4.2000000000000003E-2</v>
      </c>
    </row>
    <row r="33" spans="3:12" ht="12" customHeight="1" x14ac:dyDescent="0.25">
      <c r="D33" s="56"/>
      <c r="H33" s="46"/>
    </row>
    <row r="34" spans="3:12" ht="12" customHeight="1" x14ac:dyDescent="0.25">
      <c r="D34" s="6" t="s">
        <v>92</v>
      </c>
      <c r="H34" s="219">
        <v>4.2000000000000003E-2</v>
      </c>
    </row>
    <row r="35" spans="3:12" ht="12" customHeight="1" x14ac:dyDescent="0.35">
      <c r="C35" s="3"/>
    </row>
    <row r="36" spans="3:12" ht="12" customHeight="1" x14ac:dyDescent="0.35">
      <c r="C36" s="3"/>
      <c r="D36" s="56" t="s">
        <v>112</v>
      </c>
      <c r="H36" s="293">
        <v>137.52082019229451</v>
      </c>
      <c r="L36" s="56" t="str">
        <f>"Do not delete - data validation for option at "&amp;ADDRESS(ROW(H42),COLUMN(H42))</f>
        <v>Do not delete - data validation for option at $H$42</v>
      </c>
    </row>
    <row r="37" spans="3:12" ht="12" customHeight="1" x14ac:dyDescent="0.35">
      <c r="C37" s="3"/>
      <c r="L37" s="53" t="s">
        <v>27</v>
      </c>
    </row>
    <row r="38" spans="3:12" ht="12" customHeight="1" x14ac:dyDescent="0.35">
      <c r="C38" s="3"/>
      <c r="D38" s="56" t="s">
        <v>23</v>
      </c>
      <c r="H38" s="80">
        <v>30</v>
      </c>
      <c r="L38" s="54" t="s">
        <v>28</v>
      </c>
    </row>
    <row r="39" spans="3:12" ht="12" customHeight="1" x14ac:dyDescent="0.35">
      <c r="C39" s="3"/>
      <c r="L39" s="55" t="s">
        <v>29</v>
      </c>
    </row>
    <row r="40" spans="3:12" ht="12" customHeight="1" x14ac:dyDescent="0.25">
      <c r="D40" s="56" t="s">
        <v>41</v>
      </c>
      <c r="I40" s="61" t="s">
        <v>44</v>
      </c>
    </row>
    <row r="42" spans="3:12" x14ac:dyDescent="0.25">
      <c r="D42" s="56" t="s">
        <v>26</v>
      </c>
      <c r="H42" s="218" t="s">
        <v>27</v>
      </c>
    </row>
    <row r="43" spans="3:12" x14ac:dyDescent="0.25">
      <c r="D43" s="56"/>
    </row>
    <row r="47" spans="3:12" ht="15.5" x14ac:dyDescent="0.35">
      <c r="C47" s="3"/>
    </row>
    <row r="49" spans="6:6" x14ac:dyDescent="0.25">
      <c r="F49" s="42"/>
    </row>
    <row r="50" spans="6:6" x14ac:dyDescent="0.25">
      <c r="F50" s="4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R791"/>
  <sheetViews>
    <sheetView showGridLines="0" zoomScaleNormal="100" workbookViewId="0">
      <pane ySplit="21" topLeftCell="A250" activePane="bottomLeft" state="frozen"/>
      <selection activeCell="A22" sqref="A22"/>
      <selection pane="bottomLeft" activeCell="F21" sqref="F21"/>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18" x14ac:dyDescent="0.25">
      <c r="E1" s="42"/>
    </row>
    <row r="2" spans="3:18" x14ac:dyDescent="0.25">
      <c r="E2" s="42"/>
    </row>
    <row r="3" spans="3:18" ht="20" x14ac:dyDescent="0.4">
      <c r="C3" s="70" t="s">
        <v>202</v>
      </c>
    </row>
    <row r="4" spans="3:18" hidden="1" outlineLevel="1" x14ac:dyDescent="0.25"/>
    <row r="5" spans="3:18" hidden="1" outlineLevel="1" x14ac:dyDescent="0.25"/>
    <row r="6" spans="3:18" hidden="1" outlineLevel="1" x14ac:dyDescent="0.25">
      <c r="C6" s="147"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08" t="str">
        <f ca="1">"Hyperlink to the '"&amp;MID(CELL("filename",'Asset exclusions'!A1),FIND("]",CELL("filename",'Asset exclusions'!A1))+1,255)&amp;"' worksheet:"</f>
        <v>Hyperlink to the 'Asset exclusions' worksheet:</v>
      </c>
      <c r="E7" s="209" t="s">
        <v>188</v>
      </c>
      <c r="F7" s="92"/>
      <c r="G7" s="92"/>
      <c r="H7" s="92"/>
      <c r="I7" s="92"/>
      <c r="J7" s="92"/>
      <c r="K7" s="92"/>
      <c r="L7" s="92"/>
      <c r="M7" s="92"/>
      <c r="N7" s="92"/>
      <c r="O7" s="92"/>
      <c r="P7" s="92"/>
      <c r="Q7" s="92"/>
      <c r="R7" s="92"/>
    </row>
    <row r="8" spans="3:18" hidden="1" outlineLevel="1" x14ac:dyDescent="0.25">
      <c r="C8" s="208"/>
      <c r="E8" s="209"/>
      <c r="F8" s="92"/>
      <c r="G8" s="92"/>
      <c r="H8" s="92"/>
      <c r="I8" s="92"/>
      <c r="J8" s="92"/>
      <c r="K8" s="92"/>
      <c r="L8" s="92"/>
      <c r="M8" s="92"/>
      <c r="N8" s="92"/>
      <c r="O8" s="92"/>
      <c r="P8" s="92"/>
      <c r="Q8" s="92"/>
      <c r="R8" s="92"/>
    </row>
    <row r="9" spans="3:18" hidden="1" outlineLevel="1" x14ac:dyDescent="0.25">
      <c r="C9" s="208" t="s">
        <v>243</v>
      </c>
      <c r="E9" s="209"/>
      <c r="F9" s="92"/>
      <c r="G9" s="92"/>
      <c r="H9" s="92"/>
      <c r="I9" s="92"/>
      <c r="J9" s="92"/>
      <c r="K9" s="92"/>
      <c r="L9" s="92"/>
      <c r="M9" s="92"/>
      <c r="N9" s="92"/>
      <c r="O9" s="92"/>
      <c r="P9" s="92"/>
      <c r="Q9" s="92"/>
      <c r="R9" s="92"/>
    </row>
    <row r="10" spans="3:18" hidden="1" outlineLevel="1" x14ac:dyDescent="0.25">
      <c r="C10" s="208" t="s">
        <v>246</v>
      </c>
      <c r="E10" s="209"/>
      <c r="F10" s="92"/>
      <c r="G10" s="92"/>
      <c r="H10" s="92"/>
      <c r="I10" s="92"/>
      <c r="J10" s="92"/>
      <c r="K10" s="92"/>
      <c r="L10" s="92"/>
      <c r="M10" s="92"/>
      <c r="N10" s="92"/>
      <c r="O10" s="92"/>
      <c r="P10" s="92"/>
      <c r="Q10" s="92"/>
      <c r="R10" s="92"/>
    </row>
    <row r="11" spans="3:18" hidden="1" outlineLevel="1" x14ac:dyDescent="0.25">
      <c r="C11" s="208" t="s">
        <v>245</v>
      </c>
      <c r="E11" s="209"/>
      <c r="F11" s="92"/>
      <c r="G11" s="92"/>
      <c r="H11" s="92"/>
      <c r="I11" s="92"/>
      <c r="J11" s="92"/>
      <c r="K11" s="92"/>
      <c r="L11" s="92"/>
      <c r="M11" s="92"/>
      <c r="N11" s="92"/>
      <c r="O11" s="92"/>
      <c r="P11" s="92"/>
      <c r="Q11" s="92"/>
      <c r="R11" s="92"/>
    </row>
    <row r="12" spans="3:18" hidden="1" outlineLevel="1" x14ac:dyDescent="0.25">
      <c r="C12" s="208" t="s">
        <v>244</v>
      </c>
      <c r="E12" s="209"/>
      <c r="F12" s="92"/>
      <c r="G12" s="92"/>
      <c r="H12" s="92"/>
      <c r="I12" s="92"/>
      <c r="J12" s="92"/>
      <c r="K12" s="92"/>
      <c r="L12" s="92"/>
      <c r="M12" s="92"/>
      <c r="N12" s="92"/>
      <c r="O12" s="92"/>
      <c r="P12" s="92"/>
      <c r="Q12" s="92"/>
      <c r="R12" s="92"/>
    </row>
    <row r="13" spans="3:18" collapsed="1" x14ac:dyDescent="0.25">
      <c r="C13" s="92"/>
      <c r="D13" s="92"/>
      <c r="E13" s="92"/>
      <c r="F13" s="92"/>
      <c r="G13" s="92"/>
      <c r="H13" s="121"/>
      <c r="I13" s="92"/>
      <c r="J13" s="92"/>
      <c r="K13" s="92"/>
      <c r="L13" s="92"/>
      <c r="M13" s="92"/>
      <c r="N13" s="92"/>
      <c r="O13" s="92"/>
      <c r="P13" s="92"/>
      <c r="Q13" s="92"/>
      <c r="R13" s="92"/>
    </row>
    <row r="14" spans="3:18" x14ac:dyDescent="0.25">
      <c r="C14" s="122" t="s">
        <v>54</v>
      </c>
      <c r="D14" s="92"/>
      <c r="E14" s="92"/>
      <c r="F14" s="92"/>
      <c r="G14" s="92"/>
      <c r="H14" s="121"/>
      <c r="I14" s="92"/>
      <c r="J14" s="92"/>
      <c r="K14" s="92"/>
      <c r="L14" s="92"/>
      <c r="M14" s="92"/>
      <c r="N14" s="92"/>
      <c r="O14" s="92"/>
      <c r="P14" s="92"/>
      <c r="Q14" s="92"/>
      <c r="R14" s="92"/>
    </row>
    <row r="15" spans="3:18" ht="12" x14ac:dyDescent="0.3">
      <c r="C15" s="123" t="s">
        <v>58</v>
      </c>
      <c r="D15" s="92"/>
      <c r="E15" s="124">
        <f>'General inputs'!$H$23</f>
        <v>25569</v>
      </c>
      <c r="F15" s="92"/>
      <c r="G15" s="92"/>
      <c r="H15" s="265" t="s">
        <v>273</v>
      </c>
      <c r="I15" s="91"/>
      <c r="J15" s="92"/>
      <c r="K15" s="92"/>
      <c r="L15" s="92"/>
      <c r="M15" s="92"/>
      <c r="N15" s="92"/>
      <c r="O15" s="92"/>
      <c r="P15" s="92"/>
      <c r="Q15" s="92"/>
      <c r="R15" s="92"/>
    </row>
    <row r="16" spans="3:18" ht="12" x14ac:dyDescent="0.3">
      <c r="C16" s="123" t="s">
        <v>59</v>
      </c>
      <c r="D16" s="92"/>
      <c r="E16" s="125">
        <f>'General inputs'!$H$24</f>
        <v>35064</v>
      </c>
      <c r="F16" s="92"/>
      <c r="G16" s="92"/>
      <c r="H16" s="266" t="s">
        <v>283</v>
      </c>
      <c r="I16" s="267">
        <f>SUMIF($B$22:$B$790,H16,$P$22:$P$790)/$J$22</f>
        <v>145792962.41649866</v>
      </c>
      <c r="J16" s="92"/>
      <c r="K16" s="92"/>
      <c r="L16" s="92"/>
      <c r="M16" s="92"/>
      <c r="N16" s="92"/>
      <c r="O16" s="92"/>
      <c r="P16" s="92"/>
      <c r="Q16" s="92"/>
      <c r="R16" s="92"/>
    </row>
    <row r="17" spans="1:18" ht="12" x14ac:dyDescent="0.3">
      <c r="C17" s="92"/>
      <c r="D17" s="92"/>
      <c r="E17" s="92"/>
      <c r="F17" s="92"/>
      <c r="G17" s="92"/>
      <c r="H17" s="268" t="s">
        <v>284</v>
      </c>
      <c r="I17" s="269">
        <f>SUMIF($B$22:$B$790,H17,$P$22:$P$790)/$J$22</f>
        <v>26164308.294051174</v>
      </c>
      <c r="J17" s="92"/>
      <c r="K17" s="92"/>
      <c r="L17" s="92"/>
      <c r="M17" s="92"/>
      <c r="N17" s="92"/>
      <c r="O17" s="92"/>
      <c r="P17" s="92"/>
      <c r="Q17" s="92"/>
      <c r="R17" s="92"/>
    </row>
    <row r="18" spans="1:18" ht="15.5" x14ac:dyDescent="0.35">
      <c r="C18" s="229" t="s">
        <v>208</v>
      </c>
      <c r="E18" s="92"/>
      <c r="F18" s="92"/>
      <c r="G18" s="92"/>
      <c r="H18" s="270" t="s">
        <v>285</v>
      </c>
      <c r="I18" s="271">
        <f>SUMIF($B$22:$B$790,H18,$P$22:$P$790)/$J$22</f>
        <v>49994995.43550577</v>
      </c>
      <c r="J18" s="92"/>
      <c r="K18" s="92"/>
      <c r="L18" s="92"/>
      <c r="M18" s="92"/>
      <c r="N18" s="92"/>
      <c r="P18" s="92"/>
      <c r="Q18" s="92"/>
      <c r="R18" s="92"/>
    </row>
    <row r="19" spans="1:18" x14ac:dyDescent="0.25">
      <c r="C19" s="92"/>
      <c r="D19" s="92"/>
      <c r="E19" s="92"/>
      <c r="F19" s="92"/>
      <c r="G19" s="92"/>
      <c r="H19" s="92"/>
      <c r="I19" s="92"/>
      <c r="K19" s="92"/>
      <c r="L19" s="92"/>
      <c r="M19" s="92"/>
      <c r="N19" s="92"/>
      <c r="O19" s="92"/>
      <c r="P19" s="92"/>
      <c r="Q19" s="92"/>
      <c r="R19" s="92"/>
    </row>
    <row r="20" spans="1:18" x14ac:dyDescent="0.25">
      <c r="C20" s="122" t="s">
        <v>16</v>
      </c>
      <c r="D20" s="92"/>
      <c r="F20" s="92"/>
      <c r="G20" s="92"/>
      <c r="H20" s="122" t="s">
        <v>17</v>
      </c>
      <c r="I20" s="92"/>
      <c r="K20" s="92"/>
      <c r="L20" s="122" t="s">
        <v>18</v>
      </c>
      <c r="M20" s="122"/>
      <c r="P20" s="92"/>
      <c r="Q20" s="92"/>
      <c r="R20" s="92"/>
    </row>
    <row r="21" spans="1:18" ht="46" x14ac:dyDescent="0.25">
      <c r="C21" s="220" t="s">
        <v>13</v>
      </c>
      <c r="D21" s="35" t="s">
        <v>12</v>
      </c>
      <c r="E21" s="220" t="s">
        <v>14</v>
      </c>
      <c r="F21" s="35" t="s">
        <v>24</v>
      </c>
      <c r="G21" s="92"/>
      <c r="H21" s="220" t="s">
        <v>30</v>
      </c>
      <c r="I21" s="220" t="s">
        <v>90</v>
      </c>
      <c r="J21" s="220" t="s">
        <v>88</v>
      </c>
      <c r="K21" s="92"/>
      <c r="L21" s="220" t="s">
        <v>89</v>
      </c>
      <c r="M21" s="35" t="s">
        <v>114</v>
      </c>
      <c r="N21" s="220" t="s">
        <v>552</v>
      </c>
      <c r="O21" s="220" t="s">
        <v>553</v>
      </c>
      <c r="P21" s="35" t="s">
        <v>554</v>
      </c>
      <c r="Q21" s="260" t="s">
        <v>282</v>
      </c>
      <c r="R21" s="92"/>
    </row>
    <row r="22" spans="1:18" ht="25.75" customHeight="1" x14ac:dyDescent="0.25">
      <c r="A22">
        <v>1971</v>
      </c>
      <c r="B22" t="s">
        <v>805</v>
      </c>
      <c r="C22" s="263"/>
      <c r="D22" s="156" t="s">
        <v>296</v>
      </c>
      <c r="E22" s="43">
        <f>DATEVALUE("30 Jun "&amp;A22)</f>
        <v>26114</v>
      </c>
      <c r="F22" s="126" t="str">
        <f>IF(E22="","-",IF(OR(E22&lt;$E$15,E22&gt;$E$16),"ERROR - date outside of range","Date check - OK"))</f>
        <v>Date check - OK</v>
      </c>
      <c r="G22" s="1"/>
      <c r="H22" s="160" t="s">
        <v>281</v>
      </c>
      <c r="I22" s="36"/>
      <c r="J22" s="134">
        <f>'ET inputs'!AP20</f>
        <v>0.78910283174369955</v>
      </c>
      <c r="K22" s="92"/>
      <c r="L22" s="36">
        <v>62</v>
      </c>
      <c r="M22" s="221" t="s">
        <v>509</v>
      </c>
      <c r="N22" s="36">
        <v>950.93964796274736</v>
      </c>
      <c r="O22" s="129">
        <f>IF(N22="","-",L22*N22)</f>
        <v>58958.258173690338</v>
      </c>
      <c r="P22" s="131">
        <f>IF(O22="-","-",IF(OR(E22&lt;$E$15,E22&gt;$E$16),0,O22*J22))*Q22</f>
        <v>46524.128479535168</v>
      </c>
      <c r="Q22" s="261">
        <v>1</v>
      </c>
      <c r="R22" s="92"/>
    </row>
    <row r="23" spans="1:18" ht="24" customHeight="1" x14ac:dyDescent="0.25">
      <c r="A23">
        <v>1971</v>
      </c>
      <c r="B23" t="s">
        <v>805</v>
      </c>
      <c r="C23" s="264"/>
      <c r="D23" s="157" t="s">
        <v>296</v>
      </c>
      <c r="E23" s="44">
        <f>DATEVALUE("30 Jun "&amp;A23)</f>
        <v>26114</v>
      </c>
      <c r="F23" s="127" t="str">
        <f>IF(E23="","-",IF(OR(E23&lt;$E$15,E23&gt;$E$16),"ERROR - date outside of range","Date check - OK"))</f>
        <v>Date check - OK</v>
      </c>
      <c r="G23" s="1"/>
      <c r="H23" s="161"/>
      <c r="I23" s="37"/>
      <c r="J23" s="135">
        <f>J22</f>
        <v>0.78910283174369955</v>
      </c>
      <c r="L23" s="37">
        <v>3328</v>
      </c>
      <c r="M23" s="37" t="s">
        <v>509</v>
      </c>
      <c r="N23" s="185">
        <v>639.39681303841667</v>
      </c>
      <c r="O23" s="130">
        <f>IF(N23="","-",L23*N23)</f>
        <v>2127912.5937918508</v>
      </c>
      <c r="P23" s="132">
        <f>IF(O23="-","-",IF(OR(E23&lt;$E$15,E23&gt;$E$16),0,O23*J23))*Q23</f>
        <v>1679141.8534642302</v>
      </c>
      <c r="Q23" s="262">
        <v>1</v>
      </c>
      <c r="R23" s="92"/>
    </row>
    <row r="24" spans="1:18" x14ac:dyDescent="0.25">
      <c r="A24">
        <v>1971</v>
      </c>
      <c r="B24" t="s">
        <v>805</v>
      </c>
      <c r="C24" s="264"/>
      <c r="D24" s="157" t="s">
        <v>296</v>
      </c>
      <c r="E24" s="44">
        <f t="shared" ref="E24:E87" si="0">DATEVALUE("30 Jun "&amp;A24)</f>
        <v>26114</v>
      </c>
      <c r="F24" s="127" t="str">
        <f t="shared" ref="F24:F87" si="1">IF(E24="","-",IF(OR(E24&lt;$E$15,E24&gt;$E$16),"ERROR - date outside of range","Date check - OK"))</f>
        <v>Date check - OK</v>
      </c>
      <c r="G24" s="1"/>
      <c r="H24" s="161"/>
      <c r="I24" s="37"/>
      <c r="J24" s="135">
        <f t="shared" ref="J24:J87" si="2">J23</f>
        <v>0.78910283174369955</v>
      </c>
      <c r="K24" s="112"/>
      <c r="L24" s="37">
        <v>487</v>
      </c>
      <c r="M24" s="37" t="s">
        <v>509</v>
      </c>
      <c r="N24" s="37">
        <v>685.06801396973219</v>
      </c>
      <c r="O24" s="130">
        <f t="shared" ref="O24:O87" si="3">IF(N24="","-",L24*N24)</f>
        <v>333628.12280325958</v>
      </c>
      <c r="P24" s="132">
        <f t="shared" ref="P24:P87" si="4">IF(O24="-","-",IF(OR(E24&lt;$E$15,E24&gt;$E$16),0,O24*J24))*Q24</f>
        <v>263266.89645338687</v>
      </c>
      <c r="Q24" s="262">
        <v>1</v>
      </c>
      <c r="R24" s="92"/>
    </row>
    <row r="25" spans="1:18" x14ac:dyDescent="0.25">
      <c r="A25">
        <v>1971</v>
      </c>
      <c r="B25" t="s">
        <v>805</v>
      </c>
      <c r="C25" s="264"/>
      <c r="D25" s="157" t="s">
        <v>297</v>
      </c>
      <c r="E25" s="44">
        <f t="shared" si="0"/>
        <v>26114</v>
      </c>
      <c r="F25" s="127" t="str">
        <f t="shared" si="1"/>
        <v>Date check - OK</v>
      </c>
      <c r="G25" s="1"/>
      <c r="H25" s="161"/>
      <c r="I25" s="37"/>
      <c r="J25" s="135">
        <f t="shared" si="2"/>
        <v>0.78910283174369955</v>
      </c>
      <c r="K25" s="112"/>
      <c r="L25" s="37">
        <v>1828</v>
      </c>
      <c r="M25" s="37" t="s">
        <v>509</v>
      </c>
      <c r="N25" s="37">
        <v>565.99666868451686</v>
      </c>
      <c r="O25" s="130">
        <f t="shared" si="3"/>
        <v>1034641.9103552968</v>
      </c>
      <c r="P25" s="132">
        <f t="shared" si="4"/>
        <v>816438.86130207567</v>
      </c>
      <c r="Q25" s="262">
        <v>1</v>
      </c>
      <c r="R25" s="92"/>
    </row>
    <row r="26" spans="1:18" x14ac:dyDescent="0.25">
      <c r="A26">
        <v>1972</v>
      </c>
      <c r="B26" t="s">
        <v>805</v>
      </c>
      <c r="C26" s="264"/>
      <c r="D26" s="157" t="s">
        <v>298</v>
      </c>
      <c r="E26" s="44">
        <f t="shared" si="0"/>
        <v>26480</v>
      </c>
      <c r="F26" s="127" t="str">
        <f t="shared" si="1"/>
        <v>Date check - OK</v>
      </c>
      <c r="G26" s="1"/>
      <c r="H26" s="161"/>
      <c r="I26" s="37"/>
      <c r="J26" s="135">
        <f t="shared" si="2"/>
        <v>0.78910283174369955</v>
      </c>
      <c r="K26" s="112"/>
      <c r="L26" s="37">
        <v>360</v>
      </c>
      <c r="M26" s="37" t="s">
        <v>509</v>
      </c>
      <c r="N26" s="37">
        <v>2560.8494807916181</v>
      </c>
      <c r="O26" s="130">
        <f t="shared" si="3"/>
        <v>921905.81308498257</v>
      </c>
      <c r="P26" s="132">
        <f t="shared" si="4"/>
        <v>727478.48770633747</v>
      </c>
      <c r="Q26" s="262">
        <v>1</v>
      </c>
      <c r="R26" s="92"/>
    </row>
    <row r="27" spans="1:18" x14ac:dyDescent="0.25">
      <c r="A27">
        <v>1972</v>
      </c>
      <c r="B27" t="s">
        <v>805</v>
      </c>
      <c r="C27" s="264"/>
      <c r="D27" s="157" t="s">
        <v>298</v>
      </c>
      <c r="E27" s="44">
        <f t="shared" si="0"/>
        <v>26480</v>
      </c>
      <c r="F27" s="127" t="str">
        <f t="shared" si="1"/>
        <v>Date check - OK</v>
      </c>
      <c r="G27" s="1"/>
      <c r="H27" s="161"/>
      <c r="I27" s="37"/>
      <c r="J27" s="135">
        <f t="shared" si="2"/>
        <v>0.78910283174369955</v>
      </c>
      <c r="K27" s="112"/>
      <c r="L27" s="37">
        <v>1152</v>
      </c>
      <c r="M27" s="37" t="s">
        <v>509</v>
      </c>
      <c r="N27" s="37">
        <v>1861.1014379511059</v>
      </c>
      <c r="O27" s="130">
        <f t="shared" si="3"/>
        <v>2143988.856519674</v>
      </c>
      <c r="P27" s="132">
        <f t="shared" si="4"/>
        <v>1691827.677906611</v>
      </c>
      <c r="Q27" s="262">
        <v>1</v>
      </c>
      <c r="R27" s="92"/>
    </row>
    <row r="28" spans="1:18" x14ac:dyDescent="0.25">
      <c r="A28">
        <v>1972</v>
      </c>
      <c r="B28" t="s">
        <v>805</v>
      </c>
      <c r="C28" s="264"/>
      <c r="D28" s="157" t="s">
        <v>298</v>
      </c>
      <c r="E28" s="44">
        <f t="shared" si="0"/>
        <v>26480</v>
      </c>
      <c r="F28" s="127" t="str">
        <f t="shared" si="1"/>
        <v>Date check - OK</v>
      </c>
      <c r="G28" s="1"/>
      <c r="H28" s="161"/>
      <c r="I28" s="37"/>
      <c r="J28" s="135">
        <f t="shared" si="2"/>
        <v>0.78910283174369955</v>
      </c>
      <c r="K28" s="112"/>
      <c r="L28" s="37">
        <v>661</v>
      </c>
      <c r="M28" s="37" t="s">
        <v>509</v>
      </c>
      <c r="N28" s="37">
        <v>1456.5850868451687</v>
      </c>
      <c r="O28" s="130">
        <f t="shared" si="3"/>
        <v>962802.74240465648</v>
      </c>
      <c r="P28" s="132">
        <f t="shared" si="4"/>
        <v>759750.37044211419</v>
      </c>
      <c r="Q28" s="262">
        <v>1</v>
      </c>
      <c r="R28" s="92"/>
    </row>
    <row r="29" spans="1:18" x14ac:dyDescent="0.25">
      <c r="A29">
        <v>1972</v>
      </c>
      <c r="B29" t="s">
        <v>805</v>
      </c>
      <c r="C29" s="264"/>
      <c r="D29" s="157" t="s">
        <v>299</v>
      </c>
      <c r="E29" s="44">
        <f t="shared" si="0"/>
        <v>26480</v>
      </c>
      <c r="F29" s="127" t="str">
        <f t="shared" si="1"/>
        <v>Date check - OK</v>
      </c>
      <c r="G29" s="1"/>
      <c r="H29" s="161"/>
      <c r="I29" s="37"/>
      <c r="J29" s="135">
        <f t="shared" si="2"/>
        <v>0.78910283174369955</v>
      </c>
      <c r="K29" s="112"/>
      <c r="L29" s="37">
        <v>524</v>
      </c>
      <c r="M29" s="37" t="s">
        <v>509</v>
      </c>
      <c r="N29" s="37">
        <v>1306.5225694994178</v>
      </c>
      <c r="O29" s="130">
        <f t="shared" si="3"/>
        <v>684617.82641769492</v>
      </c>
      <c r="P29" s="132">
        <f t="shared" si="4"/>
        <v>540233.86548841966</v>
      </c>
      <c r="Q29" s="262">
        <v>1</v>
      </c>
      <c r="R29" s="92"/>
    </row>
    <row r="30" spans="1:18" x14ac:dyDescent="0.25">
      <c r="A30">
        <v>1972</v>
      </c>
      <c r="B30" t="s">
        <v>805</v>
      </c>
      <c r="C30" s="264"/>
      <c r="D30" s="157" t="s">
        <v>298</v>
      </c>
      <c r="E30" s="44">
        <f t="shared" si="0"/>
        <v>26480</v>
      </c>
      <c r="F30" s="127" t="str">
        <f t="shared" si="1"/>
        <v>Date check - OK</v>
      </c>
      <c r="G30" s="1"/>
      <c r="H30" s="161"/>
      <c r="I30" s="37"/>
      <c r="J30" s="135">
        <f t="shared" si="2"/>
        <v>0.78910283174369955</v>
      </c>
      <c r="K30" s="112"/>
      <c r="L30" s="37">
        <v>721</v>
      </c>
      <c r="M30" s="37" t="s">
        <v>509</v>
      </c>
      <c r="N30" s="37">
        <v>1074.9043362048894</v>
      </c>
      <c r="O30" s="130">
        <f t="shared" si="3"/>
        <v>775006.02640372526</v>
      </c>
      <c r="P30" s="132">
        <f t="shared" si="4"/>
        <v>611559.450053612</v>
      </c>
      <c r="Q30" s="262">
        <v>1</v>
      </c>
      <c r="R30" s="92"/>
    </row>
    <row r="31" spans="1:18" x14ac:dyDescent="0.25">
      <c r="A31">
        <v>1973</v>
      </c>
      <c r="B31" t="s">
        <v>805</v>
      </c>
      <c r="C31" s="264"/>
      <c r="D31" s="157" t="s">
        <v>298</v>
      </c>
      <c r="E31" s="44">
        <f t="shared" si="0"/>
        <v>26845</v>
      </c>
      <c r="F31" s="127" t="str">
        <f t="shared" si="1"/>
        <v>Date check - OK</v>
      </c>
      <c r="G31" s="1"/>
      <c r="H31" s="161"/>
      <c r="I31" s="37"/>
      <c r="J31" s="135">
        <f t="shared" si="2"/>
        <v>0.78910283174369955</v>
      </c>
      <c r="K31" s="112"/>
      <c r="L31" s="37">
        <v>906</v>
      </c>
      <c r="M31" s="37" t="s">
        <v>509</v>
      </c>
      <c r="N31" s="37">
        <v>950.93964796274736</v>
      </c>
      <c r="O31" s="130">
        <f t="shared" si="3"/>
        <v>861551.32105424907</v>
      </c>
      <c r="P31" s="132">
        <f t="shared" si="4"/>
        <v>679852.58713643323</v>
      </c>
      <c r="Q31" s="262">
        <v>1</v>
      </c>
      <c r="R31" s="92"/>
    </row>
    <row r="32" spans="1:18" x14ac:dyDescent="0.25">
      <c r="A32">
        <v>1973</v>
      </c>
      <c r="B32" t="s">
        <v>805</v>
      </c>
      <c r="C32" s="264"/>
      <c r="D32" s="157" t="s">
        <v>300</v>
      </c>
      <c r="E32" s="44">
        <f t="shared" si="0"/>
        <v>26845</v>
      </c>
      <c r="F32" s="127" t="str">
        <f t="shared" si="1"/>
        <v>Date check - OK</v>
      </c>
      <c r="G32" s="1"/>
      <c r="H32" s="161"/>
      <c r="I32" s="37"/>
      <c r="J32" s="135">
        <f t="shared" si="2"/>
        <v>0.78910283174369955</v>
      </c>
      <c r="K32" s="112"/>
      <c r="L32" s="37">
        <v>213</v>
      </c>
      <c r="M32" s="37" t="s">
        <v>509</v>
      </c>
      <c r="N32" s="37">
        <v>639.39681303841667</v>
      </c>
      <c r="O32" s="130">
        <f t="shared" si="3"/>
        <v>136191.52117718276</v>
      </c>
      <c r="P32" s="132">
        <f t="shared" si="4"/>
        <v>107469.11502039694</v>
      </c>
      <c r="Q32" s="262">
        <v>1</v>
      </c>
      <c r="R32" s="92"/>
    </row>
    <row r="33" spans="1:18" x14ac:dyDescent="0.25">
      <c r="A33">
        <v>1973</v>
      </c>
      <c r="B33" t="s">
        <v>805</v>
      </c>
      <c r="C33" s="264"/>
      <c r="D33" s="157" t="s">
        <v>300</v>
      </c>
      <c r="E33" s="44">
        <f t="shared" si="0"/>
        <v>26845</v>
      </c>
      <c r="F33" s="127" t="str">
        <f t="shared" si="1"/>
        <v>Date check - OK</v>
      </c>
      <c r="G33" s="1"/>
      <c r="H33" s="161"/>
      <c r="I33" s="37"/>
      <c r="J33" s="135">
        <f t="shared" si="2"/>
        <v>0.78910283174369955</v>
      </c>
      <c r="K33" s="112"/>
      <c r="L33" s="37">
        <v>471</v>
      </c>
      <c r="M33" s="37" t="s">
        <v>509</v>
      </c>
      <c r="N33" s="37">
        <v>685.06801396973219</v>
      </c>
      <c r="O33" s="130">
        <f t="shared" si="3"/>
        <v>322667.03457974386</v>
      </c>
      <c r="P33" s="132">
        <f t="shared" si="4"/>
        <v>254617.47069721812</v>
      </c>
      <c r="Q33" s="262">
        <v>1</v>
      </c>
      <c r="R33" s="92"/>
    </row>
    <row r="34" spans="1:18" x14ac:dyDescent="0.25">
      <c r="A34">
        <v>1973</v>
      </c>
      <c r="B34" t="s">
        <v>805</v>
      </c>
      <c r="C34" s="264"/>
      <c r="D34" s="157" t="s">
        <v>301</v>
      </c>
      <c r="E34" s="44">
        <f t="shared" si="0"/>
        <v>26845</v>
      </c>
      <c r="F34" s="127" t="str">
        <f t="shared" si="1"/>
        <v>Date check - OK</v>
      </c>
      <c r="G34" s="1"/>
      <c r="H34" s="161"/>
      <c r="I34" s="37"/>
      <c r="J34" s="135">
        <f t="shared" si="2"/>
        <v>0.78910283174369955</v>
      </c>
      <c r="K34" s="112"/>
      <c r="L34" s="37">
        <v>1092</v>
      </c>
      <c r="M34" s="37" t="s">
        <v>509</v>
      </c>
      <c r="N34" s="37">
        <v>685.06801396973219</v>
      </c>
      <c r="O34" s="130">
        <f t="shared" si="3"/>
        <v>748094.27125494753</v>
      </c>
      <c r="P34" s="132">
        <f t="shared" si="4"/>
        <v>590323.30785851844</v>
      </c>
      <c r="Q34" s="262">
        <v>1</v>
      </c>
      <c r="R34" s="92"/>
    </row>
    <row r="35" spans="1:18" x14ac:dyDescent="0.25">
      <c r="A35">
        <v>1973</v>
      </c>
      <c r="B35" t="s">
        <v>805</v>
      </c>
      <c r="C35" s="264"/>
      <c r="D35" s="157" t="s">
        <v>298</v>
      </c>
      <c r="E35" s="44">
        <f t="shared" si="0"/>
        <v>26845</v>
      </c>
      <c r="F35" s="127" t="str">
        <f t="shared" si="1"/>
        <v>Date check - OK</v>
      </c>
      <c r="G35" s="1"/>
      <c r="H35" s="161"/>
      <c r="I35" s="37"/>
      <c r="J35" s="135">
        <f t="shared" si="2"/>
        <v>0.78910283174369955</v>
      </c>
      <c r="K35" s="112"/>
      <c r="L35" s="37">
        <v>636</v>
      </c>
      <c r="M35" s="37" t="s">
        <v>509</v>
      </c>
      <c r="N35" s="37">
        <v>685.06801396973219</v>
      </c>
      <c r="O35" s="130">
        <f t="shared" si="3"/>
        <v>435703.25688474969</v>
      </c>
      <c r="P35" s="132">
        <f t="shared" si="4"/>
        <v>343814.67380770855</v>
      </c>
      <c r="Q35" s="262">
        <v>1</v>
      </c>
      <c r="R35" s="92"/>
    </row>
    <row r="36" spans="1:18" x14ac:dyDescent="0.25">
      <c r="A36">
        <v>1974</v>
      </c>
      <c r="B36" t="s">
        <v>805</v>
      </c>
      <c r="C36" s="264"/>
      <c r="D36" s="157" t="s">
        <v>302</v>
      </c>
      <c r="E36" s="44">
        <f t="shared" si="0"/>
        <v>27210</v>
      </c>
      <c r="F36" s="127" t="str">
        <f t="shared" si="1"/>
        <v>Date check - OK</v>
      </c>
      <c r="G36" s="1"/>
      <c r="H36" s="161"/>
      <c r="I36" s="37"/>
      <c r="J36" s="135">
        <f t="shared" si="2"/>
        <v>0.78910283174369955</v>
      </c>
      <c r="K36" s="112"/>
      <c r="L36" s="37">
        <v>1432</v>
      </c>
      <c r="M36" s="37" t="s">
        <v>509</v>
      </c>
      <c r="N36" s="37">
        <v>1074.9043362048894</v>
      </c>
      <c r="O36" s="130">
        <f t="shared" si="3"/>
        <v>1539263.0094454016</v>
      </c>
      <c r="P36" s="132">
        <f t="shared" si="4"/>
        <v>1214636.7995516954</v>
      </c>
      <c r="Q36" s="262">
        <v>1</v>
      </c>
      <c r="R36" s="92"/>
    </row>
    <row r="37" spans="1:18" x14ac:dyDescent="0.25">
      <c r="A37">
        <v>1974</v>
      </c>
      <c r="B37" t="s">
        <v>805</v>
      </c>
      <c r="C37" s="264"/>
      <c r="D37" s="157" t="s">
        <v>303</v>
      </c>
      <c r="E37" s="44">
        <f t="shared" si="0"/>
        <v>27210</v>
      </c>
      <c r="F37" s="127" t="str">
        <f t="shared" si="1"/>
        <v>Date check - OK</v>
      </c>
      <c r="G37" s="1"/>
      <c r="H37" s="161"/>
      <c r="I37" s="37"/>
      <c r="J37" s="135">
        <f t="shared" si="2"/>
        <v>0.78910283174369955</v>
      </c>
      <c r="K37" s="112"/>
      <c r="L37" s="37">
        <v>885</v>
      </c>
      <c r="M37" s="37" t="s">
        <v>509</v>
      </c>
      <c r="N37" s="37">
        <v>639.39681303841667</v>
      </c>
      <c r="O37" s="130">
        <f t="shared" si="3"/>
        <v>565866.17953899875</v>
      </c>
      <c r="P37" s="132">
        <f t="shared" si="4"/>
        <v>446526.6046622126</v>
      </c>
      <c r="Q37" s="262">
        <v>1</v>
      </c>
      <c r="R37" s="92"/>
    </row>
    <row r="38" spans="1:18" x14ac:dyDescent="0.25">
      <c r="A38">
        <v>1974</v>
      </c>
      <c r="B38" t="s">
        <v>805</v>
      </c>
      <c r="C38" s="264"/>
      <c r="D38" s="157" t="s">
        <v>304</v>
      </c>
      <c r="E38" s="44">
        <f t="shared" si="0"/>
        <v>27210</v>
      </c>
      <c r="F38" s="127" t="str">
        <f t="shared" si="1"/>
        <v>Date check - OK</v>
      </c>
      <c r="G38" s="1"/>
      <c r="H38" s="161"/>
      <c r="I38" s="37"/>
      <c r="J38" s="135">
        <f t="shared" si="2"/>
        <v>0.78910283174369955</v>
      </c>
      <c r="K38" s="112"/>
      <c r="L38" s="37">
        <v>509</v>
      </c>
      <c r="M38" s="37" t="s">
        <v>509</v>
      </c>
      <c r="N38" s="37">
        <v>639.39681303841667</v>
      </c>
      <c r="O38" s="130">
        <f t="shared" si="3"/>
        <v>325452.97783655406</v>
      </c>
      <c r="P38" s="132">
        <f t="shared" si="4"/>
        <v>256815.86641024429</v>
      </c>
      <c r="Q38" s="262">
        <v>1</v>
      </c>
      <c r="R38" s="92"/>
    </row>
    <row r="39" spans="1:18" x14ac:dyDescent="0.25">
      <c r="A39">
        <v>1974</v>
      </c>
      <c r="B39" t="s">
        <v>805</v>
      </c>
      <c r="C39" s="264"/>
      <c r="D39" s="157" t="s">
        <v>302</v>
      </c>
      <c r="E39" s="44">
        <f t="shared" si="0"/>
        <v>27210</v>
      </c>
      <c r="F39" s="127" t="str">
        <f t="shared" si="1"/>
        <v>Date check - OK</v>
      </c>
      <c r="G39" s="1"/>
      <c r="H39" s="161"/>
      <c r="I39" s="37"/>
      <c r="J39" s="135">
        <f t="shared" si="2"/>
        <v>0.78910283174369955</v>
      </c>
      <c r="K39" s="112"/>
      <c r="L39" s="37">
        <v>556</v>
      </c>
      <c r="M39" s="37" t="s">
        <v>509</v>
      </c>
      <c r="N39" s="37">
        <v>639.39681303841667</v>
      </c>
      <c r="O39" s="130">
        <f t="shared" si="3"/>
        <v>355504.62804935966</v>
      </c>
      <c r="P39" s="132">
        <f t="shared" si="4"/>
        <v>280529.70869174035</v>
      </c>
      <c r="Q39" s="262">
        <v>1</v>
      </c>
      <c r="R39" s="92"/>
    </row>
    <row r="40" spans="1:18" x14ac:dyDescent="0.25">
      <c r="A40">
        <v>1974</v>
      </c>
      <c r="B40" t="s">
        <v>805</v>
      </c>
      <c r="C40" s="264"/>
      <c r="D40" s="157" t="s">
        <v>305</v>
      </c>
      <c r="E40" s="44">
        <f t="shared" si="0"/>
        <v>27210</v>
      </c>
      <c r="F40" s="127" t="str">
        <f t="shared" si="1"/>
        <v>Date check - OK</v>
      </c>
      <c r="G40" s="1"/>
      <c r="H40" s="161"/>
      <c r="I40" s="37"/>
      <c r="J40" s="135">
        <f t="shared" si="2"/>
        <v>0.78910283174369955</v>
      </c>
      <c r="K40" s="112"/>
      <c r="L40" s="37">
        <v>124</v>
      </c>
      <c r="M40" s="37" t="s">
        <v>509</v>
      </c>
      <c r="N40" s="37">
        <v>639.39681303841667</v>
      </c>
      <c r="O40" s="130">
        <f t="shared" si="3"/>
        <v>79285.204816763668</v>
      </c>
      <c r="P40" s="132">
        <f t="shared" si="4"/>
        <v>62564.179636287416</v>
      </c>
      <c r="Q40" s="262">
        <v>1</v>
      </c>
      <c r="R40" s="92"/>
    </row>
    <row r="41" spans="1:18" x14ac:dyDescent="0.25">
      <c r="A41">
        <v>1974</v>
      </c>
      <c r="B41" t="s">
        <v>805</v>
      </c>
      <c r="C41" s="264"/>
      <c r="D41" s="157" t="s">
        <v>306</v>
      </c>
      <c r="E41" s="44">
        <f t="shared" si="0"/>
        <v>27210</v>
      </c>
      <c r="F41" s="127" t="str">
        <f t="shared" si="1"/>
        <v>Date check - OK</v>
      </c>
      <c r="G41" s="1"/>
      <c r="H41" s="161"/>
      <c r="I41" s="37"/>
      <c r="J41" s="135">
        <f t="shared" si="2"/>
        <v>0.78910283174369955</v>
      </c>
      <c r="K41" s="112"/>
      <c r="L41" s="37">
        <v>815</v>
      </c>
      <c r="M41" s="37" t="s">
        <v>509</v>
      </c>
      <c r="N41" s="37">
        <v>639.39681303841667</v>
      </c>
      <c r="O41" s="130">
        <f t="shared" si="3"/>
        <v>521108.4026263096</v>
      </c>
      <c r="P41" s="132">
        <f t="shared" si="4"/>
        <v>411208.11615785683</v>
      </c>
      <c r="Q41" s="262">
        <v>1</v>
      </c>
      <c r="R41" s="92"/>
    </row>
    <row r="42" spans="1:18" x14ac:dyDescent="0.25">
      <c r="A42">
        <v>1974</v>
      </c>
      <c r="B42" t="s">
        <v>805</v>
      </c>
      <c r="C42" s="264"/>
      <c r="D42" s="157" t="s">
        <v>303</v>
      </c>
      <c r="E42" s="44">
        <f t="shared" si="0"/>
        <v>27210</v>
      </c>
      <c r="F42" s="127" t="str">
        <f t="shared" si="1"/>
        <v>Date check - OK</v>
      </c>
      <c r="G42" s="1"/>
      <c r="H42" s="161"/>
      <c r="I42" s="37"/>
      <c r="J42" s="135">
        <f t="shared" si="2"/>
        <v>0.78910283174369955</v>
      </c>
      <c r="K42" s="112"/>
      <c r="L42" s="37">
        <v>889</v>
      </c>
      <c r="M42" s="37" t="s">
        <v>509</v>
      </c>
      <c r="N42" s="37">
        <v>685.06801396973219</v>
      </c>
      <c r="O42" s="130">
        <f t="shared" si="3"/>
        <v>609025.46441909194</v>
      </c>
      <c r="P42" s="132">
        <f t="shared" si="4"/>
        <v>480583.71857712721</v>
      </c>
      <c r="Q42" s="262">
        <v>1</v>
      </c>
      <c r="R42" s="92"/>
    </row>
    <row r="43" spans="1:18" x14ac:dyDescent="0.25">
      <c r="A43">
        <v>1974</v>
      </c>
      <c r="B43" t="s">
        <v>805</v>
      </c>
      <c r="C43" s="264"/>
      <c r="D43" s="157" t="s">
        <v>304</v>
      </c>
      <c r="E43" s="44">
        <f t="shared" si="0"/>
        <v>27210</v>
      </c>
      <c r="F43" s="127" t="str">
        <f t="shared" si="1"/>
        <v>Date check - OK</v>
      </c>
      <c r="G43" s="1"/>
      <c r="H43" s="161"/>
      <c r="I43" s="37"/>
      <c r="J43" s="135">
        <f t="shared" si="2"/>
        <v>0.78910283174369955</v>
      </c>
      <c r="K43" s="112"/>
      <c r="L43" s="37">
        <v>967</v>
      </c>
      <c r="M43" s="37" t="s">
        <v>509</v>
      </c>
      <c r="N43" s="37">
        <v>685.06801396973219</v>
      </c>
      <c r="O43" s="130">
        <f t="shared" si="3"/>
        <v>662460.76950873109</v>
      </c>
      <c r="P43" s="132">
        <f t="shared" si="4"/>
        <v>522749.66913844994</v>
      </c>
      <c r="Q43" s="262">
        <v>1</v>
      </c>
      <c r="R43" s="92"/>
    </row>
    <row r="44" spans="1:18" x14ac:dyDescent="0.25">
      <c r="A44">
        <v>1974</v>
      </c>
      <c r="B44" t="s">
        <v>805</v>
      </c>
      <c r="C44" s="264"/>
      <c r="D44" s="157" t="s">
        <v>302</v>
      </c>
      <c r="E44" s="44">
        <f t="shared" si="0"/>
        <v>27210</v>
      </c>
      <c r="F44" s="127" t="str">
        <f t="shared" si="1"/>
        <v>Date check - OK</v>
      </c>
      <c r="G44" s="1"/>
      <c r="H44" s="161"/>
      <c r="I44" s="37"/>
      <c r="J44" s="135">
        <f t="shared" si="2"/>
        <v>0.78910283174369955</v>
      </c>
      <c r="K44" s="112"/>
      <c r="L44" s="37">
        <v>536</v>
      </c>
      <c r="M44" s="37" t="s">
        <v>509</v>
      </c>
      <c r="N44" s="37">
        <v>685.06801396973219</v>
      </c>
      <c r="O44" s="130">
        <f t="shared" si="3"/>
        <v>367196.45548777643</v>
      </c>
      <c r="P44" s="132">
        <f t="shared" si="4"/>
        <v>289755.7628316537</v>
      </c>
      <c r="Q44" s="262">
        <v>1</v>
      </c>
      <c r="R44" s="92"/>
    </row>
    <row r="45" spans="1:18" x14ac:dyDescent="0.25">
      <c r="A45">
        <v>1974</v>
      </c>
      <c r="B45" t="s">
        <v>805</v>
      </c>
      <c r="C45" s="264"/>
      <c r="D45" s="157" t="s">
        <v>305</v>
      </c>
      <c r="E45" s="44">
        <f t="shared" si="0"/>
        <v>27210</v>
      </c>
      <c r="F45" s="127" t="str">
        <f t="shared" si="1"/>
        <v>Date check - OK</v>
      </c>
      <c r="G45" s="1"/>
      <c r="H45" s="161"/>
      <c r="I45" s="37"/>
      <c r="J45" s="135">
        <f t="shared" si="2"/>
        <v>0.78910283174369955</v>
      </c>
      <c r="K45" s="112"/>
      <c r="L45" s="37">
        <v>545</v>
      </c>
      <c r="M45" s="37" t="s">
        <v>509</v>
      </c>
      <c r="N45" s="37">
        <v>685.06801396973219</v>
      </c>
      <c r="O45" s="130">
        <f t="shared" si="3"/>
        <v>373362.06761350407</v>
      </c>
      <c r="P45" s="132">
        <f t="shared" si="4"/>
        <v>294621.06481949869</v>
      </c>
      <c r="Q45" s="262">
        <v>1</v>
      </c>
      <c r="R45" s="92"/>
    </row>
    <row r="46" spans="1:18" x14ac:dyDescent="0.25">
      <c r="A46">
        <v>1974</v>
      </c>
      <c r="B46" t="s">
        <v>805</v>
      </c>
      <c r="C46" s="264"/>
      <c r="D46" s="157" t="s">
        <v>306</v>
      </c>
      <c r="E46" s="44">
        <f t="shared" si="0"/>
        <v>27210</v>
      </c>
      <c r="F46" s="127" t="str">
        <f t="shared" si="1"/>
        <v>Date check - OK</v>
      </c>
      <c r="G46" s="1"/>
      <c r="H46" s="161"/>
      <c r="I46" s="37"/>
      <c r="J46" s="135">
        <f t="shared" si="2"/>
        <v>0.78910283174369955</v>
      </c>
      <c r="K46" s="112"/>
      <c r="L46" s="37">
        <v>443</v>
      </c>
      <c r="M46" s="37" t="s">
        <v>509</v>
      </c>
      <c r="N46" s="37">
        <v>685.06801396973219</v>
      </c>
      <c r="O46" s="130">
        <f t="shared" si="3"/>
        <v>303485.13018859137</v>
      </c>
      <c r="P46" s="132">
        <f t="shared" si="4"/>
        <v>239480.97562392277</v>
      </c>
      <c r="Q46" s="262">
        <v>1</v>
      </c>
      <c r="R46" s="92"/>
    </row>
    <row r="47" spans="1:18" x14ac:dyDescent="0.25">
      <c r="A47">
        <v>1975</v>
      </c>
      <c r="B47" t="s">
        <v>805</v>
      </c>
      <c r="C47" s="264"/>
      <c r="D47" s="157" t="s">
        <v>307</v>
      </c>
      <c r="E47" s="44">
        <f t="shared" si="0"/>
        <v>27575</v>
      </c>
      <c r="F47" s="127" t="str">
        <f t="shared" si="1"/>
        <v>Date check - OK</v>
      </c>
      <c r="G47" s="1"/>
      <c r="H47" s="161"/>
      <c r="I47" s="37"/>
      <c r="J47" s="135">
        <f t="shared" si="2"/>
        <v>0.78910283174369955</v>
      </c>
      <c r="K47" s="112"/>
      <c r="L47" s="37">
        <v>558</v>
      </c>
      <c r="M47" s="37" t="s">
        <v>509</v>
      </c>
      <c r="N47" s="37">
        <v>639.39681303841667</v>
      </c>
      <c r="O47" s="130">
        <f t="shared" si="3"/>
        <v>356783.42167543649</v>
      </c>
      <c r="P47" s="132">
        <f t="shared" si="4"/>
        <v>281538.80836329336</v>
      </c>
      <c r="Q47" s="262">
        <v>1</v>
      </c>
      <c r="R47" s="92"/>
    </row>
    <row r="48" spans="1:18" x14ac:dyDescent="0.25">
      <c r="A48">
        <v>1975</v>
      </c>
      <c r="B48" t="s">
        <v>805</v>
      </c>
      <c r="C48" s="264"/>
      <c r="D48" s="157" t="s">
        <v>307</v>
      </c>
      <c r="E48" s="44">
        <f t="shared" si="0"/>
        <v>27575</v>
      </c>
      <c r="F48" s="127" t="str">
        <f t="shared" si="1"/>
        <v>Date check - OK</v>
      </c>
      <c r="G48" s="1"/>
      <c r="H48" s="161"/>
      <c r="I48" s="37"/>
      <c r="J48" s="135">
        <f t="shared" si="2"/>
        <v>0.78910283174369955</v>
      </c>
      <c r="K48" s="112"/>
      <c r="L48" s="37">
        <v>46</v>
      </c>
      <c r="M48" s="37" t="s">
        <v>509</v>
      </c>
      <c r="N48" s="37">
        <v>685.06801396973219</v>
      </c>
      <c r="O48" s="130">
        <f t="shared" si="3"/>
        <v>31513.12864260768</v>
      </c>
      <c r="P48" s="132">
        <f t="shared" si="4"/>
        <v>24867.099048985208</v>
      </c>
      <c r="Q48" s="262">
        <v>1</v>
      </c>
      <c r="R48" s="92"/>
    </row>
    <row r="49" spans="1:18" x14ac:dyDescent="0.25">
      <c r="A49">
        <v>1976</v>
      </c>
      <c r="B49" t="s">
        <v>805</v>
      </c>
      <c r="C49" s="264"/>
      <c r="D49" s="157" t="s">
        <v>302</v>
      </c>
      <c r="E49" s="44">
        <f t="shared" si="0"/>
        <v>27941</v>
      </c>
      <c r="F49" s="127" t="str">
        <f t="shared" si="1"/>
        <v>Date check - OK</v>
      </c>
      <c r="G49" s="1"/>
      <c r="H49" s="161"/>
      <c r="I49" s="37"/>
      <c r="J49" s="135">
        <f t="shared" si="2"/>
        <v>0.78910283174369955</v>
      </c>
      <c r="K49" s="112"/>
      <c r="L49" s="37">
        <v>4</v>
      </c>
      <c r="M49" s="37" t="s">
        <v>509</v>
      </c>
      <c r="N49" s="37">
        <v>2663.6096828870777</v>
      </c>
      <c r="O49" s="130">
        <f t="shared" si="3"/>
        <v>10654.438731548311</v>
      </c>
      <c r="P49" s="132">
        <f t="shared" si="4"/>
        <v>8407.4477737045218</v>
      </c>
      <c r="Q49" s="262">
        <v>1</v>
      </c>
      <c r="R49" s="92"/>
    </row>
    <row r="50" spans="1:18" x14ac:dyDescent="0.25">
      <c r="A50">
        <v>1976</v>
      </c>
      <c r="B50" t="s">
        <v>805</v>
      </c>
      <c r="C50" s="264"/>
      <c r="D50" s="157" t="s">
        <v>302</v>
      </c>
      <c r="E50" s="44">
        <f t="shared" si="0"/>
        <v>27941</v>
      </c>
      <c r="F50" s="127" t="str">
        <f t="shared" si="1"/>
        <v>Date check - OK</v>
      </c>
      <c r="G50" s="1"/>
      <c r="H50" s="161"/>
      <c r="I50" s="37"/>
      <c r="J50" s="135">
        <f t="shared" si="2"/>
        <v>0.78910283174369955</v>
      </c>
      <c r="K50" s="112"/>
      <c r="L50" s="37">
        <v>1625</v>
      </c>
      <c r="M50" s="37" t="s">
        <v>509</v>
      </c>
      <c r="N50" s="37">
        <v>1861.1014379511059</v>
      </c>
      <c r="O50" s="130">
        <f t="shared" si="3"/>
        <v>3024289.8366705473</v>
      </c>
      <c r="P50" s="132">
        <f t="shared" si="4"/>
        <v>2386475.6741304193</v>
      </c>
      <c r="Q50" s="262">
        <v>1</v>
      </c>
      <c r="R50" s="92"/>
    </row>
    <row r="51" spans="1:18" x14ac:dyDescent="0.25">
      <c r="A51">
        <v>1976</v>
      </c>
      <c r="B51" t="s">
        <v>805</v>
      </c>
      <c r="C51" s="264"/>
      <c r="D51" s="157" t="s">
        <v>308</v>
      </c>
      <c r="E51" s="44">
        <f t="shared" si="0"/>
        <v>27941</v>
      </c>
      <c r="F51" s="127" t="str">
        <f t="shared" si="1"/>
        <v>Date check - OK</v>
      </c>
      <c r="G51" s="1"/>
      <c r="H51" s="161"/>
      <c r="I51" s="37"/>
      <c r="J51" s="135">
        <f t="shared" si="2"/>
        <v>0.78910283174369955</v>
      </c>
      <c r="K51" s="112"/>
      <c r="L51" s="37">
        <v>741</v>
      </c>
      <c r="M51" s="37" t="s">
        <v>509</v>
      </c>
      <c r="N51" s="37">
        <v>1074.9043362048894</v>
      </c>
      <c r="O51" s="130">
        <f t="shared" si="3"/>
        <v>796504.1131278231</v>
      </c>
      <c r="P51" s="132">
        <f t="shared" si="4"/>
        <v>628523.65116466919</v>
      </c>
      <c r="Q51" s="262">
        <v>1</v>
      </c>
      <c r="R51" s="92"/>
    </row>
    <row r="52" spans="1:18" x14ac:dyDescent="0.25">
      <c r="A52">
        <v>1976</v>
      </c>
      <c r="B52" t="s">
        <v>805</v>
      </c>
      <c r="C52" s="264"/>
      <c r="D52" s="157" t="s">
        <v>309</v>
      </c>
      <c r="E52" s="44">
        <f t="shared" si="0"/>
        <v>27941</v>
      </c>
      <c r="F52" s="127" t="str">
        <f t="shared" si="1"/>
        <v>Date check - OK</v>
      </c>
      <c r="G52" s="1"/>
      <c r="H52" s="161"/>
      <c r="I52" s="37"/>
      <c r="J52" s="135">
        <f t="shared" si="2"/>
        <v>0.78910283174369955</v>
      </c>
      <c r="K52" s="112"/>
      <c r="L52" s="37">
        <v>449</v>
      </c>
      <c r="M52" s="37" t="s">
        <v>509</v>
      </c>
      <c r="N52" s="37">
        <v>1074.9043362048894</v>
      </c>
      <c r="O52" s="130">
        <f t="shared" si="3"/>
        <v>482632.04695599538</v>
      </c>
      <c r="P52" s="132">
        <f t="shared" si="4"/>
        <v>380846.31494323415</v>
      </c>
      <c r="Q52" s="262">
        <v>1</v>
      </c>
      <c r="R52" s="92"/>
    </row>
    <row r="53" spans="1:18" x14ac:dyDescent="0.25">
      <c r="A53">
        <v>1976</v>
      </c>
      <c r="B53" t="s">
        <v>805</v>
      </c>
      <c r="C53" s="264"/>
      <c r="D53" s="157" t="s">
        <v>310</v>
      </c>
      <c r="E53" s="44">
        <f t="shared" si="0"/>
        <v>27941</v>
      </c>
      <c r="F53" s="127" t="str">
        <f t="shared" si="1"/>
        <v>Date check - OK</v>
      </c>
      <c r="G53" s="1"/>
      <c r="H53" s="161"/>
      <c r="I53" s="37"/>
      <c r="J53" s="135">
        <f t="shared" si="2"/>
        <v>0.78910283174369955</v>
      </c>
      <c r="K53" s="112"/>
      <c r="L53" s="37">
        <v>351</v>
      </c>
      <c r="M53" s="37" t="s">
        <v>509</v>
      </c>
      <c r="N53" s="37">
        <v>639.39681303841667</v>
      </c>
      <c r="O53" s="130">
        <f t="shared" si="3"/>
        <v>224428.28137648426</v>
      </c>
      <c r="P53" s="132">
        <f t="shared" si="4"/>
        <v>177096.99235755551</v>
      </c>
      <c r="Q53" s="262">
        <v>1</v>
      </c>
      <c r="R53" s="92"/>
    </row>
    <row r="54" spans="1:18" x14ac:dyDescent="0.25">
      <c r="A54">
        <v>1976</v>
      </c>
      <c r="B54" t="s">
        <v>805</v>
      </c>
      <c r="C54" s="264"/>
      <c r="D54" s="157" t="s">
        <v>309</v>
      </c>
      <c r="E54" s="44">
        <f t="shared" si="0"/>
        <v>27941</v>
      </c>
      <c r="F54" s="127" t="str">
        <f t="shared" si="1"/>
        <v>Date check - OK</v>
      </c>
      <c r="G54" s="1"/>
      <c r="H54" s="161"/>
      <c r="I54" s="37"/>
      <c r="J54" s="135">
        <f t="shared" si="2"/>
        <v>0.78910283174369955</v>
      </c>
      <c r="K54" s="112"/>
      <c r="L54" s="37">
        <v>398</v>
      </c>
      <c r="M54" s="37" t="s">
        <v>509</v>
      </c>
      <c r="N54" s="37">
        <v>639.39681303841667</v>
      </c>
      <c r="O54" s="130">
        <f t="shared" si="3"/>
        <v>254479.93158928983</v>
      </c>
      <c r="P54" s="132">
        <f t="shared" si="4"/>
        <v>200810.83463905155</v>
      </c>
      <c r="Q54" s="262">
        <v>1</v>
      </c>
      <c r="R54" s="92"/>
    </row>
    <row r="55" spans="1:18" x14ac:dyDescent="0.25">
      <c r="A55">
        <v>1976</v>
      </c>
      <c r="B55" t="s">
        <v>805</v>
      </c>
      <c r="C55" s="264"/>
      <c r="D55" s="157" t="s">
        <v>310</v>
      </c>
      <c r="E55" s="44">
        <f t="shared" si="0"/>
        <v>27941</v>
      </c>
      <c r="F55" s="127" t="str">
        <f t="shared" si="1"/>
        <v>Date check - OK</v>
      </c>
      <c r="G55" s="1"/>
      <c r="H55" s="161"/>
      <c r="I55" s="37"/>
      <c r="J55" s="135">
        <f t="shared" si="2"/>
        <v>0.78910283174369955</v>
      </c>
      <c r="K55" s="112"/>
      <c r="L55" s="37">
        <v>211</v>
      </c>
      <c r="M55" s="37" t="s">
        <v>509</v>
      </c>
      <c r="N55" s="37">
        <v>685.06801396973219</v>
      </c>
      <c r="O55" s="130">
        <f t="shared" si="3"/>
        <v>144549.35094761348</v>
      </c>
      <c r="P55" s="132">
        <f t="shared" si="4"/>
        <v>114064.30215947561</v>
      </c>
      <c r="Q55" s="262">
        <v>1</v>
      </c>
      <c r="R55" s="92"/>
    </row>
    <row r="56" spans="1:18" x14ac:dyDescent="0.25">
      <c r="A56">
        <v>1977</v>
      </c>
      <c r="B56" t="s">
        <v>805</v>
      </c>
      <c r="C56" s="264"/>
      <c r="D56" s="157" t="s">
        <v>311</v>
      </c>
      <c r="E56" s="44">
        <f t="shared" si="0"/>
        <v>28306</v>
      </c>
      <c r="F56" s="127" t="str">
        <f t="shared" si="1"/>
        <v>Date check - OK</v>
      </c>
      <c r="G56" s="1"/>
      <c r="H56" s="161"/>
      <c r="I56" s="37"/>
      <c r="J56" s="135">
        <f t="shared" si="2"/>
        <v>0.78910283174369955</v>
      </c>
      <c r="K56" s="112"/>
      <c r="L56" s="37">
        <v>61</v>
      </c>
      <c r="M56" s="37" t="s">
        <v>509</v>
      </c>
      <c r="N56" s="37">
        <v>1074.9043362048894</v>
      </c>
      <c r="O56" s="130">
        <f t="shared" si="3"/>
        <v>65569.164508498259</v>
      </c>
      <c r="P56" s="132">
        <f t="shared" si="4"/>
        <v>51740.813388724455</v>
      </c>
      <c r="Q56" s="262">
        <v>1</v>
      </c>
      <c r="R56" s="92"/>
    </row>
    <row r="57" spans="1:18" x14ac:dyDescent="0.25">
      <c r="A57">
        <v>1977</v>
      </c>
      <c r="B57" t="s">
        <v>805</v>
      </c>
      <c r="C57" s="264"/>
      <c r="D57" s="157" t="s">
        <v>311</v>
      </c>
      <c r="E57" s="44">
        <f t="shared" si="0"/>
        <v>28306</v>
      </c>
      <c r="F57" s="127" t="str">
        <f t="shared" si="1"/>
        <v>Date check - OK</v>
      </c>
      <c r="G57" s="1"/>
      <c r="H57" s="161"/>
      <c r="I57" s="37"/>
      <c r="J57" s="135">
        <f t="shared" si="2"/>
        <v>0.78910283174369955</v>
      </c>
      <c r="K57" s="112"/>
      <c r="L57" s="37">
        <v>235</v>
      </c>
      <c r="M57" s="37" t="s">
        <v>509</v>
      </c>
      <c r="N57" s="37">
        <v>639.39681303841667</v>
      </c>
      <c r="O57" s="130">
        <f t="shared" si="3"/>
        <v>150258.25106402792</v>
      </c>
      <c r="P57" s="132">
        <f t="shared" si="4"/>
        <v>118569.21140748019</v>
      </c>
      <c r="Q57" s="262">
        <v>1</v>
      </c>
      <c r="R57" s="92"/>
    </row>
    <row r="58" spans="1:18" x14ac:dyDescent="0.25">
      <c r="A58">
        <v>1977</v>
      </c>
      <c r="B58" t="s">
        <v>805</v>
      </c>
      <c r="C58" s="264"/>
      <c r="D58" s="157" t="s">
        <v>312</v>
      </c>
      <c r="E58" s="44">
        <f t="shared" si="0"/>
        <v>28306</v>
      </c>
      <c r="F58" s="127" t="str">
        <f t="shared" si="1"/>
        <v>Date check - OK</v>
      </c>
      <c r="G58" s="1"/>
      <c r="H58" s="161"/>
      <c r="I58" s="37"/>
      <c r="J58" s="135">
        <f t="shared" si="2"/>
        <v>0.78910283174369955</v>
      </c>
      <c r="K58" s="112"/>
      <c r="L58" s="37">
        <v>621</v>
      </c>
      <c r="M58" s="37" t="s">
        <v>509</v>
      </c>
      <c r="N58" s="37">
        <v>685.06801396973219</v>
      </c>
      <c r="O58" s="130">
        <f t="shared" si="3"/>
        <v>425427.23667520372</v>
      </c>
      <c r="P58" s="132">
        <f t="shared" si="4"/>
        <v>335705.83716130035</v>
      </c>
      <c r="Q58" s="262">
        <v>1</v>
      </c>
      <c r="R58" s="92"/>
    </row>
    <row r="59" spans="1:18" x14ac:dyDescent="0.25">
      <c r="A59">
        <v>1977</v>
      </c>
      <c r="B59" t="s">
        <v>805</v>
      </c>
      <c r="C59" s="264"/>
      <c r="D59" s="157" t="s">
        <v>311</v>
      </c>
      <c r="E59" s="44">
        <f t="shared" si="0"/>
        <v>28306</v>
      </c>
      <c r="F59" s="127" t="str">
        <f t="shared" si="1"/>
        <v>Date check - OK</v>
      </c>
      <c r="G59" s="1"/>
      <c r="H59" s="161"/>
      <c r="I59" s="37"/>
      <c r="J59" s="135">
        <f t="shared" si="2"/>
        <v>0.78910283174369955</v>
      </c>
      <c r="K59" s="112"/>
      <c r="L59" s="37">
        <v>144</v>
      </c>
      <c r="M59" s="37" t="s">
        <v>509</v>
      </c>
      <c r="N59" s="37">
        <v>685.06801396973219</v>
      </c>
      <c r="O59" s="130">
        <f t="shared" si="3"/>
        <v>98649.794011641439</v>
      </c>
      <c r="P59" s="132">
        <f t="shared" si="4"/>
        <v>77844.831805518916</v>
      </c>
      <c r="Q59" s="262">
        <v>1</v>
      </c>
      <c r="R59" s="92"/>
    </row>
    <row r="60" spans="1:18" x14ac:dyDescent="0.25">
      <c r="A60">
        <v>1977</v>
      </c>
      <c r="B60" t="s">
        <v>805</v>
      </c>
      <c r="C60" s="264"/>
      <c r="D60" s="157" t="s">
        <v>313</v>
      </c>
      <c r="E60" s="44">
        <f t="shared" si="0"/>
        <v>28306</v>
      </c>
      <c r="F60" s="127" t="str">
        <f t="shared" si="1"/>
        <v>Date check - OK</v>
      </c>
      <c r="G60" s="1"/>
      <c r="H60" s="161"/>
      <c r="I60" s="37"/>
      <c r="J60" s="135">
        <f t="shared" si="2"/>
        <v>0.78910283174369955</v>
      </c>
      <c r="K60" s="112"/>
      <c r="L60" s="37">
        <v>771</v>
      </c>
      <c r="M60" s="37" t="s">
        <v>509</v>
      </c>
      <c r="N60" s="37">
        <v>685.06801396973219</v>
      </c>
      <c r="O60" s="130">
        <f t="shared" si="3"/>
        <v>528187.43877066358</v>
      </c>
      <c r="P60" s="132">
        <f t="shared" si="4"/>
        <v>416794.20362538256</v>
      </c>
      <c r="Q60" s="262">
        <v>1</v>
      </c>
      <c r="R60" s="92"/>
    </row>
    <row r="61" spans="1:18" x14ac:dyDescent="0.25">
      <c r="A61">
        <v>1978</v>
      </c>
      <c r="B61" t="s">
        <v>805</v>
      </c>
      <c r="C61" s="264"/>
      <c r="D61" s="157" t="s">
        <v>314</v>
      </c>
      <c r="E61" s="44">
        <f t="shared" si="0"/>
        <v>28671</v>
      </c>
      <c r="F61" s="127" t="str">
        <f t="shared" si="1"/>
        <v>Date check - OK</v>
      </c>
      <c r="G61" s="1"/>
      <c r="H61" s="161"/>
      <c r="I61" s="37"/>
      <c r="J61" s="135">
        <f t="shared" si="2"/>
        <v>0.78910283174369955</v>
      </c>
      <c r="K61" s="112"/>
      <c r="L61" s="37">
        <v>1650</v>
      </c>
      <c r="M61" s="37" t="s">
        <v>509</v>
      </c>
      <c r="N61" s="37">
        <v>1306.5225694994178</v>
      </c>
      <c r="O61" s="130">
        <f t="shared" si="3"/>
        <v>2155762.2396740397</v>
      </c>
      <c r="P61" s="132">
        <f t="shared" si="4"/>
        <v>1701118.0878929247</v>
      </c>
      <c r="Q61" s="262">
        <v>1</v>
      </c>
      <c r="R61" s="92"/>
    </row>
    <row r="62" spans="1:18" x14ac:dyDescent="0.25">
      <c r="A62">
        <v>1978</v>
      </c>
      <c r="B62" t="s">
        <v>805</v>
      </c>
      <c r="C62" s="264"/>
      <c r="D62" s="157" t="s">
        <v>315</v>
      </c>
      <c r="E62" s="44">
        <f t="shared" si="0"/>
        <v>28671</v>
      </c>
      <c r="F62" s="127" t="str">
        <f t="shared" si="1"/>
        <v>Date check - OK</v>
      </c>
      <c r="G62" s="1"/>
      <c r="H62" s="161"/>
      <c r="I62" s="37"/>
      <c r="J62" s="135">
        <f t="shared" si="2"/>
        <v>0.78910283174369955</v>
      </c>
      <c r="K62" s="112"/>
      <c r="L62" s="37">
        <v>533</v>
      </c>
      <c r="M62" s="37" t="s">
        <v>509</v>
      </c>
      <c r="N62" s="37">
        <v>1306.5225694994178</v>
      </c>
      <c r="O62" s="130">
        <f t="shared" si="3"/>
        <v>696376.52954318968</v>
      </c>
      <c r="P62" s="132">
        <f t="shared" si="4"/>
        <v>549512.69142238097</v>
      </c>
      <c r="Q62" s="262">
        <v>1</v>
      </c>
      <c r="R62" s="92"/>
    </row>
    <row r="63" spans="1:18" x14ac:dyDescent="0.25">
      <c r="A63">
        <v>1978</v>
      </c>
      <c r="B63" t="s">
        <v>805</v>
      </c>
      <c r="C63" s="264"/>
      <c r="D63" s="157" t="s">
        <v>314</v>
      </c>
      <c r="E63" s="44">
        <f t="shared" si="0"/>
        <v>28671</v>
      </c>
      <c r="F63" s="127" t="str">
        <f t="shared" si="1"/>
        <v>Date check - OK</v>
      </c>
      <c r="G63" s="1"/>
      <c r="H63" s="161"/>
      <c r="I63" s="37"/>
      <c r="J63" s="135">
        <f t="shared" si="2"/>
        <v>0.78910283174369955</v>
      </c>
      <c r="K63" s="112"/>
      <c r="L63" s="37">
        <v>298</v>
      </c>
      <c r="M63" s="37" t="s">
        <v>509</v>
      </c>
      <c r="N63" s="37">
        <v>1074.9043362048894</v>
      </c>
      <c r="O63" s="130">
        <f t="shared" si="3"/>
        <v>320321.49218905705</v>
      </c>
      <c r="P63" s="132">
        <f t="shared" si="4"/>
        <v>252766.59655475226</v>
      </c>
      <c r="Q63" s="262">
        <v>1</v>
      </c>
      <c r="R63" s="92"/>
    </row>
    <row r="64" spans="1:18" x14ac:dyDescent="0.25">
      <c r="A64">
        <v>1978</v>
      </c>
      <c r="B64" t="s">
        <v>805</v>
      </c>
      <c r="C64" s="264"/>
      <c r="D64" s="157" t="s">
        <v>315</v>
      </c>
      <c r="E64" s="44">
        <f t="shared" si="0"/>
        <v>28671</v>
      </c>
      <c r="F64" s="127" t="str">
        <f t="shared" si="1"/>
        <v>Date check - OK</v>
      </c>
      <c r="G64" s="1"/>
      <c r="H64" s="161"/>
      <c r="I64" s="37"/>
      <c r="J64" s="135">
        <f t="shared" si="2"/>
        <v>0.78910283174369955</v>
      </c>
      <c r="K64" s="112"/>
      <c r="L64" s="37">
        <v>897</v>
      </c>
      <c r="M64" s="37" t="s">
        <v>509</v>
      </c>
      <c r="N64" s="37">
        <v>1074.9043362048894</v>
      </c>
      <c r="O64" s="130">
        <f t="shared" si="3"/>
        <v>964189.18957578577</v>
      </c>
      <c r="P64" s="132">
        <f t="shared" si="4"/>
        <v>760844.41983091529</v>
      </c>
      <c r="Q64" s="262">
        <v>1</v>
      </c>
      <c r="R64" s="92"/>
    </row>
    <row r="65" spans="1:18" x14ac:dyDescent="0.25">
      <c r="A65">
        <v>1978</v>
      </c>
      <c r="B65" t="s">
        <v>805</v>
      </c>
      <c r="C65" s="264"/>
      <c r="D65" s="157" t="s">
        <v>316</v>
      </c>
      <c r="E65" s="44">
        <f t="shared" si="0"/>
        <v>28671</v>
      </c>
      <c r="F65" s="127" t="str">
        <f t="shared" si="1"/>
        <v>Date check - OK</v>
      </c>
      <c r="G65" s="1"/>
      <c r="H65" s="161"/>
      <c r="I65" s="37"/>
      <c r="J65" s="135">
        <f t="shared" si="2"/>
        <v>0.78910283174369955</v>
      </c>
      <c r="K65" s="112"/>
      <c r="L65" s="37">
        <v>257</v>
      </c>
      <c r="M65" s="37" t="s">
        <v>509</v>
      </c>
      <c r="N65" s="37">
        <v>1074.9043362048894</v>
      </c>
      <c r="O65" s="130">
        <f t="shared" si="3"/>
        <v>276250.41440465656</v>
      </c>
      <c r="P65" s="132">
        <f t="shared" si="4"/>
        <v>217989.98427708499</v>
      </c>
      <c r="Q65" s="262">
        <v>1</v>
      </c>
      <c r="R65" s="92"/>
    </row>
    <row r="66" spans="1:18" x14ac:dyDescent="0.25">
      <c r="A66">
        <v>1978</v>
      </c>
      <c r="B66" t="s">
        <v>805</v>
      </c>
      <c r="C66" s="264"/>
      <c r="D66" s="157" t="s">
        <v>315</v>
      </c>
      <c r="E66" s="44">
        <f t="shared" si="0"/>
        <v>28671</v>
      </c>
      <c r="F66" s="127" t="str">
        <f t="shared" si="1"/>
        <v>Date check - OK</v>
      </c>
      <c r="G66" s="1"/>
      <c r="H66" s="161"/>
      <c r="I66" s="37"/>
      <c r="J66" s="135">
        <f t="shared" si="2"/>
        <v>0.78910283174369955</v>
      </c>
      <c r="K66" s="112"/>
      <c r="L66" s="37">
        <v>24</v>
      </c>
      <c r="M66" s="37" t="s">
        <v>509</v>
      </c>
      <c r="N66" s="37">
        <v>950.93964796274736</v>
      </c>
      <c r="O66" s="130">
        <f t="shared" si="3"/>
        <v>22822.551551105935</v>
      </c>
      <c r="P66" s="132">
        <f t="shared" si="4"/>
        <v>18009.340056594254</v>
      </c>
      <c r="Q66" s="262">
        <v>1</v>
      </c>
      <c r="R66" s="92"/>
    </row>
    <row r="67" spans="1:18" x14ac:dyDescent="0.25">
      <c r="A67">
        <v>1978</v>
      </c>
      <c r="B67" t="s">
        <v>805</v>
      </c>
      <c r="C67" s="264"/>
      <c r="D67" s="157" t="s">
        <v>315</v>
      </c>
      <c r="E67" s="44">
        <f t="shared" si="0"/>
        <v>28671</v>
      </c>
      <c r="F67" s="127" t="str">
        <f t="shared" si="1"/>
        <v>Date check - OK</v>
      </c>
      <c r="G67" s="1"/>
      <c r="H67" s="161"/>
      <c r="I67" s="37"/>
      <c r="J67" s="135">
        <f t="shared" si="2"/>
        <v>0.78910283174369955</v>
      </c>
      <c r="K67" s="112"/>
      <c r="L67" s="37">
        <v>572</v>
      </c>
      <c r="M67" s="37" t="s">
        <v>509</v>
      </c>
      <c r="N67" s="37">
        <v>639.39681303841667</v>
      </c>
      <c r="O67" s="130">
        <f t="shared" si="3"/>
        <v>365734.97705797432</v>
      </c>
      <c r="P67" s="132">
        <f t="shared" si="4"/>
        <v>288602.50606416451</v>
      </c>
      <c r="Q67" s="262">
        <v>1</v>
      </c>
      <c r="R67" s="92"/>
    </row>
    <row r="68" spans="1:18" x14ac:dyDescent="0.25">
      <c r="A68">
        <v>1978</v>
      </c>
      <c r="B68" t="s">
        <v>805</v>
      </c>
      <c r="C68" s="264"/>
      <c r="D68" s="157" t="s">
        <v>316</v>
      </c>
      <c r="E68" s="44">
        <f t="shared" si="0"/>
        <v>28671</v>
      </c>
      <c r="F68" s="127" t="str">
        <f t="shared" si="1"/>
        <v>Date check - OK</v>
      </c>
      <c r="G68" s="1"/>
      <c r="H68" s="161"/>
      <c r="I68" s="37"/>
      <c r="J68" s="135">
        <f t="shared" si="2"/>
        <v>0.78910283174369955</v>
      </c>
      <c r="K68" s="112"/>
      <c r="L68" s="37">
        <v>903</v>
      </c>
      <c r="M68" s="37" t="s">
        <v>509</v>
      </c>
      <c r="N68" s="37">
        <v>639.39681303841667</v>
      </c>
      <c r="O68" s="130">
        <f t="shared" si="3"/>
        <v>577375.32217369031</v>
      </c>
      <c r="P68" s="132">
        <f t="shared" si="4"/>
        <v>455608.50170618988</v>
      </c>
      <c r="Q68" s="262">
        <v>1</v>
      </c>
      <c r="R68" s="92"/>
    </row>
    <row r="69" spans="1:18" x14ac:dyDescent="0.25">
      <c r="A69">
        <v>1978</v>
      </c>
      <c r="B69" t="s">
        <v>805</v>
      </c>
      <c r="C69" s="264"/>
      <c r="D69" s="157" t="s">
        <v>317</v>
      </c>
      <c r="E69" s="44">
        <f t="shared" si="0"/>
        <v>28671</v>
      </c>
      <c r="F69" s="127" t="str">
        <f t="shared" si="1"/>
        <v>Date check - OK</v>
      </c>
      <c r="G69" s="1"/>
      <c r="H69" s="161"/>
      <c r="I69" s="37"/>
      <c r="J69" s="135">
        <f t="shared" si="2"/>
        <v>0.78910283174369955</v>
      </c>
      <c r="K69" s="112"/>
      <c r="L69" s="37">
        <v>558</v>
      </c>
      <c r="M69" s="37" t="s">
        <v>509</v>
      </c>
      <c r="N69" s="37">
        <v>685.06801396973219</v>
      </c>
      <c r="O69" s="130">
        <f t="shared" si="3"/>
        <v>382267.95179511054</v>
      </c>
      <c r="P69" s="132">
        <f t="shared" si="4"/>
        <v>301648.72324638575</v>
      </c>
      <c r="Q69" s="262">
        <v>1</v>
      </c>
      <c r="R69" s="92"/>
    </row>
    <row r="70" spans="1:18" x14ac:dyDescent="0.25">
      <c r="A70">
        <v>1978</v>
      </c>
      <c r="B70" t="s">
        <v>805</v>
      </c>
      <c r="C70" s="264"/>
      <c r="D70" s="157" t="s">
        <v>315</v>
      </c>
      <c r="E70" s="44">
        <f t="shared" si="0"/>
        <v>28671</v>
      </c>
      <c r="F70" s="127" t="str">
        <f t="shared" si="1"/>
        <v>Date check - OK</v>
      </c>
      <c r="G70" s="1"/>
      <c r="H70" s="161"/>
      <c r="I70" s="37"/>
      <c r="J70" s="135">
        <f t="shared" si="2"/>
        <v>0.78910283174369955</v>
      </c>
      <c r="K70" s="112"/>
      <c r="L70" s="37">
        <v>614</v>
      </c>
      <c r="M70" s="37" t="s">
        <v>509</v>
      </c>
      <c r="N70" s="37">
        <v>685.06801396973219</v>
      </c>
      <c r="O70" s="130">
        <f t="shared" si="3"/>
        <v>420631.76057741558</v>
      </c>
      <c r="P70" s="132">
        <f t="shared" si="4"/>
        <v>331921.7133929765</v>
      </c>
      <c r="Q70" s="262">
        <v>1</v>
      </c>
      <c r="R70" s="92"/>
    </row>
    <row r="71" spans="1:18" x14ac:dyDescent="0.25">
      <c r="A71">
        <v>1979</v>
      </c>
      <c r="B71" t="s">
        <v>805</v>
      </c>
      <c r="C71" s="264"/>
      <c r="D71" s="157" t="s">
        <v>308</v>
      </c>
      <c r="E71" s="44">
        <f t="shared" si="0"/>
        <v>29036</v>
      </c>
      <c r="F71" s="127" t="str">
        <f t="shared" si="1"/>
        <v>Date check - OK</v>
      </c>
      <c r="G71" s="1"/>
      <c r="H71" s="161"/>
      <c r="I71" s="37"/>
      <c r="J71" s="135">
        <f t="shared" si="2"/>
        <v>0.78910283174369955</v>
      </c>
      <c r="K71" s="112"/>
      <c r="L71" s="37">
        <v>998</v>
      </c>
      <c r="M71" s="37" t="s">
        <v>509</v>
      </c>
      <c r="N71" s="37">
        <v>950.93964796274736</v>
      </c>
      <c r="O71" s="130">
        <f t="shared" si="3"/>
        <v>949037.76866682188</v>
      </c>
      <c r="P71" s="132">
        <f t="shared" si="4"/>
        <v>748888.39068671118</v>
      </c>
      <c r="Q71" s="262">
        <v>1</v>
      </c>
      <c r="R71" s="92"/>
    </row>
    <row r="72" spans="1:18" x14ac:dyDescent="0.25">
      <c r="A72">
        <v>1979</v>
      </c>
      <c r="B72" t="s">
        <v>805</v>
      </c>
      <c r="C72" s="264"/>
      <c r="D72" s="157" t="s">
        <v>308</v>
      </c>
      <c r="E72" s="44">
        <f t="shared" si="0"/>
        <v>29036</v>
      </c>
      <c r="F72" s="127" t="str">
        <f t="shared" si="1"/>
        <v>Date check - OK</v>
      </c>
      <c r="G72" s="1"/>
      <c r="H72" s="161"/>
      <c r="I72" s="37"/>
      <c r="J72" s="135">
        <f t="shared" si="2"/>
        <v>0.78910283174369955</v>
      </c>
      <c r="K72" s="112"/>
      <c r="L72" s="37">
        <v>137</v>
      </c>
      <c r="M72" s="37" t="s">
        <v>509</v>
      </c>
      <c r="N72" s="37">
        <v>639.39681303841667</v>
      </c>
      <c r="O72" s="130">
        <f t="shared" si="3"/>
        <v>87597.363386263081</v>
      </c>
      <c r="P72" s="132">
        <f t="shared" si="4"/>
        <v>69123.327501382068</v>
      </c>
      <c r="Q72" s="262">
        <v>1</v>
      </c>
      <c r="R72" s="92"/>
    </row>
    <row r="73" spans="1:18" x14ac:dyDescent="0.25">
      <c r="A73">
        <v>1979</v>
      </c>
      <c r="B73" t="s">
        <v>805</v>
      </c>
      <c r="C73" s="264"/>
      <c r="D73" s="157" t="s">
        <v>308</v>
      </c>
      <c r="E73" s="44">
        <f t="shared" si="0"/>
        <v>29036</v>
      </c>
      <c r="F73" s="127" t="str">
        <f t="shared" si="1"/>
        <v>Date check - OK</v>
      </c>
      <c r="G73" s="1"/>
      <c r="H73" s="161"/>
      <c r="I73" s="37"/>
      <c r="J73" s="135">
        <f t="shared" si="2"/>
        <v>0.78910283174369955</v>
      </c>
      <c r="K73" s="112"/>
      <c r="L73" s="37">
        <v>158</v>
      </c>
      <c r="M73" s="37" t="s">
        <v>509</v>
      </c>
      <c r="N73" s="37">
        <v>685.06801396973219</v>
      </c>
      <c r="O73" s="130">
        <f t="shared" si="3"/>
        <v>108240.74620721769</v>
      </c>
      <c r="P73" s="132">
        <f t="shared" si="4"/>
        <v>85413.079342166588</v>
      </c>
      <c r="Q73" s="262">
        <v>1</v>
      </c>
      <c r="R73" s="92"/>
    </row>
    <row r="74" spans="1:18" x14ac:dyDescent="0.25">
      <c r="A74">
        <v>1980</v>
      </c>
      <c r="B74" t="s">
        <v>805</v>
      </c>
      <c r="C74" s="264"/>
      <c r="D74" s="157" t="s">
        <v>318</v>
      </c>
      <c r="E74" s="44">
        <f t="shared" si="0"/>
        <v>29402</v>
      </c>
      <c r="F74" s="127" t="str">
        <f t="shared" si="1"/>
        <v>Date check - OK</v>
      </c>
      <c r="G74" s="1"/>
      <c r="H74" s="161"/>
      <c r="I74" s="37"/>
      <c r="J74" s="135">
        <f t="shared" si="2"/>
        <v>0.78910283174369955</v>
      </c>
      <c r="K74" s="112"/>
      <c r="L74" s="37">
        <v>582</v>
      </c>
      <c r="M74" s="37" t="s">
        <v>509</v>
      </c>
      <c r="N74" s="37">
        <v>639.39681303841667</v>
      </c>
      <c r="O74" s="130">
        <f t="shared" si="3"/>
        <v>372128.94518835848</v>
      </c>
      <c r="P74" s="132">
        <f t="shared" si="4"/>
        <v>293648.00442192965</v>
      </c>
      <c r="Q74" s="262">
        <v>1</v>
      </c>
      <c r="R74" s="92"/>
    </row>
    <row r="75" spans="1:18" x14ac:dyDescent="0.25">
      <c r="A75">
        <v>1980</v>
      </c>
      <c r="B75" t="s">
        <v>805</v>
      </c>
      <c r="C75" s="264"/>
      <c r="D75" s="157" t="s">
        <v>319</v>
      </c>
      <c r="E75" s="44">
        <f t="shared" si="0"/>
        <v>29402</v>
      </c>
      <c r="F75" s="127" t="str">
        <f t="shared" si="1"/>
        <v>Date check - OK</v>
      </c>
      <c r="G75" s="1"/>
      <c r="H75" s="161"/>
      <c r="I75" s="37"/>
      <c r="J75" s="135">
        <f t="shared" si="2"/>
        <v>0.78910283174369955</v>
      </c>
      <c r="K75" s="112"/>
      <c r="L75" s="37">
        <v>559</v>
      </c>
      <c r="M75" s="37" t="s">
        <v>509</v>
      </c>
      <c r="N75" s="37">
        <v>639.39681303841667</v>
      </c>
      <c r="O75" s="130">
        <f t="shared" si="3"/>
        <v>357422.81848847494</v>
      </c>
      <c r="P75" s="132">
        <f t="shared" si="4"/>
        <v>282043.35819906992</v>
      </c>
      <c r="Q75" s="262">
        <v>1</v>
      </c>
      <c r="R75" s="92"/>
    </row>
    <row r="76" spans="1:18" x14ac:dyDescent="0.25">
      <c r="A76">
        <v>1980</v>
      </c>
      <c r="B76" t="s">
        <v>805</v>
      </c>
      <c r="C76" s="264"/>
      <c r="D76" s="157" t="s">
        <v>318</v>
      </c>
      <c r="E76" s="44">
        <f t="shared" si="0"/>
        <v>29402</v>
      </c>
      <c r="F76" s="127" t="str">
        <f t="shared" si="1"/>
        <v>Date check - OK</v>
      </c>
      <c r="G76" s="1"/>
      <c r="H76" s="161"/>
      <c r="I76" s="37"/>
      <c r="J76" s="135">
        <f t="shared" si="2"/>
        <v>0.78910283174369955</v>
      </c>
      <c r="K76" s="112"/>
      <c r="L76" s="37">
        <v>989</v>
      </c>
      <c r="M76" s="37" t="s">
        <v>509</v>
      </c>
      <c r="N76" s="37">
        <v>685.06801396973219</v>
      </c>
      <c r="O76" s="130">
        <f t="shared" si="3"/>
        <v>677532.26581606513</v>
      </c>
      <c r="P76" s="132">
        <f t="shared" si="4"/>
        <v>534642.62955318193</v>
      </c>
      <c r="Q76" s="262">
        <v>1</v>
      </c>
      <c r="R76" s="92"/>
    </row>
    <row r="77" spans="1:18" x14ac:dyDescent="0.25">
      <c r="A77">
        <v>1980</v>
      </c>
      <c r="B77" t="s">
        <v>805</v>
      </c>
      <c r="C77" s="264"/>
      <c r="D77" s="157" t="s">
        <v>319</v>
      </c>
      <c r="E77" s="44">
        <f t="shared" si="0"/>
        <v>29402</v>
      </c>
      <c r="F77" s="127" t="str">
        <f t="shared" si="1"/>
        <v>Date check - OK</v>
      </c>
      <c r="G77" s="1"/>
      <c r="H77" s="161"/>
      <c r="I77" s="37"/>
      <c r="J77" s="135">
        <f t="shared" si="2"/>
        <v>0.78910283174369955</v>
      </c>
      <c r="K77" s="112"/>
      <c r="L77" s="37">
        <v>459</v>
      </c>
      <c r="M77" s="37" t="s">
        <v>509</v>
      </c>
      <c r="N77" s="37">
        <v>685.06801396973219</v>
      </c>
      <c r="O77" s="130">
        <f t="shared" si="3"/>
        <v>314446.21841210709</v>
      </c>
      <c r="P77" s="132">
        <f t="shared" si="4"/>
        <v>248130.40138009153</v>
      </c>
      <c r="Q77" s="262">
        <v>1</v>
      </c>
      <c r="R77" s="92"/>
    </row>
    <row r="78" spans="1:18" x14ac:dyDescent="0.25">
      <c r="A78">
        <v>1982</v>
      </c>
      <c r="B78" t="s">
        <v>805</v>
      </c>
      <c r="C78" s="264"/>
      <c r="D78" s="157" t="s">
        <v>320</v>
      </c>
      <c r="E78" s="44">
        <f t="shared" si="0"/>
        <v>30132</v>
      </c>
      <c r="F78" s="127" t="str">
        <f t="shared" si="1"/>
        <v>Date check - OK</v>
      </c>
      <c r="G78" s="1"/>
      <c r="H78" s="161"/>
      <c r="I78" s="37"/>
      <c r="J78" s="135">
        <f t="shared" si="2"/>
        <v>0.78910283174369955</v>
      </c>
      <c r="K78" s="112"/>
      <c r="L78" s="37">
        <v>682</v>
      </c>
      <c r="M78" s="37" t="s">
        <v>509</v>
      </c>
      <c r="N78" s="37">
        <v>685.06801396973219</v>
      </c>
      <c r="O78" s="130">
        <f t="shared" si="3"/>
        <v>467216.38552735734</v>
      </c>
      <c r="P78" s="132">
        <f t="shared" si="4"/>
        <v>368681.77285669371</v>
      </c>
      <c r="Q78" s="262">
        <v>1</v>
      </c>
      <c r="R78" s="92"/>
    </row>
    <row r="79" spans="1:18" x14ac:dyDescent="0.25">
      <c r="A79">
        <v>1983</v>
      </c>
      <c r="B79" t="s">
        <v>805</v>
      </c>
      <c r="C79" s="264"/>
      <c r="D79" s="157" t="s">
        <v>321</v>
      </c>
      <c r="E79" s="44">
        <f t="shared" si="0"/>
        <v>30497</v>
      </c>
      <c r="F79" s="127" t="str">
        <f t="shared" si="1"/>
        <v>Date check - OK</v>
      </c>
      <c r="G79" s="1"/>
      <c r="H79" s="161"/>
      <c r="I79" s="37"/>
      <c r="J79" s="135">
        <f t="shared" si="2"/>
        <v>0.78910283174369955</v>
      </c>
      <c r="K79" s="112"/>
      <c r="L79" s="37">
        <v>1150</v>
      </c>
      <c r="M79" s="37" t="s">
        <v>509</v>
      </c>
      <c r="N79" s="37">
        <v>950.93964796274736</v>
      </c>
      <c r="O79" s="130">
        <f t="shared" si="3"/>
        <v>1093580.5951571595</v>
      </c>
      <c r="P79" s="132">
        <f t="shared" si="4"/>
        <v>862947.54437847482</v>
      </c>
      <c r="Q79" s="262">
        <v>1</v>
      </c>
      <c r="R79" s="92"/>
    </row>
    <row r="80" spans="1:18" x14ac:dyDescent="0.25">
      <c r="A80">
        <v>1983</v>
      </c>
      <c r="B80" t="s">
        <v>805</v>
      </c>
      <c r="C80" s="264"/>
      <c r="D80" s="157" t="s">
        <v>321</v>
      </c>
      <c r="E80" s="44">
        <f t="shared" si="0"/>
        <v>30497</v>
      </c>
      <c r="F80" s="127" t="str">
        <f t="shared" si="1"/>
        <v>Date check - OK</v>
      </c>
      <c r="G80" s="1"/>
      <c r="H80" s="161"/>
      <c r="I80" s="37"/>
      <c r="J80" s="135">
        <f t="shared" si="2"/>
        <v>0.78910283174369955</v>
      </c>
      <c r="K80" s="112"/>
      <c r="L80" s="37">
        <v>450</v>
      </c>
      <c r="M80" s="37" t="s">
        <v>509</v>
      </c>
      <c r="N80" s="37">
        <v>639.39681303841667</v>
      </c>
      <c r="O80" s="130">
        <f t="shared" si="3"/>
        <v>287728.56586728751</v>
      </c>
      <c r="P80" s="132">
        <f t="shared" si="4"/>
        <v>227047.42609943016</v>
      </c>
      <c r="Q80" s="262">
        <v>1</v>
      </c>
      <c r="R80" s="92"/>
    </row>
    <row r="81" spans="1:18" x14ac:dyDescent="0.25">
      <c r="A81">
        <v>1983</v>
      </c>
      <c r="B81" t="s">
        <v>805</v>
      </c>
      <c r="C81" s="264"/>
      <c r="D81" s="157" t="s">
        <v>321</v>
      </c>
      <c r="E81" s="44">
        <f t="shared" si="0"/>
        <v>30497</v>
      </c>
      <c r="F81" s="127" t="str">
        <f t="shared" si="1"/>
        <v>Date check - OK</v>
      </c>
      <c r="G81" s="1"/>
      <c r="H81" s="161"/>
      <c r="I81" s="37"/>
      <c r="J81" s="135">
        <f t="shared" si="2"/>
        <v>0.78910283174369955</v>
      </c>
      <c r="K81" s="112"/>
      <c r="L81" s="37">
        <v>170</v>
      </c>
      <c r="M81" s="37" t="s">
        <v>509</v>
      </c>
      <c r="N81" s="37">
        <v>685.06801396973219</v>
      </c>
      <c r="O81" s="130">
        <f t="shared" si="3"/>
        <v>116461.56237485447</v>
      </c>
      <c r="P81" s="132">
        <f t="shared" si="4"/>
        <v>91900.148659293161</v>
      </c>
      <c r="Q81" s="262">
        <v>1</v>
      </c>
      <c r="R81" s="92"/>
    </row>
    <row r="82" spans="1:18" x14ac:dyDescent="0.25">
      <c r="A82">
        <v>1984</v>
      </c>
      <c r="B82" t="s">
        <v>805</v>
      </c>
      <c r="C82" s="264"/>
      <c r="D82" s="157" t="s">
        <v>322</v>
      </c>
      <c r="E82" s="44">
        <f t="shared" si="0"/>
        <v>30863</v>
      </c>
      <c r="F82" s="127" t="str">
        <f t="shared" si="1"/>
        <v>Date check - OK</v>
      </c>
      <c r="G82" s="1"/>
      <c r="H82" s="161"/>
      <c r="I82" s="37"/>
      <c r="J82" s="135">
        <f t="shared" si="2"/>
        <v>0.78910283174369955</v>
      </c>
      <c r="K82" s="112"/>
      <c r="L82" s="37">
        <v>9</v>
      </c>
      <c r="M82" s="37" t="s">
        <v>509</v>
      </c>
      <c r="N82" s="37">
        <v>1861.1014379511059</v>
      </c>
      <c r="O82" s="130">
        <f t="shared" si="3"/>
        <v>16749.912941559953</v>
      </c>
      <c r="P82" s="132">
        <f t="shared" si="4"/>
        <v>13217.403733645398</v>
      </c>
      <c r="Q82" s="262">
        <v>1</v>
      </c>
      <c r="R82" s="92"/>
    </row>
    <row r="83" spans="1:18" x14ac:dyDescent="0.25">
      <c r="A83">
        <v>1984</v>
      </c>
      <c r="B83" t="s">
        <v>805</v>
      </c>
      <c r="C83" s="264"/>
      <c r="D83" s="157" t="s">
        <v>323</v>
      </c>
      <c r="E83" s="44">
        <f t="shared" si="0"/>
        <v>30863</v>
      </c>
      <c r="F83" s="127" t="str">
        <f t="shared" si="1"/>
        <v>Date check - OK</v>
      </c>
      <c r="G83" s="1"/>
      <c r="H83" s="161"/>
      <c r="I83" s="37"/>
      <c r="J83" s="135">
        <f t="shared" si="2"/>
        <v>0.78910283174369955</v>
      </c>
      <c r="K83" s="112"/>
      <c r="L83" s="37">
        <v>232</v>
      </c>
      <c r="M83" s="37" t="s">
        <v>509</v>
      </c>
      <c r="N83" s="37">
        <v>1861.1014379511059</v>
      </c>
      <c r="O83" s="130">
        <f t="shared" si="3"/>
        <v>431775.53360465658</v>
      </c>
      <c r="P83" s="132">
        <f t="shared" si="4"/>
        <v>340715.29624508141</v>
      </c>
      <c r="Q83" s="262">
        <v>1</v>
      </c>
      <c r="R83" s="92"/>
    </row>
    <row r="84" spans="1:18" x14ac:dyDescent="0.25">
      <c r="A84">
        <v>1984</v>
      </c>
      <c r="B84" t="s">
        <v>805</v>
      </c>
      <c r="C84" s="264"/>
      <c r="D84" s="157" t="s">
        <v>322</v>
      </c>
      <c r="E84" s="44">
        <f t="shared" si="0"/>
        <v>30863</v>
      </c>
      <c r="F84" s="127" t="str">
        <f t="shared" si="1"/>
        <v>Date check - OK</v>
      </c>
      <c r="G84" s="1"/>
      <c r="H84" s="161"/>
      <c r="I84" s="37"/>
      <c r="J84" s="135">
        <f t="shared" si="2"/>
        <v>0.78910283174369955</v>
      </c>
      <c r="K84" s="112"/>
      <c r="L84" s="37">
        <v>495</v>
      </c>
      <c r="M84" s="37" t="s">
        <v>509</v>
      </c>
      <c r="N84" s="37">
        <v>1074.9043362048894</v>
      </c>
      <c r="O84" s="130">
        <f t="shared" si="3"/>
        <v>532077.64642142027</v>
      </c>
      <c r="P84" s="132">
        <f t="shared" si="4"/>
        <v>419863.97749866568</v>
      </c>
      <c r="Q84" s="262">
        <v>1</v>
      </c>
      <c r="R84" s="92"/>
    </row>
    <row r="85" spans="1:18" x14ac:dyDescent="0.25">
      <c r="A85">
        <v>1984</v>
      </c>
      <c r="B85" t="s">
        <v>805</v>
      </c>
      <c r="C85" s="264"/>
      <c r="D85" s="157" t="s">
        <v>323</v>
      </c>
      <c r="E85" s="44">
        <f t="shared" si="0"/>
        <v>30863</v>
      </c>
      <c r="F85" s="127" t="str">
        <f t="shared" si="1"/>
        <v>Date check - OK</v>
      </c>
      <c r="G85" s="1"/>
      <c r="H85" s="161"/>
      <c r="I85" s="37"/>
      <c r="J85" s="135">
        <f t="shared" si="2"/>
        <v>0.78910283174369955</v>
      </c>
      <c r="K85" s="112"/>
      <c r="L85" s="37">
        <v>111</v>
      </c>
      <c r="M85" s="37" t="s">
        <v>509</v>
      </c>
      <c r="N85" s="37">
        <v>1074.9043362048894</v>
      </c>
      <c r="O85" s="130">
        <f t="shared" si="3"/>
        <v>119314.38131874273</v>
      </c>
      <c r="P85" s="132">
        <f t="shared" si="4"/>
        <v>94151.316166367455</v>
      </c>
      <c r="Q85" s="262">
        <v>1</v>
      </c>
      <c r="R85" s="92"/>
    </row>
    <row r="86" spans="1:18" x14ac:dyDescent="0.25">
      <c r="A86">
        <v>1984</v>
      </c>
      <c r="B86" t="s">
        <v>805</v>
      </c>
      <c r="C86" s="264"/>
      <c r="D86" s="157" t="s">
        <v>322</v>
      </c>
      <c r="E86" s="44">
        <f t="shared" si="0"/>
        <v>30863</v>
      </c>
      <c r="F86" s="127" t="str">
        <f t="shared" si="1"/>
        <v>Date check - OK</v>
      </c>
      <c r="G86" s="1"/>
      <c r="H86" s="161"/>
      <c r="I86" s="37"/>
      <c r="J86" s="135">
        <f t="shared" si="2"/>
        <v>0.78910283174369955</v>
      </c>
      <c r="K86" s="112"/>
      <c r="L86" s="37">
        <v>454</v>
      </c>
      <c r="M86" s="37" t="s">
        <v>509</v>
      </c>
      <c r="N86" s="37">
        <v>950.93964796274736</v>
      </c>
      <c r="O86" s="130">
        <f t="shared" si="3"/>
        <v>431726.60017508728</v>
      </c>
      <c r="P86" s="132">
        <f t="shared" si="4"/>
        <v>340676.68273724132</v>
      </c>
      <c r="Q86" s="262">
        <v>1</v>
      </c>
      <c r="R86" s="92"/>
    </row>
    <row r="87" spans="1:18" x14ac:dyDescent="0.25">
      <c r="A87">
        <v>1984</v>
      </c>
      <c r="B87" t="s">
        <v>805</v>
      </c>
      <c r="C87" s="264"/>
      <c r="D87" s="157" t="s">
        <v>323</v>
      </c>
      <c r="E87" s="44">
        <f t="shared" si="0"/>
        <v>30863</v>
      </c>
      <c r="F87" s="127" t="str">
        <f t="shared" si="1"/>
        <v>Date check - OK</v>
      </c>
      <c r="G87" s="1"/>
      <c r="H87" s="161"/>
      <c r="I87" s="37"/>
      <c r="J87" s="135">
        <f t="shared" si="2"/>
        <v>0.78910283174369955</v>
      </c>
      <c r="K87" s="112"/>
      <c r="L87" s="37">
        <v>116</v>
      </c>
      <c r="M87" s="37" t="s">
        <v>509</v>
      </c>
      <c r="N87" s="37">
        <v>950.93964796274736</v>
      </c>
      <c r="O87" s="130">
        <f t="shared" si="3"/>
        <v>110308.99916367869</v>
      </c>
      <c r="P87" s="132">
        <f t="shared" si="4"/>
        <v>87045.14360687224</v>
      </c>
      <c r="Q87" s="262">
        <v>1</v>
      </c>
      <c r="R87" s="92"/>
    </row>
    <row r="88" spans="1:18" x14ac:dyDescent="0.25">
      <c r="A88">
        <v>1984</v>
      </c>
      <c r="B88" t="s">
        <v>805</v>
      </c>
      <c r="C88" s="264"/>
      <c r="D88" s="157" t="s">
        <v>322</v>
      </c>
      <c r="E88" s="44">
        <f t="shared" ref="E88:E125" si="5">DATEVALUE("30 Jun "&amp;A88)</f>
        <v>30863</v>
      </c>
      <c r="F88" s="127" t="str">
        <f t="shared" ref="F88:F151" si="6">IF(E88="","-",IF(OR(E88&lt;$E$15,E88&gt;$E$16),"ERROR - date outside of range","Date check - OK"))</f>
        <v>Date check - OK</v>
      </c>
      <c r="G88" s="1"/>
      <c r="H88" s="161"/>
      <c r="I88" s="37"/>
      <c r="J88" s="135">
        <f t="shared" ref="J88:J151" si="7">J87</f>
        <v>0.78910283174369955</v>
      </c>
      <c r="K88" s="112"/>
      <c r="L88" s="37">
        <v>354</v>
      </c>
      <c r="M88" s="37" t="s">
        <v>509</v>
      </c>
      <c r="N88" s="37">
        <v>639.39681303841667</v>
      </c>
      <c r="O88" s="130">
        <f t="shared" ref="O88:O125" si="8">IF(N88="","-",L88*N88)</f>
        <v>226346.47181559951</v>
      </c>
      <c r="P88" s="132">
        <f t="shared" ref="P88:P125" si="9">IF(O88="-","-",IF(OR(E88&lt;$E$15,E88&gt;$E$16),0,O88*J88))*Q88</f>
        <v>178610.64186488505</v>
      </c>
      <c r="Q88" s="262">
        <v>1</v>
      </c>
      <c r="R88" s="92"/>
    </row>
    <row r="89" spans="1:18" x14ac:dyDescent="0.25">
      <c r="A89">
        <v>1984</v>
      </c>
      <c r="B89" t="s">
        <v>805</v>
      </c>
      <c r="C89" s="264"/>
      <c r="D89" s="157" t="s">
        <v>323</v>
      </c>
      <c r="E89" s="44">
        <f t="shared" si="5"/>
        <v>30863</v>
      </c>
      <c r="F89" s="127" t="str">
        <f t="shared" si="6"/>
        <v>Date check - OK</v>
      </c>
      <c r="G89" s="1"/>
      <c r="H89" s="161"/>
      <c r="I89" s="37"/>
      <c r="J89" s="135">
        <f t="shared" si="7"/>
        <v>0.78910283174369955</v>
      </c>
      <c r="K89" s="112"/>
      <c r="L89" s="37">
        <v>891</v>
      </c>
      <c r="M89" s="37" t="s">
        <v>509</v>
      </c>
      <c r="N89" s="37">
        <v>639.39681303841667</v>
      </c>
      <c r="O89" s="130">
        <f t="shared" si="8"/>
        <v>569702.56041722919</v>
      </c>
      <c r="P89" s="132">
        <f t="shared" si="9"/>
        <v>449553.90367687162</v>
      </c>
      <c r="Q89" s="262">
        <v>1</v>
      </c>
      <c r="R89" s="92"/>
    </row>
    <row r="90" spans="1:18" x14ac:dyDescent="0.25">
      <c r="A90">
        <v>1984</v>
      </c>
      <c r="B90" t="s">
        <v>805</v>
      </c>
      <c r="C90" s="264"/>
      <c r="D90" s="157" t="s">
        <v>322</v>
      </c>
      <c r="E90" s="44">
        <f t="shared" si="5"/>
        <v>30863</v>
      </c>
      <c r="F90" s="127" t="str">
        <f t="shared" si="6"/>
        <v>Date check - OK</v>
      </c>
      <c r="G90" s="1"/>
      <c r="H90" s="161"/>
      <c r="I90" s="37"/>
      <c r="J90" s="135">
        <f t="shared" si="7"/>
        <v>0.78910283174369955</v>
      </c>
      <c r="K90" s="112"/>
      <c r="L90" s="37">
        <v>624</v>
      </c>
      <c r="M90" s="37" t="s">
        <v>509</v>
      </c>
      <c r="N90" s="37">
        <v>685.06801396973219</v>
      </c>
      <c r="O90" s="130">
        <f t="shared" si="8"/>
        <v>427482.44071711291</v>
      </c>
      <c r="P90" s="132">
        <f t="shared" si="9"/>
        <v>337327.60449058196</v>
      </c>
      <c r="Q90" s="262">
        <v>1</v>
      </c>
      <c r="R90" s="92"/>
    </row>
    <row r="91" spans="1:18" x14ac:dyDescent="0.25">
      <c r="A91">
        <v>1984</v>
      </c>
      <c r="B91" t="s">
        <v>805</v>
      </c>
      <c r="C91" s="264"/>
      <c r="D91" s="157" t="s">
        <v>324</v>
      </c>
      <c r="E91" s="44">
        <f t="shared" si="5"/>
        <v>30863</v>
      </c>
      <c r="F91" s="127" t="str">
        <f t="shared" si="6"/>
        <v>Date check - OK</v>
      </c>
      <c r="G91" s="1"/>
      <c r="H91" s="161"/>
      <c r="I91" s="37"/>
      <c r="J91" s="135">
        <f t="shared" si="7"/>
        <v>0.78910283174369955</v>
      </c>
      <c r="K91" s="112"/>
      <c r="L91" s="37">
        <v>342</v>
      </c>
      <c r="M91" s="37" t="s">
        <v>509</v>
      </c>
      <c r="N91" s="37">
        <v>685.06801396973219</v>
      </c>
      <c r="O91" s="130">
        <f t="shared" si="8"/>
        <v>234293.26077764842</v>
      </c>
      <c r="P91" s="132">
        <f t="shared" si="9"/>
        <v>184881.47553810742</v>
      </c>
      <c r="Q91" s="262">
        <v>1</v>
      </c>
      <c r="R91" s="92"/>
    </row>
    <row r="92" spans="1:18" x14ac:dyDescent="0.25">
      <c r="A92">
        <v>1984</v>
      </c>
      <c r="B92" t="s">
        <v>805</v>
      </c>
      <c r="C92" s="264"/>
      <c r="D92" s="157" t="s">
        <v>323</v>
      </c>
      <c r="E92" s="44">
        <f t="shared" si="5"/>
        <v>30863</v>
      </c>
      <c r="F92" s="127" t="str">
        <f t="shared" si="6"/>
        <v>Date check - OK</v>
      </c>
      <c r="G92" s="1"/>
      <c r="H92" s="161"/>
      <c r="I92" s="37"/>
      <c r="J92" s="135">
        <f t="shared" si="7"/>
        <v>0.78910283174369955</v>
      </c>
      <c r="K92" s="112"/>
      <c r="L92" s="37">
        <v>457</v>
      </c>
      <c r="M92" s="37" t="s">
        <v>509</v>
      </c>
      <c r="N92" s="37">
        <v>685.06801396973219</v>
      </c>
      <c r="O92" s="130">
        <f t="shared" si="8"/>
        <v>313076.08238416759</v>
      </c>
      <c r="P92" s="132">
        <f t="shared" si="9"/>
        <v>247049.22316057043</v>
      </c>
      <c r="Q92" s="262">
        <v>1</v>
      </c>
      <c r="R92" s="92"/>
    </row>
    <row r="93" spans="1:18" x14ac:dyDescent="0.25">
      <c r="A93">
        <v>1984</v>
      </c>
      <c r="B93" t="s">
        <v>805</v>
      </c>
      <c r="C93" s="264"/>
      <c r="D93" s="157" t="s">
        <v>325</v>
      </c>
      <c r="E93" s="44">
        <f t="shared" si="5"/>
        <v>30863</v>
      </c>
      <c r="F93" s="127" t="str">
        <f t="shared" si="6"/>
        <v>Date check - OK</v>
      </c>
      <c r="G93" s="1"/>
      <c r="H93" s="161"/>
      <c r="I93" s="37"/>
      <c r="J93" s="135">
        <f t="shared" si="7"/>
        <v>0.78910283174369955</v>
      </c>
      <c r="K93" s="112"/>
      <c r="L93" s="37">
        <v>463</v>
      </c>
      <c r="M93" s="37" t="s">
        <v>509</v>
      </c>
      <c r="N93" s="37">
        <v>685.06801396973219</v>
      </c>
      <c r="O93" s="130">
        <f t="shared" si="8"/>
        <v>317186.49046798603</v>
      </c>
      <c r="P93" s="132">
        <f t="shared" si="9"/>
        <v>250292.75781913375</v>
      </c>
      <c r="Q93" s="262">
        <v>1</v>
      </c>
      <c r="R93" s="92"/>
    </row>
    <row r="94" spans="1:18" x14ac:dyDescent="0.25">
      <c r="A94">
        <v>1984</v>
      </c>
      <c r="B94" t="s">
        <v>805</v>
      </c>
      <c r="C94" s="264"/>
      <c r="D94" s="157" t="s">
        <v>326</v>
      </c>
      <c r="E94" s="44">
        <f t="shared" si="5"/>
        <v>30863</v>
      </c>
      <c r="F94" s="127" t="str">
        <f t="shared" si="6"/>
        <v>Date check - OK</v>
      </c>
      <c r="G94" s="1"/>
      <c r="H94" s="161"/>
      <c r="I94" s="37"/>
      <c r="J94" s="135">
        <f t="shared" si="7"/>
        <v>0.78910283174369955</v>
      </c>
      <c r="K94" s="112"/>
      <c r="L94" s="37">
        <v>494</v>
      </c>
      <c r="M94" s="37" t="s">
        <v>509</v>
      </c>
      <c r="N94" s="37">
        <v>685.06801396973219</v>
      </c>
      <c r="O94" s="130">
        <f t="shared" si="8"/>
        <v>338423.59890104772</v>
      </c>
      <c r="P94" s="132">
        <f t="shared" si="9"/>
        <v>267051.02022171073</v>
      </c>
      <c r="Q94" s="262">
        <v>1</v>
      </c>
      <c r="R94" s="92"/>
    </row>
    <row r="95" spans="1:18" x14ac:dyDescent="0.25">
      <c r="A95">
        <v>1986</v>
      </c>
      <c r="B95" t="s">
        <v>805</v>
      </c>
      <c r="C95" s="264"/>
      <c r="D95" s="157" t="s">
        <v>327</v>
      </c>
      <c r="E95" s="44">
        <f t="shared" si="5"/>
        <v>31593</v>
      </c>
      <c r="F95" s="127" t="str">
        <f t="shared" si="6"/>
        <v>Date check - OK</v>
      </c>
      <c r="G95" s="1"/>
      <c r="H95" s="161"/>
      <c r="I95" s="37"/>
      <c r="J95" s="135">
        <f t="shared" si="7"/>
        <v>0.78910283174369955</v>
      </c>
      <c r="K95" s="112"/>
      <c r="L95" s="37">
        <v>14</v>
      </c>
      <c r="M95" s="37" t="s">
        <v>509</v>
      </c>
      <c r="N95" s="37">
        <v>1456.5850868451687</v>
      </c>
      <c r="O95" s="130">
        <f t="shared" si="8"/>
        <v>20392.191215832361</v>
      </c>
      <c r="P95" s="132">
        <f t="shared" si="9"/>
        <v>16091.535833872311</v>
      </c>
      <c r="Q95" s="262">
        <v>1</v>
      </c>
      <c r="R95" s="92"/>
    </row>
    <row r="96" spans="1:18" x14ac:dyDescent="0.25">
      <c r="A96">
        <v>1986</v>
      </c>
      <c r="B96" t="s">
        <v>805</v>
      </c>
      <c r="C96" s="264"/>
      <c r="D96" s="157" t="s">
        <v>327</v>
      </c>
      <c r="E96" s="44">
        <f t="shared" si="5"/>
        <v>31593</v>
      </c>
      <c r="F96" s="127" t="str">
        <f t="shared" si="6"/>
        <v>Date check - OK</v>
      </c>
      <c r="G96" s="1"/>
      <c r="H96" s="161"/>
      <c r="I96" s="37"/>
      <c r="J96" s="135">
        <f t="shared" si="7"/>
        <v>0.78910283174369955</v>
      </c>
      <c r="K96" s="112"/>
      <c r="L96" s="37">
        <v>1851</v>
      </c>
      <c r="M96" s="37" t="s">
        <v>509</v>
      </c>
      <c r="N96" s="37">
        <v>950.93964796274736</v>
      </c>
      <c r="O96" s="130">
        <f t="shared" si="8"/>
        <v>1760189.2883790454</v>
      </c>
      <c r="P96" s="132">
        <f t="shared" si="9"/>
        <v>1388970.3518648322</v>
      </c>
      <c r="Q96" s="262">
        <v>1</v>
      </c>
      <c r="R96" s="92"/>
    </row>
    <row r="97" spans="1:18" x14ac:dyDescent="0.25">
      <c r="A97">
        <v>1986</v>
      </c>
      <c r="B97" t="s">
        <v>805</v>
      </c>
      <c r="C97" s="264"/>
      <c r="D97" s="157" t="s">
        <v>327</v>
      </c>
      <c r="E97" s="44">
        <f t="shared" si="5"/>
        <v>31593</v>
      </c>
      <c r="F97" s="127" t="str">
        <f t="shared" si="6"/>
        <v>Date check - OK</v>
      </c>
      <c r="G97" s="1"/>
      <c r="H97" s="161"/>
      <c r="I97" s="37"/>
      <c r="J97" s="135">
        <f t="shared" si="7"/>
        <v>0.78910283174369955</v>
      </c>
      <c r="K97" s="112"/>
      <c r="L97" s="37">
        <v>633</v>
      </c>
      <c r="M97" s="37" t="s">
        <v>509</v>
      </c>
      <c r="N97" s="37">
        <v>639.39681303841667</v>
      </c>
      <c r="O97" s="130">
        <f t="shared" si="8"/>
        <v>404738.18265331775</v>
      </c>
      <c r="P97" s="132">
        <f t="shared" si="9"/>
        <v>319380.04604653176</v>
      </c>
      <c r="Q97" s="262">
        <v>1</v>
      </c>
      <c r="R97" s="92"/>
    </row>
    <row r="98" spans="1:18" x14ac:dyDescent="0.25">
      <c r="A98">
        <v>1986</v>
      </c>
      <c r="B98" t="s">
        <v>805</v>
      </c>
      <c r="C98" s="264"/>
      <c r="D98" s="157" t="s">
        <v>327</v>
      </c>
      <c r="E98" s="44">
        <f t="shared" si="5"/>
        <v>31593</v>
      </c>
      <c r="F98" s="127" t="str">
        <f t="shared" si="6"/>
        <v>Date check - OK</v>
      </c>
      <c r="G98" s="1"/>
      <c r="H98" s="161"/>
      <c r="I98" s="37"/>
      <c r="J98" s="135">
        <f t="shared" si="7"/>
        <v>0.78910283174369955</v>
      </c>
      <c r="K98" s="112"/>
      <c r="L98" s="37">
        <v>952</v>
      </c>
      <c r="M98" s="37" t="s">
        <v>509</v>
      </c>
      <c r="N98" s="37">
        <v>685.06801396973219</v>
      </c>
      <c r="O98" s="130">
        <f t="shared" si="8"/>
        <v>652184.749299185</v>
      </c>
      <c r="P98" s="132">
        <f t="shared" si="9"/>
        <v>514640.83249204163</v>
      </c>
      <c r="Q98" s="262">
        <v>1</v>
      </c>
      <c r="R98" s="92"/>
    </row>
    <row r="99" spans="1:18" x14ac:dyDescent="0.25">
      <c r="A99">
        <v>1987</v>
      </c>
      <c r="B99" t="s">
        <v>805</v>
      </c>
      <c r="C99" s="264"/>
      <c r="D99" s="157" t="s">
        <v>328</v>
      </c>
      <c r="E99" s="44">
        <f t="shared" si="5"/>
        <v>31958</v>
      </c>
      <c r="F99" s="127" t="str">
        <f t="shared" si="6"/>
        <v>Date check - OK</v>
      </c>
      <c r="G99" s="1"/>
      <c r="H99" s="161"/>
      <c r="I99" s="37"/>
      <c r="J99" s="135">
        <f t="shared" si="7"/>
        <v>0.78910283174369955</v>
      </c>
      <c r="K99" s="112"/>
      <c r="L99" s="37">
        <v>348</v>
      </c>
      <c r="M99" s="37" t="s">
        <v>509</v>
      </c>
      <c r="N99" s="37">
        <v>7077.4050300349245</v>
      </c>
      <c r="O99" s="130">
        <f t="shared" si="8"/>
        <v>2462936.9504521536</v>
      </c>
      <c r="P99" s="132">
        <f t="shared" si="9"/>
        <v>1943510.5220079862</v>
      </c>
      <c r="Q99" s="262">
        <v>1</v>
      </c>
      <c r="R99" s="92"/>
    </row>
    <row r="100" spans="1:18" x14ac:dyDescent="0.25">
      <c r="A100">
        <v>1987</v>
      </c>
      <c r="B100" t="s">
        <v>805</v>
      </c>
      <c r="C100" s="264"/>
      <c r="D100" s="157" t="s">
        <v>328</v>
      </c>
      <c r="E100" s="44">
        <f t="shared" si="5"/>
        <v>31958</v>
      </c>
      <c r="F100" s="127" t="str">
        <f t="shared" si="6"/>
        <v>Date check - OK</v>
      </c>
      <c r="G100" s="1"/>
      <c r="H100" s="161"/>
      <c r="I100" s="37"/>
      <c r="J100" s="135">
        <f t="shared" si="7"/>
        <v>0.78910283174369955</v>
      </c>
      <c r="K100" s="112"/>
      <c r="L100" s="37">
        <v>17</v>
      </c>
      <c r="M100" s="37" t="s">
        <v>509</v>
      </c>
      <c r="N100" s="37">
        <v>3415.5533839348077</v>
      </c>
      <c r="O100" s="130">
        <f t="shared" si="8"/>
        <v>58064.40752689173</v>
      </c>
      <c r="P100" s="132">
        <f t="shared" si="9"/>
        <v>45818.788402990445</v>
      </c>
      <c r="Q100" s="262">
        <v>1</v>
      </c>
      <c r="R100" s="92"/>
    </row>
    <row r="101" spans="1:18" x14ac:dyDescent="0.25">
      <c r="A101">
        <v>1987</v>
      </c>
      <c r="B101" t="s">
        <v>805</v>
      </c>
      <c r="C101" s="264"/>
      <c r="D101" s="157" t="s">
        <v>328</v>
      </c>
      <c r="E101" s="44">
        <f t="shared" si="5"/>
        <v>31958</v>
      </c>
      <c r="F101" s="127" t="str">
        <f t="shared" si="6"/>
        <v>Date check - OK</v>
      </c>
      <c r="G101" s="1"/>
      <c r="H101" s="161"/>
      <c r="I101" s="37"/>
      <c r="J101" s="135">
        <f t="shared" si="7"/>
        <v>0.78910283174369955</v>
      </c>
      <c r="K101" s="112"/>
      <c r="L101" s="37">
        <v>1771</v>
      </c>
      <c r="M101" s="37" t="s">
        <v>509</v>
      </c>
      <c r="N101" s="37">
        <v>1861.1014379511059</v>
      </c>
      <c r="O101" s="130">
        <f t="shared" si="8"/>
        <v>3296010.6466114088</v>
      </c>
      <c r="P101" s="132">
        <f t="shared" si="9"/>
        <v>2600891.3346984447</v>
      </c>
      <c r="Q101" s="262">
        <v>1</v>
      </c>
      <c r="R101" s="92"/>
    </row>
    <row r="102" spans="1:18" x14ac:dyDescent="0.25">
      <c r="A102">
        <v>1987</v>
      </c>
      <c r="B102" t="s">
        <v>805</v>
      </c>
      <c r="C102" s="264"/>
      <c r="D102" s="157" t="s">
        <v>328</v>
      </c>
      <c r="E102" s="44">
        <f t="shared" si="5"/>
        <v>31958</v>
      </c>
      <c r="F102" s="127" t="str">
        <f t="shared" si="6"/>
        <v>Date check - OK</v>
      </c>
      <c r="G102" s="1"/>
      <c r="H102" s="161"/>
      <c r="I102" s="37"/>
      <c r="J102" s="135">
        <f t="shared" si="7"/>
        <v>0.78910283174369955</v>
      </c>
      <c r="K102" s="112"/>
      <c r="L102" s="37">
        <v>1324</v>
      </c>
      <c r="M102" s="37" t="s">
        <v>509</v>
      </c>
      <c r="N102" s="37">
        <v>1074.9043362048894</v>
      </c>
      <c r="O102" s="130">
        <f t="shared" si="8"/>
        <v>1423173.3411352737</v>
      </c>
      <c r="P102" s="132">
        <f t="shared" si="9"/>
        <v>1123030.1135519866</v>
      </c>
      <c r="Q102" s="262">
        <v>1</v>
      </c>
      <c r="R102" s="92"/>
    </row>
    <row r="103" spans="1:18" x14ac:dyDescent="0.25">
      <c r="A103">
        <v>1987</v>
      </c>
      <c r="B103" t="s">
        <v>805</v>
      </c>
      <c r="C103" s="264"/>
      <c r="D103" s="157" t="s">
        <v>328</v>
      </c>
      <c r="E103" s="44">
        <f t="shared" si="5"/>
        <v>31958</v>
      </c>
      <c r="F103" s="127" t="str">
        <f t="shared" si="6"/>
        <v>Date check - OK</v>
      </c>
      <c r="G103" s="1"/>
      <c r="H103" s="161"/>
      <c r="I103" s="37"/>
      <c r="J103" s="135">
        <f t="shared" si="7"/>
        <v>0.78910283174369955</v>
      </c>
      <c r="K103" s="112"/>
      <c r="L103" s="37">
        <v>485</v>
      </c>
      <c r="M103" s="37" t="s">
        <v>509</v>
      </c>
      <c r="N103" s="37">
        <v>950.93964796274736</v>
      </c>
      <c r="O103" s="130">
        <f t="shared" si="8"/>
        <v>461205.72926193249</v>
      </c>
      <c r="P103" s="132">
        <f t="shared" si="9"/>
        <v>363938.74697700894</v>
      </c>
      <c r="Q103" s="262">
        <v>1</v>
      </c>
      <c r="R103" s="92"/>
    </row>
    <row r="104" spans="1:18" x14ac:dyDescent="0.25">
      <c r="A104">
        <v>1987</v>
      </c>
      <c r="B104" t="s">
        <v>805</v>
      </c>
      <c r="C104" s="264"/>
      <c r="D104" s="157" t="s">
        <v>328</v>
      </c>
      <c r="E104" s="44">
        <f t="shared" si="5"/>
        <v>31958</v>
      </c>
      <c r="F104" s="127" t="str">
        <f t="shared" si="6"/>
        <v>Date check - OK</v>
      </c>
      <c r="G104" s="1"/>
      <c r="H104" s="161"/>
      <c r="I104" s="37"/>
      <c r="J104" s="135">
        <f t="shared" si="7"/>
        <v>0.78910283174369955</v>
      </c>
      <c r="K104" s="112"/>
      <c r="L104" s="37">
        <v>729</v>
      </c>
      <c r="M104" s="37" t="s">
        <v>509</v>
      </c>
      <c r="N104" s="37">
        <v>639.39681303841667</v>
      </c>
      <c r="O104" s="130">
        <f t="shared" si="8"/>
        <v>466120.27670500573</v>
      </c>
      <c r="P104" s="132">
        <f t="shared" si="9"/>
        <v>367816.83028107684</v>
      </c>
      <c r="Q104" s="262">
        <v>1</v>
      </c>
      <c r="R104" s="92"/>
    </row>
    <row r="105" spans="1:18" x14ac:dyDescent="0.25">
      <c r="A105">
        <v>1987</v>
      </c>
      <c r="B105" t="s">
        <v>805</v>
      </c>
      <c r="C105" s="264"/>
      <c r="D105" s="157" t="s">
        <v>328</v>
      </c>
      <c r="E105" s="44">
        <f t="shared" si="5"/>
        <v>31958</v>
      </c>
      <c r="F105" s="127" t="str">
        <f t="shared" si="6"/>
        <v>Date check - OK</v>
      </c>
      <c r="G105" s="1"/>
      <c r="H105" s="161"/>
      <c r="I105" s="37"/>
      <c r="J105" s="135">
        <f t="shared" si="7"/>
        <v>0.78910283174369955</v>
      </c>
      <c r="K105" s="112"/>
      <c r="L105" s="37">
        <v>509</v>
      </c>
      <c r="M105" s="37" t="s">
        <v>509</v>
      </c>
      <c r="N105" s="37">
        <v>685.06801396973219</v>
      </c>
      <c r="O105" s="130">
        <f t="shared" si="8"/>
        <v>348699.61911059369</v>
      </c>
      <c r="P105" s="132">
        <f t="shared" si="9"/>
        <v>275159.85686811892</v>
      </c>
      <c r="Q105" s="262">
        <v>1</v>
      </c>
      <c r="R105" s="92"/>
    </row>
    <row r="106" spans="1:18" x14ac:dyDescent="0.25">
      <c r="A106">
        <v>1988</v>
      </c>
      <c r="B106" t="s">
        <v>805</v>
      </c>
      <c r="C106" s="264"/>
      <c r="D106" s="157" t="s">
        <v>329</v>
      </c>
      <c r="E106" s="44">
        <f t="shared" si="5"/>
        <v>32324</v>
      </c>
      <c r="F106" s="127" t="str">
        <f t="shared" si="6"/>
        <v>Date check - OK</v>
      </c>
      <c r="G106" s="1"/>
      <c r="H106" s="161"/>
      <c r="I106" s="37"/>
      <c r="J106" s="135">
        <f t="shared" si="7"/>
        <v>0.78910283174369955</v>
      </c>
      <c r="K106" s="112"/>
      <c r="L106" s="37">
        <v>563</v>
      </c>
      <c r="M106" s="37" t="s">
        <v>509</v>
      </c>
      <c r="N106" s="37">
        <v>639.39681303841667</v>
      </c>
      <c r="O106" s="130">
        <f t="shared" si="8"/>
        <v>359980.4057406286</v>
      </c>
      <c r="P106" s="132">
        <f t="shared" si="9"/>
        <v>284061.55754217593</v>
      </c>
      <c r="Q106" s="262">
        <v>1</v>
      </c>
      <c r="R106" s="92"/>
    </row>
    <row r="107" spans="1:18" x14ac:dyDescent="0.25">
      <c r="A107">
        <v>1988</v>
      </c>
      <c r="B107" t="s">
        <v>805</v>
      </c>
      <c r="C107" s="264"/>
      <c r="D107" s="157" t="s">
        <v>329</v>
      </c>
      <c r="E107" s="44">
        <f t="shared" si="5"/>
        <v>32324</v>
      </c>
      <c r="F107" s="127" t="str">
        <f t="shared" si="6"/>
        <v>Date check - OK</v>
      </c>
      <c r="G107" s="1"/>
      <c r="H107" s="161"/>
      <c r="I107" s="37"/>
      <c r="J107" s="135">
        <f t="shared" si="7"/>
        <v>0.78910283174369955</v>
      </c>
      <c r="K107" s="112"/>
      <c r="L107" s="37">
        <v>729</v>
      </c>
      <c r="M107" s="37" t="s">
        <v>509</v>
      </c>
      <c r="N107" s="37">
        <v>685.06801396973219</v>
      </c>
      <c r="O107" s="130">
        <f t="shared" si="8"/>
        <v>499414.58218393475</v>
      </c>
      <c r="P107" s="132">
        <f t="shared" si="9"/>
        <v>394089.46101543948</v>
      </c>
      <c r="Q107" s="262">
        <v>1</v>
      </c>
      <c r="R107" s="92"/>
    </row>
    <row r="108" spans="1:18" x14ac:dyDescent="0.25">
      <c r="A108">
        <v>1988</v>
      </c>
      <c r="B108" t="s">
        <v>805</v>
      </c>
      <c r="C108" s="264"/>
      <c r="D108" s="157" t="s">
        <v>330</v>
      </c>
      <c r="E108" s="44">
        <f t="shared" si="5"/>
        <v>32324</v>
      </c>
      <c r="F108" s="127" t="str">
        <f t="shared" si="6"/>
        <v>Date check - OK</v>
      </c>
      <c r="G108" s="1"/>
      <c r="H108" s="161"/>
      <c r="I108" s="37"/>
      <c r="J108" s="135">
        <f t="shared" si="7"/>
        <v>0.78910283174369955</v>
      </c>
      <c r="K108" s="112"/>
      <c r="L108" s="37">
        <v>830</v>
      </c>
      <c r="M108" s="37" t="s">
        <v>509</v>
      </c>
      <c r="N108" s="37">
        <v>1666.9988339930151</v>
      </c>
      <c r="O108" s="130">
        <f t="shared" si="8"/>
        <v>1383609.0322142025</v>
      </c>
      <c r="P108" s="132">
        <f t="shared" si="9"/>
        <v>1091809.8053463867</v>
      </c>
      <c r="Q108" s="262">
        <v>1</v>
      </c>
      <c r="R108" s="92"/>
    </row>
    <row r="109" spans="1:18" x14ac:dyDescent="0.25">
      <c r="A109">
        <v>1988</v>
      </c>
      <c r="B109" t="s">
        <v>805</v>
      </c>
      <c r="C109" s="264"/>
      <c r="D109" s="157" t="s">
        <v>330</v>
      </c>
      <c r="E109" s="44">
        <f t="shared" si="5"/>
        <v>32324</v>
      </c>
      <c r="F109" s="127" t="str">
        <f t="shared" si="6"/>
        <v>Date check - OK</v>
      </c>
      <c r="G109" s="1"/>
      <c r="H109" s="161"/>
      <c r="I109" s="37"/>
      <c r="J109" s="135">
        <f t="shared" si="7"/>
        <v>0.78910283174369955</v>
      </c>
      <c r="K109" s="112"/>
      <c r="L109" s="37">
        <v>395</v>
      </c>
      <c r="M109" s="37" t="s">
        <v>509</v>
      </c>
      <c r="N109" s="37">
        <v>950.93964796274736</v>
      </c>
      <c r="O109" s="130">
        <f t="shared" si="8"/>
        <v>375621.16094528523</v>
      </c>
      <c r="P109" s="132">
        <f t="shared" si="9"/>
        <v>296403.72176478052</v>
      </c>
      <c r="Q109" s="262">
        <v>1</v>
      </c>
      <c r="R109" s="92"/>
    </row>
    <row r="110" spans="1:18" x14ac:dyDescent="0.25">
      <c r="A110">
        <v>1988</v>
      </c>
      <c r="B110" t="s">
        <v>805</v>
      </c>
      <c r="C110" s="264"/>
      <c r="D110" s="157" t="s">
        <v>330</v>
      </c>
      <c r="E110" s="44">
        <f t="shared" si="5"/>
        <v>32324</v>
      </c>
      <c r="F110" s="127" t="str">
        <f t="shared" si="6"/>
        <v>Date check - OK</v>
      </c>
      <c r="G110" s="1"/>
      <c r="H110" s="161"/>
      <c r="I110" s="37"/>
      <c r="J110" s="135">
        <f t="shared" si="7"/>
        <v>0.78910283174369955</v>
      </c>
      <c r="K110" s="112"/>
      <c r="L110" s="37">
        <v>600</v>
      </c>
      <c r="M110" s="37" t="s">
        <v>509</v>
      </c>
      <c r="N110" s="37">
        <v>639.39681303841667</v>
      </c>
      <c r="O110" s="130">
        <f t="shared" si="8"/>
        <v>383638.08782304998</v>
      </c>
      <c r="P110" s="132">
        <f t="shared" si="9"/>
        <v>302729.90146590682</v>
      </c>
      <c r="Q110" s="262">
        <v>1</v>
      </c>
      <c r="R110" s="92"/>
    </row>
    <row r="111" spans="1:18" x14ac:dyDescent="0.25">
      <c r="A111">
        <v>1988</v>
      </c>
      <c r="B111" t="s">
        <v>805</v>
      </c>
      <c r="C111" s="264"/>
      <c r="D111" s="157" t="s">
        <v>331</v>
      </c>
      <c r="E111" s="44">
        <f t="shared" si="5"/>
        <v>32324</v>
      </c>
      <c r="F111" s="127" t="str">
        <f t="shared" si="6"/>
        <v>Date check - OK</v>
      </c>
      <c r="G111" s="1"/>
      <c r="H111" s="161"/>
      <c r="I111" s="37"/>
      <c r="J111" s="135">
        <f t="shared" si="7"/>
        <v>0.78910283174369955</v>
      </c>
      <c r="K111" s="112"/>
      <c r="L111" s="37">
        <v>564</v>
      </c>
      <c r="M111" s="37" t="s">
        <v>509</v>
      </c>
      <c r="N111" s="37">
        <v>639.39681303841667</v>
      </c>
      <c r="O111" s="130">
        <f t="shared" si="8"/>
        <v>360619.80255366699</v>
      </c>
      <c r="P111" s="132">
        <f t="shared" si="9"/>
        <v>284566.10737795243</v>
      </c>
      <c r="Q111" s="262">
        <v>1</v>
      </c>
      <c r="R111" s="92"/>
    </row>
    <row r="112" spans="1:18" x14ac:dyDescent="0.25">
      <c r="A112">
        <v>1988</v>
      </c>
      <c r="B112" t="s">
        <v>805</v>
      </c>
      <c r="C112" s="264"/>
      <c r="D112" s="157" t="s">
        <v>331</v>
      </c>
      <c r="E112" s="44">
        <f t="shared" si="5"/>
        <v>32324</v>
      </c>
      <c r="F112" s="127" t="str">
        <f t="shared" si="6"/>
        <v>Date check - OK</v>
      </c>
      <c r="G112" s="1"/>
      <c r="H112" s="161"/>
      <c r="I112" s="37"/>
      <c r="J112" s="135">
        <f t="shared" si="7"/>
        <v>0.78910283174369955</v>
      </c>
      <c r="K112" s="112"/>
      <c r="L112" s="37">
        <v>240</v>
      </c>
      <c r="M112" s="37" t="s">
        <v>509</v>
      </c>
      <c r="N112" s="37">
        <v>685.06801396973219</v>
      </c>
      <c r="O112" s="130">
        <f t="shared" si="8"/>
        <v>164416.32335273572</v>
      </c>
      <c r="P112" s="132">
        <f t="shared" si="9"/>
        <v>129741.38634253152</v>
      </c>
      <c r="Q112" s="262">
        <v>1</v>
      </c>
      <c r="R112" s="92"/>
    </row>
    <row r="113" spans="1:18" x14ac:dyDescent="0.25">
      <c r="A113">
        <v>1989</v>
      </c>
      <c r="B113" t="s">
        <v>805</v>
      </c>
      <c r="C113" s="264"/>
      <c r="D113" s="157" t="s">
        <v>332</v>
      </c>
      <c r="E113" s="44">
        <f t="shared" si="5"/>
        <v>32689</v>
      </c>
      <c r="F113" s="127" t="str">
        <f t="shared" si="6"/>
        <v>Date check - OK</v>
      </c>
      <c r="G113" s="1"/>
      <c r="H113" s="161"/>
      <c r="I113" s="37"/>
      <c r="J113" s="135">
        <f t="shared" si="7"/>
        <v>0.78910283174369955</v>
      </c>
      <c r="K113" s="112"/>
      <c r="L113" s="37">
        <v>178</v>
      </c>
      <c r="M113" s="37" t="s">
        <v>509</v>
      </c>
      <c r="N113" s="37">
        <v>950.93964796274736</v>
      </c>
      <c r="O113" s="130">
        <f t="shared" si="8"/>
        <v>169267.25733736902</v>
      </c>
      <c r="P113" s="132">
        <f t="shared" si="9"/>
        <v>133569.27208640741</v>
      </c>
      <c r="Q113" s="262">
        <v>1</v>
      </c>
      <c r="R113" s="92"/>
    </row>
    <row r="114" spans="1:18" x14ac:dyDescent="0.25">
      <c r="A114">
        <v>1989</v>
      </c>
      <c r="B114" t="s">
        <v>805</v>
      </c>
      <c r="C114" s="264"/>
      <c r="D114" s="157" t="s">
        <v>332</v>
      </c>
      <c r="E114" s="44">
        <f t="shared" si="5"/>
        <v>32689</v>
      </c>
      <c r="F114" s="127" t="str">
        <f t="shared" si="6"/>
        <v>Date check - OK</v>
      </c>
      <c r="G114" s="1"/>
      <c r="H114" s="161"/>
      <c r="I114" s="37"/>
      <c r="J114" s="135">
        <f t="shared" si="7"/>
        <v>0.78910283174369955</v>
      </c>
      <c r="K114" s="112"/>
      <c r="L114" s="37">
        <v>46</v>
      </c>
      <c r="M114" s="37" t="s">
        <v>509</v>
      </c>
      <c r="N114" s="37">
        <v>639.39681303841667</v>
      </c>
      <c r="O114" s="130">
        <f t="shared" si="8"/>
        <v>29412.253399767167</v>
      </c>
      <c r="P114" s="132">
        <f t="shared" si="9"/>
        <v>23209.292445719526</v>
      </c>
      <c r="Q114" s="262">
        <v>1</v>
      </c>
      <c r="R114" s="92"/>
    </row>
    <row r="115" spans="1:18" x14ac:dyDescent="0.25">
      <c r="A115">
        <v>1989</v>
      </c>
      <c r="B115" t="s">
        <v>805</v>
      </c>
      <c r="C115" s="264"/>
      <c r="D115" s="157" t="s">
        <v>332</v>
      </c>
      <c r="E115" s="44">
        <f t="shared" si="5"/>
        <v>32689</v>
      </c>
      <c r="F115" s="127" t="str">
        <f t="shared" si="6"/>
        <v>Date check - OK</v>
      </c>
      <c r="G115" s="1"/>
      <c r="H115" s="161"/>
      <c r="I115" s="37"/>
      <c r="J115" s="135">
        <f t="shared" si="7"/>
        <v>0.78910283174369955</v>
      </c>
      <c r="K115" s="112"/>
      <c r="L115" s="37">
        <v>257</v>
      </c>
      <c r="M115" s="37" t="s">
        <v>509</v>
      </c>
      <c r="N115" s="37">
        <v>685.06801396973219</v>
      </c>
      <c r="O115" s="130">
        <f t="shared" si="8"/>
        <v>176062.47959022116</v>
      </c>
      <c r="P115" s="132">
        <f t="shared" si="9"/>
        <v>138931.40120846083</v>
      </c>
      <c r="Q115" s="262">
        <v>1</v>
      </c>
      <c r="R115" s="92"/>
    </row>
    <row r="116" spans="1:18" x14ac:dyDescent="0.25">
      <c r="A116">
        <v>1990</v>
      </c>
      <c r="B116" t="s">
        <v>805</v>
      </c>
      <c r="C116" s="264"/>
      <c r="D116" s="157" t="s">
        <v>333</v>
      </c>
      <c r="E116" s="44">
        <f t="shared" si="5"/>
        <v>33054</v>
      </c>
      <c r="F116" s="127" t="str">
        <f t="shared" si="6"/>
        <v>Date check - OK</v>
      </c>
      <c r="G116" s="1"/>
      <c r="H116" s="161"/>
      <c r="I116" s="37"/>
      <c r="J116" s="135">
        <f t="shared" si="7"/>
        <v>0.78910283174369955</v>
      </c>
      <c r="K116" s="112"/>
      <c r="L116" s="37">
        <v>296</v>
      </c>
      <c r="M116" s="37" t="s">
        <v>509</v>
      </c>
      <c r="N116" s="37">
        <v>1456.5850868451687</v>
      </c>
      <c r="O116" s="130">
        <f t="shared" si="8"/>
        <v>431149.18570616993</v>
      </c>
      <c r="P116" s="132">
        <f t="shared" si="9"/>
        <v>340221.04334472888</v>
      </c>
      <c r="Q116" s="262">
        <v>1</v>
      </c>
      <c r="R116" s="92"/>
    </row>
    <row r="117" spans="1:18" ht="23" x14ac:dyDescent="0.25">
      <c r="A117">
        <v>1993</v>
      </c>
      <c r="B117" t="s">
        <v>805</v>
      </c>
      <c r="C117" s="264" t="s">
        <v>292</v>
      </c>
      <c r="D117" s="157" t="s">
        <v>334</v>
      </c>
      <c r="E117" s="44">
        <f t="shared" si="5"/>
        <v>34150</v>
      </c>
      <c r="F117" s="127" t="str">
        <f t="shared" si="6"/>
        <v>Date check - OK</v>
      </c>
      <c r="G117" s="1"/>
      <c r="H117" s="161"/>
      <c r="I117" s="37"/>
      <c r="J117" s="135">
        <f t="shared" si="7"/>
        <v>0.78910283174369955</v>
      </c>
      <c r="K117" s="112"/>
      <c r="L117" s="37">
        <v>148</v>
      </c>
      <c r="M117" s="37" t="s">
        <v>509</v>
      </c>
      <c r="N117" s="37">
        <v>709.53472875436546</v>
      </c>
      <c r="O117" s="130">
        <f t="shared" si="8"/>
        <v>105011.13985564609</v>
      </c>
      <c r="P117" s="132">
        <f t="shared" si="9"/>
        <v>82864.587824724003</v>
      </c>
      <c r="Q117" s="262">
        <v>1</v>
      </c>
      <c r="R117" s="92"/>
    </row>
    <row r="118" spans="1:18" ht="23" x14ac:dyDescent="0.25">
      <c r="A118">
        <v>1993</v>
      </c>
      <c r="B118" t="s">
        <v>805</v>
      </c>
      <c r="C118" s="264" t="s">
        <v>292</v>
      </c>
      <c r="D118" s="157" t="s">
        <v>334</v>
      </c>
      <c r="E118" s="44">
        <f t="shared" si="5"/>
        <v>34150</v>
      </c>
      <c r="F118" s="127" t="str">
        <f t="shared" si="6"/>
        <v>Date check - OK</v>
      </c>
      <c r="G118" s="1"/>
      <c r="H118" s="161"/>
      <c r="I118" s="37"/>
      <c r="J118" s="135">
        <f t="shared" si="7"/>
        <v>0.78910283174369955</v>
      </c>
      <c r="K118" s="112"/>
      <c r="L118" s="37">
        <v>148</v>
      </c>
      <c r="M118" s="37" t="s">
        <v>509</v>
      </c>
      <c r="N118" s="37">
        <v>709.53472875436546</v>
      </c>
      <c r="O118" s="130">
        <f t="shared" si="8"/>
        <v>105011.13985564609</v>
      </c>
      <c r="P118" s="132">
        <f t="shared" si="9"/>
        <v>82864.587824724003</v>
      </c>
      <c r="Q118" s="262">
        <v>1</v>
      </c>
      <c r="R118" s="92"/>
    </row>
    <row r="119" spans="1:18" ht="23" x14ac:dyDescent="0.25">
      <c r="A119">
        <v>1993</v>
      </c>
      <c r="B119" t="s">
        <v>805</v>
      </c>
      <c r="C119" s="264" t="s">
        <v>292</v>
      </c>
      <c r="D119" s="157" t="s">
        <v>334</v>
      </c>
      <c r="E119" s="44">
        <f t="shared" si="5"/>
        <v>34150</v>
      </c>
      <c r="F119" s="127" t="str">
        <f t="shared" si="6"/>
        <v>Date check - OK</v>
      </c>
      <c r="G119" s="1"/>
      <c r="H119" s="161"/>
      <c r="I119" s="37"/>
      <c r="J119" s="135">
        <f t="shared" si="7"/>
        <v>0.78910283174369955</v>
      </c>
      <c r="K119" s="112"/>
      <c r="L119" s="37">
        <v>153</v>
      </c>
      <c r="M119" s="37" t="s">
        <v>509</v>
      </c>
      <c r="N119" s="37">
        <v>567.62778300349237</v>
      </c>
      <c r="O119" s="130">
        <f t="shared" si="8"/>
        <v>86847.050799534336</v>
      </c>
      <c r="P119" s="132">
        <f t="shared" si="9"/>
        <v>68531.253714501465</v>
      </c>
      <c r="Q119" s="262">
        <v>1</v>
      </c>
      <c r="R119" s="92"/>
    </row>
    <row r="120" spans="1:18" x14ac:dyDescent="0.25">
      <c r="A120">
        <v>1993</v>
      </c>
      <c r="B120" t="s">
        <v>805</v>
      </c>
      <c r="C120" s="264" t="s">
        <v>293</v>
      </c>
      <c r="D120" s="157" t="s">
        <v>335</v>
      </c>
      <c r="E120" s="44">
        <f t="shared" si="5"/>
        <v>34150</v>
      </c>
      <c r="F120" s="127" t="str">
        <f t="shared" si="6"/>
        <v>Date check - OK</v>
      </c>
      <c r="G120" s="1"/>
      <c r="H120" s="161"/>
      <c r="I120" s="37"/>
      <c r="J120" s="135">
        <f t="shared" si="7"/>
        <v>0.78910283174369955</v>
      </c>
      <c r="K120" s="112"/>
      <c r="L120" s="37">
        <v>165</v>
      </c>
      <c r="M120" s="37" t="s">
        <v>509</v>
      </c>
      <c r="N120" s="37">
        <v>1074.9043362048894</v>
      </c>
      <c r="O120" s="130">
        <f t="shared" si="8"/>
        <v>177359.21547380675</v>
      </c>
      <c r="P120" s="132">
        <f t="shared" si="9"/>
        <v>139954.65916622189</v>
      </c>
      <c r="Q120" s="262">
        <v>1</v>
      </c>
      <c r="R120" s="92"/>
    </row>
    <row r="121" spans="1:18" x14ac:dyDescent="0.25">
      <c r="A121">
        <v>1994</v>
      </c>
      <c r="B121" t="s">
        <v>805</v>
      </c>
      <c r="C121" s="264" t="s">
        <v>294</v>
      </c>
      <c r="D121" s="157" t="s">
        <v>336</v>
      </c>
      <c r="E121" s="44">
        <f t="shared" si="5"/>
        <v>34515</v>
      </c>
      <c r="F121" s="127" t="str">
        <f t="shared" si="6"/>
        <v>Date check - OK</v>
      </c>
      <c r="G121" s="1"/>
      <c r="H121" s="161"/>
      <c r="I121" s="37"/>
      <c r="J121" s="135">
        <f t="shared" si="7"/>
        <v>0.78910283174369955</v>
      </c>
      <c r="K121" s="112"/>
      <c r="L121" s="37">
        <v>165</v>
      </c>
      <c r="M121" s="37" t="s">
        <v>509</v>
      </c>
      <c r="N121" s="37">
        <v>1386.4471711292199</v>
      </c>
      <c r="O121" s="130">
        <f t="shared" si="8"/>
        <v>228763.78323632129</v>
      </c>
      <c r="P121" s="132">
        <f t="shared" si="9"/>
        <v>180518.149152183</v>
      </c>
      <c r="Q121" s="262">
        <v>1</v>
      </c>
      <c r="R121" s="92"/>
    </row>
    <row r="122" spans="1:18" x14ac:dyDescent="0.25">
      <c r="A122">
        <v>1994</v>
      </c>
      <c r="B122" t="s">
        <v>805</v>
      </c>
      <c r="C122" s="264" t="s">
        <v>294</v>
      </c>
      <c r="D122" s="157" t="s">
        <v>336</v>
      </c>
      <c r="E122" s="44">
        <f t="shared" si="5"/>
        <v>34515</v>
      </c>
      <c r="F122" s="127" t="str">
        <f t="shared" si="6"/>
        <v>Date check - OK</v>
      </c>
      <c r="G122" s="1"/>
      <c r="H122" s="161"/>
      <c r="I122" s="37"/>
      <c r="J122" s="135">
        <f t="shared" si="7"/>
        <v>0.78910283174369955</v>
      </c>
      <c r="K122" s="112"/>
      <c r="L122" s="37">
        <v>657</v>
      </c>
      <c r="M122" s="37" t="s">
        <v>509</v>
      </c>
      <c r="N122" s="37">
        <v>1149.9355948777647</v>
      </c>
      <c r="O122" s="130">
        <f t="shared" si="8"/>
        <v>755507.68583469139</v>
      </c>
      <c r="P122" s="132">
        <f t="shared" si="9"/>
        <v>596173.25429628429</v>
      </c>
      <c r="Q122" s="262">
        <v>1</v>
      </c>
      <c r="R122" s="92"/>
    </row>
    <row r="123" spans="1:18" x14ac:dyDescent="0.25">
      <c r="A123">
        <v>1994</v>
      </c>
      <c r="B123" t="s">
        <v>805</v>
      </c>
      <c r="C123" s="264" t="s">
        <v>294</v>
      </c>
      <c r="D123" s="157" t="s">
        <v>336</v>
      </c>
      <c r="E123" s="44">
        <f t="shared" si="5"/>
        <v>34515</v>
      </c>
      <c r="F123" s="127" t="str">
        <f t="shared" si="6"/>
        <v>Date check - OK</v>
      </c>
      <c r="G123" s="1"/>
      <c r="H123" s="161"/>
      <c r="I123" s="37"/>
      <c r="J123" s="135">
        <f t="shared" si="7"/>
        <v>0.78910283174369955</v>
      </c>
      <c r="K123" s="112"/>
      <c r="L123" s="37">
        <v>805</v>
      </c>
      <c r="M123" s="37" t="s">
        <v>509</v>
      </c>
      <c r="N123" s="37">
        <v>1024.3397923166472</v>
      </c>
      <c r="O123" s="130">
        <f t="shared" si="8"/>
        <v>824593.53281490097</v>
      </c>
      <c r="P123" s="132">
        <f t="shared" si="9"/>
        <v>650689.09178177954</v>
      </c>
      <c r="Q123" s="262">
        <v>1</v>
      </c>
      <c r="R123" s="92"/>
    </row>
    <row r="124" spans="1:18" x14ac:dyDescent="0.25">
      <c r="A124">
        <v>1994</v>
      </c>
      <c r="B124" t="s">
        <v>805</v>
      </c>
      <c r="C124" s="264" t="s">
        <v>294</v>
      </c>
      <c r="D124" s="157" t="s">
        <v>336</v>
      </c>
      <c r="E124" s="44">
        <f t="shared" si="5"/>
        <v>34515</v>
      </c>
      <c r="F124" s="127" t="str">
        <f t="shared" si="6"/>
        <v>Date check - OK</v>
      </c>
      <c r="G124" s="1"/>
      <c r="H124" s="161"/>
      <c r="I124" s="37"/>
      <c r="J124" s="135">
        <f t="shared" si="7"/>
        <v>0.78910283174369955</v>
      </c>
      <c r="K124" s="112"/>
      <c r="L124" s="37">
        <v>4</v>
      </c>
      <c r="M124" s="37" t="s">
        <v>509</v>
      </c>
      <c r="N124" s="37">
        <v>567.62778300349237</v>
      </c>
      <c r="O124" s="130">
        <f t="shared" si="8"/>
        <v>2270.5111320139695</v>
      </c>
      <c r="P124" s="132">
        <f t="shared" si="9"/>
        <v>1791.6667637778162</v>
      </c>
      <c r="Q124" s="262">
        <v>1</v>
      </c>
      <c r="R124" s="92"/>
    </row>
    <row r="125" spans="1:18" x14ac:dyDescent="0.25">
      <c r="A125">
        <v>1994</v>
      </c>
      <c r="B125" t="s">
        <v>805</v>
      </c>
      <c r="C125" s="264" t="s">
        <v>295</v>
      </c>
      <c r="D125" s="157" t="s">
        <v>337</v>
      </c>
      <c r="E125" s="44">
        <f t="shared" si="5"/>
        <v>34515</v>
      </c>
      <c r="F125" s="127" t="str">
        <f t="shared" si="6"/>
        <v>Date check - OK</v>
      </c>
      <c r="G125" s="1"/>
      <c r="H125" s="161"/>
      <c r="I125" s="37"/>
      <c r="J125" s="135">
        <f t="shared" si="7"/>
        <v>0.78910283174369955</v>
      </c>
      <c r="K125" s="112"/>
      <c r="L125" s="37">
        <v>156</v>
      </c>
      <c r="M125" s="37" t="s">
        <v>509</v>
      </c>
      <c r="N125" s="37">
        <v>624.71678416763677</v>
      </c>
      <c r="O125" s="130">
        <f t="shared" si="8"/>
        <v>97455.818330151335</v>
      </c>
      <c r="P125" s="132">
        <f t="shared" si="9"/>
        <v>76902.662214221957</v>
      </c>
      <c r="Q125" s="262">
        <v>1</v>
      </c>
      <c r="R125" s="92"/>
    </row>
    <row r="126" spans="1:18" x14ac:dyDescent="0.25">
      <c r="A126">
        <v>1970</v>
      </c>
      <c r="B126" t="s">
        <v>806</v>
      </c>
      <c r="C126" s="264"/>
      <c r="D126" s="157" t="s">
        <v>341</v>
      </c>
      <c r="E126" s="44">
        <f t="shared" ref="E126:E153" si="10">DATEVALUE("30 Jun "&amp;A126)</f>
        <v>25749</v>
      </c>
      <c r="F126" s="127" t="str">
        <f t="shared" si="6"/>
        <v>Date check - OK</v>
      </c>
      <c r="G126" s="1"/>
      <c r="H126" s="161"/>
      <c r="I126" s="37"/>
      <c r="J126" s="135">
        <f t="shared" si="7"/>
        <v>0.78910283174369955</v>
      </c>
      <c r="K126" s="112"/>
      <c r="L126" s="37">
        <v>1700</v>
      </c>
      <c r="M126" s="37" t="s">
        <v>509</v>
      </c>
      <c r="N126" s="37">
        <v>380.04963632130386</v>
      </c>
      <c r="O126" s="130">
        <f t="shared" ref="O126:O153" si="11">IF(N126="","-",L126*N126)</f>
        <v>646084.38174621656</v>
      </c>
      <c r="P126" s="132">
        <f t="shared" ref="P126:P153" si="12">IF(O126="-","-",IF(OR(E126&lt;$E$15,E126&gt;$E$16),0,O126*J126))*Q126</f>
        <v>509827.01518131688</v>
      </c>
      <c r="Q126" s="262">
        <v>1</v>
      </c>
      <c r="R126" s="92"/>
    </row>
    <row r="127" spans="1:18" x14ac:dyDescent="0.25">
      <c r="A127">
        <v>1970</v>
      </c>
      <c r="B127" t="s">
        <v>806</v>
      </c>
      <c r="C127" s="264"/>
      <c r="D127" s="157" t="s">
        <v>342</v>
      </c>
      <c r="E127" s="44">
        <f t="shared" si="10"/>
        <v>25749</v>
      </c>
      <c r="F127" s="127" t="str">
        <f t="shared" si="6"/>
        <v>Date check - OK</v>
      </c>
      <c r="G127" s="1"/>
      <c r="H127" s="161"/>
      <c r="I127" s="37"/>
      <c r="J127" s="135">
        <f t="shared" si="7"/>
        <v>0.78910283174369955</v>
      </c>
      <c r="K127" s="112"/>
      <c r="L127" s="37">
        <v>1685</v>
      </c>
      <c r="M127" s="37" t="s">
        <v>509</v>
      </c>
      <c r="N127" s="37">
        <v>380.04963632130386</v>
      </c>
      <c r="O127" s="130">
        <f t="shared" si="11"/>
        <v>640383.63720139698</v>
      </c>
      <c r="P127" s="132">
        <f t="shared" si="12"/>
        <v>505328.54151795228</v>
      </c>
      <c r="Q127" s="262">
        <v>1</v>
      </c>
      <c r="R127" s="92"/>
    </row>
    <row r="128" spans="1:18" x14ac:dyDescent="0.25">
      <c r="A128">
        <v>1970</v>
      </c>
      <c r="B128" t="s">
        <v>806</v>
      </c>
      <c r="C128" s="264"/>
      <c r="D128" s="157" t="s">
        <v>343</v>
      </c>
      <c r="E128" s="44">
        <f t="shared" si="10"/>
        <v>25749</v>
      </c>
      <c r="F128" s="127" t="str">
        <f t="shared" si="6"/>
        <v>Date check - OK</v>
      </c>
      <c r="G128" s="1"/>
      <c r="H128" s="161"/>
      <c r="I128" s="37"/>
      <c r="J128" s="135">
        <f t="shared" si="7"/>
        <v>0.78910283174369955</v>
      </c>
      <c r="K128" s="112"/>
      <c r="L128" s="37">
        <v>90</v>
      </c>
      <c r="M128" s="37" t="s">
        <v>509</v>
      </c>
      <c r="N128" s="37">
        <v>216.93820442374852</v>
      </c>
      <c r="O128" s="130">
        <f t="shared" si="11"/>
        <v>19524.438398137365</v>
      </c>
      <c r="P128" s="132">
        <f t="shared" si="12"/>
        <v>15406.789628175617</v>
      </c>
      <c r="Q128" s="262">
        <v>1</v>
      </c>
      <c r="R128" s="92"/>
    </row>
    <row r="129" spans="1:18" x14ac:dyDescent="0.25">
      <c r="A129">
        <v>1970</v>
      </c>
      <c r="B129" t="s">
        <v>806</v>
      </c>
      <c r="C129" s="264"/>
      <c r="D129" s="157" t="s">
        <v>344</v>
      </c>
      <c r="E129" s="44">
        <f t="shared" si="10"/>
        <v>25749</v>
      </c>
      <c r="F129" s="127" t="str">
        <f t="shared" si="6"/>
        <v>Date check - OK</v>
      </c>
      <c r="G129" s="1"/>
      <c r="H129" s="161"/>
      <c r="I129" s="37"/>
      <c r="J129" s="135">
        <f t="shared" si="7"/>
        <v>0.78910283174369955</v>
      </c>
      <c r="K129" s="112"/>
      <c r="L129" s="37">
        <v>150</v>
      </c>
      <c r="M129" s="37" t="s">
        <v>509</v>
      </c>
      <c r="N129" s="37">
        <v>316.43617788125727</v>
      </c>
      <c r="O129" s="130">
        <f t="shared" si="11"/>
        <v>47465.42668218859</v>
      </c>
      <c r="P129" s="132">
        <f t="shared" si="12"/>
        <v>37455.102604837972</v>
      </c>
      <c r="Q129" s="262">
        <v>1</v>
      </c>
      <c r="R129" s="92"/>
    </row>
    <row r="130" spans="1:18" x14ac:dyDescent="0.25">
      <c r="A130">
        <v>1970</v>
      </c>
      <c r="B130" t="s">
        <v>806</v>
      </c>
      <c r="C130" s="264"/>
      <c r="D130" s="157" t="s">
        <v>344</v>
      </c>
      <c r="E130" s="44">
        <f t="shared" si="10"/>
        <v>25749</v>
      </c>
      <c r="F130" s="127" t="str">
        <f t="shared" si="6"/>
        <v>Date check - OK</v>
      </c>
      <c r="G130" s="1"/>
      <c r="H130" s="161"/>
      <c r="I130" s="37"/>
      <c r="J130" s="135">
        <f t="shared" si="7"/>
        <v>0.78910283174369955</v>
      </c>
      <c r="K130" s="112"/>
      <c r="L130" s="37">
        <v>700</v>
      </c>
      <c r="M130" s="37" t="s">
        <v>509</v>
      </c>
      <c r="N130" s="37">
        <v>380.04963632130386</v>
      </c>
      <c r="O130" s="130">
        <f t="shared" si="11"/>
        <v>266034.74542491272</v>
      </c>
      <c r="P130" s="132">
        <f t="shared" si="12"/>
        <v>209928.77095701284</v>
      </c>
      <c r="Q130" s="262">
        <v>1</v>
      </c>
      <c r="R130" s="92"/>
    </row>
    <row r="131" spans="1:18" x14ac:dyDescent="0.25">
      <c r="A131">
        <v>1973</v>
      </c>
      <c r="B131" t="s">
        <v>806</v>
      </c>
      <c r="C131" s="264"/>
      <c r="D131" s="157" t="s">
        <v>345</v>
      </c>
      <c r="E131" s="44">
        <f t="shared" si="10"/>
        <v>26845</v>
      </c>
      <c r="F131" s="127" t="str">
        <f t="shared" si="6"/>
        <v>Date check - OK</v>
      </c>
      <c r="G131" s="1"/>
      <c r="H131" s="161"/>
      <c r="I131" s="37"/>
      <c r="J131" s="135">
        <f t="shared" si="7"/>
        <v>0.78910283174369955</v>
      </c>
      <c r="K131" s="112"/>
      <c r="L131" s="37">
        <v>370</v>
      </c>
      <c r="M131" s="37" t="s">
        <v>509</v>
      </c>
      <c r="N131" s="37">
        <v>430.61418020954596</v>
      </c>
      <c r="O131" s="130">
        <f t="shared" si="11"/>
        <v>159327.24667753201</v>
      </c>
      <c r="P131" s="132">
        <f t="shared" si="12"/>
        <v>125725.58152716745</v>
      </c>
      <c r="Q131" s="262">
        <v>1</v>
      </c>
      <c r="R131" s="92"/>
    </row>
    <row r="132" spans="1:18" x14ac:dyDescent="0.25">
      <c r="A132">
        <v>1974</v>
      </c>
      <c r="B132" t="s">
        <v>806</v>
      </c>
      <c r="C132" s="264"/>
      <c r="D132" s="157" t="s">
        <v>346</v>
      </c>
      <c r="E132" s="44">
        <f t="shared" si="10"/>
        <v>27210</v>
      </c>
      <c r="F132" s="127" t="str">
        <f t="shared" si="6"/>
        <v>Date check - OK</v>
      </c>
      <c r="G132" s="1"/>
      <c r="H132" s="161"/>
      <c r="I132" s="37"/>
      <c r="J132" s="135">
        <f t="shared" si="7"/>
        <v>0.78910283174369955</v>
      </c>
      <c r="K132" s="112"/>
      <c r="L132" s="37">
        <v>380</v>
      </c>
      <c r="M132" s="37" t="s">
        <v>509</v>
      </c>
      <c r="N132" s="37">
        <v>316.43617788125727</v>
      </c>
      <c r="O132" s="130">
        <f t="shared" si="11"/>
        <v>120245.74759487776</v>
      </c>
      <c r="P132" s="132">
        <f t="shared" si="12"/>
        <v>94886.259932256187</v>
      </c>
      <c r="Q132" s="262">
        <v>1</v>
      </c>
      <c r="R132" s="92"/>
    </row>
    <row r="133" spans="1:18" x14ac:dyDescent="0.25">
      <c r="A133">
        <v>1976</v>
      </c>
      <c r="B133" t="s">
        <v>806</v>
      </c>
      <c r="C133" s="264"/>
      <c r="D133" s="157" t="s">
        <v>347</v>
      </c>
      <c r="E133" s="44">
        <f t="shared" si="10"/>
        <v>27941</v>
      </c>
      <c r="F133" s="127" t="str">
        <f t="shared" si="6"/>
        <v>Date check - OK</v>
      </c>
      <c r="G133" s="1"/>
      <c r="H133" s="161"/>
      <c r="I133" s="37"/>
      <c r="J133" s="135">
        <f t="shared" si="7"/>
        <v>0.78910283174369955</v>
      </c>
      <c r="K133" s="112"/>
      <c r="L133" s="37">
        <v>2600</v>
      </c>
      <c r="M133" s="37" t="s">
        <v>509</v>
      </c>
      <c r="N133" s="37">
        <v>510.53878183934808</v>
      </c>
      <c r="O133" s="130">
        <f t="shared" si="11"/>
        <v>1327400.8327823051</v>
      </c>
      <c r="P133" s="132">
        <f t="shared" si="12"/>
        <v>1047455.7560074619</v>
      </c>
      <c r="Q133" s="262">
        <v>1</v>
      </c>
      <c r="R133" s="92"/>
    </row>
    <row r="134" spans="1:18" x14ac:dyDescent="0.25">
      <c r="A134">
        <v>1976</v>
      </c>
      <c r="B134" t="s">
        <v>806</v>
      </c>
      <c r="C134" s="264"/>
      <c r="D134" s="157" t="s">
        <v>347</v>
      </c>
      <c r="E134" s="44">
        <f t="shared" si="10"/>
        <v>27941</v>
      </c>
      <c r="F134" s="127" t="str">
        <f t="shared" si="6"/>
        <v>Date check - OK</v>
      </c>
      <c r="G134" s="1"/>
      <c r="H134" s="161"/>
      <c r="I134" s="37"/>
      <c r="J134" s="135">
        <f t="shared" si="7"/>
        <v>0.78910283174369955</v>
      </c>
      <c r="K134" s="112"/>
      <c r="L134" s="37">
        <v>2670</v>
      </c>
      <c r="M134" s="37" t="s">
        <v>509</v>
      </c>
      <c r="N134" s="37">
        <v>510.53878183934808</v>
      </c>
      <c r="O134" s="130">
        <f t="shared" si="11"/>
        <v>1363138.5475110593</v>
      </c>
      <c r="P134" s="132">
        <f t="shared" si="12"/>
        <v>1075656.4878999705</v>
      </c>
      <c r="Q134" s="262">
        <v>1</v>
      </c>
      <c r="R134" s="92"/>
    </row>
    <row r="135" spans="1:18" x14ac:dyDescent="0.25">
      <c r="A135">
        <v>1977</v>
      </c>
      <c r="B135" t="s">
        <v>806</v>
      </c>
      <c r="C135" s="264"/>
      <c r="D135" s="157" t="s">
        <v>348</v>
      </c>
      <c r="E135" s="44">
        <f t="shared" si="10"/>
        <v>28306</v>
      </c>
      <c r="F135" s="127" t="str">
        <f t="shared" si="6"/>
        <v>Date check - OK</v>
      </c>
      <c r="G135" s="1"/>
      <c r="H135" s="161"/>
      <c r="I135" s="37"/>
      <c r="J135" s="135">
        <f t="shared" si="7"/>
        <v>0.78910283174369955</v>
      </c>
      <c r="K135" s="112"/>
      <c r="L135" s="37">
        <v>58</v>
      </c>
      <c r="M135" s="37" t="s">
        <v>509</v>
      </c>
      <c r="N135" s="37">
        <v>380.04963632130386</v>
      </c>
      <c r="O135" s="130">
        <f t="shared" si="11"/>
        <v>22042.878906635626</v>
      </c>
      <c r="P135" s="132">
        <f t="shared" si="12"/>
        <v>17394.098165009636</v>
      </c>
      <c r="Q135" s="262">
        <v>1</v>
      </c>
      <c r="R135" s="92"/>
    </row>
    <row r="136" spans="1:18" x14ac:dyDescent="0.25">
      <c r="A136">
        <v>1977</v>
      </c>
      <c r="B136" t="s">
        <v>806</v>
      </c>
      <c r="C136" s="264"/>
      <c r="D136" s="157" t="s">
        <v>349</v>
      </c>
      <c r="E136" s="44">
        <f t="shared" si="10"/>
        <v>28306</v>
      </c>
      <c r="F136" s="127" t="str">
        <f t="shared" si="6"/>
        <v>Date check - OK</v>
      </c>
      <c r="G136" s="1"/>
      <c r="H136" s="161"/>
      <c r="I136" s="37"/>
      <c r="J136" s="135">
        <f t="shared" si="7"/>
        <v>0.78910283174369955</v>
      </c>
      <c r="K136" s="112"/>
      <c r="L136" s="37">
        <v>612</v>
      </c>
      <c r="M136" s="37" t="s">
        <v>509</v>
      </c>
      <c r="N136" s="37">
        <v>430.61418020954596</v>
      </c>
      <c r="O136" s="130">
        <f t="shared" si="11"/>
        <v>263535.87828824215</v>
      </c>
      <c r="P136" s="132">
        <f t="shared" si="12"/>
        <v>207956.90782331483</v>
      </c>
      <c r="Q136" s="262">
        <v>1</v>
      </c>
      <c r="R136" s="92"/>
    </row>
    <row r="137" spans="1:18" x14ac:dyDescent="0.25">
      <c r="A137">
        <v>1978</v>
      </c>
      <c r="B137" t="s">
        <v>806</v>
      </c>
      <c r="C137" s="264"/>
      <c r="D137" s="157" t="s">
        <v>350</v>
      </c>
      <c r="E137" s="44">
        <f t="shared" si="10"/>
        <v>28671</v>
      </c>
      <c r="F137" s="127" t="str">
        <f t="shared" si="6"/>
        <v>Date check - OK</v>
      </c>
      <c r="G137" s="1"/>
      <c r="H137" s="161"/>
      <c r="I137" s="37"/>
      <c r="J137" s="135">
        <f t="shared" si="7"/>
        <v>0.78910283174369955</v>
      </c>
      <c r="K137" s="112"/>
      <c r="L137" s="37">
        <v>807</v>
      </c>
      <c r="M137" s="37" t="s">
        <v>509</v>
      </c>
      <c r="N137" s="37">
        <v>316.43617788125727</v>
      </c>
      <c r="O137" s="130">
        <f t="shared" si="11"/>
        <v>255363.99555017462</v>
      </c>
      <c r="P137" s="132">
        <f t="shared" si="12"/>
        <v>201508.45201402827</v>
      </c>
      <c r="Q137" s="262">
        <v>1</v>
      </c>
      <c r="R137" s="92"/>
    </row>
    <row r="138" spans="1:18" x14ac:dyDescent="0.25">
      <c r="A138">
        <v>1978</v>
      </c>
      <c r="B138" t="s">
        <v>806</v>
      </c>
      <c r="C138" s="264"/>
      <c r="D138" s="157" t="s">
        <v>351</v>
      </c>
      <c r="E138" s="44">
        <f t="shared" si="10"/>
        <v>28671</v>
      </c>
      <c r="F138" s="127" t="str">
        <f t="shared" si="6"/>
        <v>Date check - OK</v>
      </c>
      <c r="G138" s="1"/>
      <c r="H138" s="161"/>
      <c r="I138" s="37"/>
      <c r="J138" s="135">
        <f t="shared" si="7"/>
        <v>0.78910283174369955</v>
      </c>
      <c r="K138" s="112"/>
      <c r="L138" s="37">
        <v>792</v>
      </c>
      <c r="M138" s="37" t="s">
        <v>509</v>
      </c>
      <c r="N138" s="37">
        <v>380.04963632130386</v>
      </c>
      <c r="O138" s="130">
        <f t="shared" si="11"/>
        <v>300999.31196647265</v>
      </c>
      <c r="P138" s="132">
        <f t="shared" si="12"/>
        <v>237519.4094256488</v>
      </c>
      <c r="Q138" s="262">
        <v>1</v>
      </c>
      <c r="R138" s="92"/>
    </row>
    <row r="139" spans="1:18" x14ac:dyDescent="0.25">
      <c r="A139">
        <v>1978</v>
      </c>
      <c r="B139" t="s">
        <v>806</v>
      </c>
      <c r="C139" s="264"/>
      <c r="D139" s="157" t="s">
        <v>352</v>
      </c>
      <c r="E139" s="44">
        <f t="shared" si="10"/>
        <v>28671</v>
      </c>
      <c r="F139" s="127" t="str">
        <f t="shared" si="6"/>
        <v>Date check - OK</v>
      </c>
      <c r="G139" s="1"/>
      <c r="H139" s="161"/>
      <c r="I139" s="37"/>
      <c r="J139" s="135">
        <f t="shared" si="7"/>
        <v>0.78910283174369955</v>
      </c>
      <c r="K139" s="112"/>
      <c r="L139" s="37">
        <v>2806</v>
      </c>
      <c r="M139" s="37" t="s">
        <v>509</v>
      </c>
      <c r="N139" s="37">
        <v>722.58364330616996</v>
      </c>
      <c r="O139" s="130">
        <f t="shared" si="11"/>
        <v>2027569.7031171129</v>
      </c>
      <c r="P139" s="132">
        <f t="shared" si="12"/>
        <v>1599960.9942874459</v>
      </c>
      <c r="Q139" s="262">
        <v>1</v>
      </c>
      <c r="R139" s="92"/>
    </row>
    <row r="140" spans="1:18" x14ac:dyDescent="0.25">
      <c r="A140">
        <v>1980</v>
      </c>
      <c r="B140" t="s">
        <v>806</v>
      </c>
      <c r="C140" s="264"/>
      <c r="D140" s="157" t="s">
        <v>353</v>
      </c>
      <c r="E140" s="44">
        <f t="shared" si="10"/>
        <v>29402</v>
      </c>
      <c r="F140" s="127" t="str">
        <f t="shared" si="6"/>
        <v>Date check - OK</v>
      </c>
      <c r="G140" s="1"/>
      <c r="H140" s="161"/>
      <c r="I140" s="37"/>
      <c r="J140" s="135">
        <f t="shared" si="7"/>
        <v>0.78910283174369955</v>
      </c>
      <c r="K140" s="112"/>
      <c r="L140" s="37">
        <v>320</v>
      </c>
      <c r="M140" s="37" t="s">
        <v>509</v>
      </c>
      <c r="N140" s="37">
        <v>316.43617788125727</v>
      </c>
      <c r="O140" s="130">
        <f t="shared" si="11"/>
        <v>101259.57692200232</v>
      </c>
      <c r="P140" s="132">
        <f t="shared" si="12"/>
        <v>79904.218890321004</v>
      </c>
      <c r="Q140" s="262">
        <v>1</v>
      </c>
      <c r="R140" s="92"/>
    </row>
    <row r="141" spans="1:18" x14ac:dyDescent="0.25">
      <c r="A141">
        <v>1980</v>
      </c>
      <c r="B141" t="s">
        <v>806</v>
      </c>
      <c r="C141" s="264"/>
      <c r="D141" s="157" t="s">
        <v>354</v>
      </c>
      <c r="E141" s="44">
        <f t="shared" si="10"/>
        <v>29402</v>
      </c>
      <c r="F141" s="127" t="str">
        <f t="shared" si="6"/>
        <v>Date check - OK</v>
      </c>
      <c r="G141" s="1"/>
      <c r="H141" s="161"/>
      <c r="I141" s="37"/>
      <c r="J141" s="135">
        <f t="shared" si="7"/>
        <v>0.78910283174369955</v>
      </c>
      <c r="K141" s="112"/>
      <c r="L141" s="37">
        <v>357</v>
      </c>
      <c r="M141" s="37" t="s">
        <v>509</v>
      </c>
      <c r="N141" s="37">
        <v>380.04963632130386</v>
      </c>
      <c r="O141" s="130">
        <f t="shared" si="11"/>
        <v>135677.72016670549</v>
      </c>
      <c r="P141" s="132">
        <f t="shared" si="12"/>
        <v>107063.67318807656</v>
      </c>
      <c r="Q141" s="262">
        <v>1</v>
      </c>
      <c r="R141" s="92"/>
    </row>
    <row r="142" spans="1:18" x14ac:dyDescent="0.25">
      <c r="A142">
        <v>1984</v>
      </c>
      <c r="B142" t="s">
        <v>806</v>
      </c>
      <c r="C142" s="264"/>
      <c r="D142" s="157" t="s">
        <v>355</v>
      </c>
      <c r="E142" s="44">
        <f t="shared" si="10"/>
        <v>30863</v>
      </c>
      <c r="F142" s="127" t="str">
        <f t="shared" si="6"/>
        <v>Date check - OK</v>
      </c>
      <c r="G142" s="1"/>
      <c r="H142" s="161"/>
      <c r="I142" s="37"/>
      <c r="J142" s="135">
        <f t="shared" si="7"/>
        <v>0.78910283174369955</v>
      </c>
      <c r="K142" s="112"/>
      <c r="L142" s="37">
        <v>108</v>
      </c>
      <c r="M142" s="37" t="s">
        <v>509</v>
      </c>
      <c r="N142" s="37">
        <v>380.04963632130386</v>
      </c>
      <c r="O142" s="130">
        <f t="shared" si="11"/>
        <v>41045.360722700818</v>
      </c>
      <c r="P142" s="132">
        <f t="shared" si="12"/>
        <v>32389.010376224836</v>
      </c>
      <c r="Q142" s="262">
        <v>1</v>
      </c>
      <c r="R142" s="92"/>
    </row>
    <row r="143" spans="1:18" x14ac:dyDescent="0.25">
      <c r="A143">
        <v>1984</v>
      </c>
      <c r="B143" t="s">
        <v>806</v>
      </c>
      <c r="C143" s="264"/>
      <c r="D143" s="157" t="s">
        <v>356</v>
      </c>
      <c r="E143" s="44">
        <f t="shared" si="10"/>
        <v>30863</v>
      </c>
      <c r="F143" s="127" t="str">
        <f t="shared" si="6"/>
        <v>Date check - OK</v>
      </c>
      <c r="G143" s="1"/>
      <c r="H143" s="161"/>
      <c r="I143" s="37"/>
      <c r="J143" s="135">
        <f t="shared" si="7"/>
        <v>0.78910283174369955</v>
      </c>
      <c r="K143" s="112"/>
      <c r="L143" s="37">
        <v>368</v>
      </c>
      <c r="M143" s="37" t="s">
        <v>509</v>
      </c>
      <c r="N143" s="37">
        <v>430.61418020954596</v>
      </c>
      <c r="O143" s="130">
        <f t="shared" si="11"/>
        <v>158466.0183171129</v>
      </c>
      <c r="P143" s="132">
        <f t="shared" si="12"/>
        <v>125045.98378918275</v>
      </c>
      <c r="Q143" s="262">
        <v>1</v>
      </c>
      <c r="R143" s="92"/>
    </row>
    <row r="144" spans="1:18" x14ac:dyDescent="0.25">
      <c r="A144">
        <v>1984</v>
      </c>
      <c r="B144" t="s">
        <v>806</v>
      </c>
      <c r="C144" s="264"/>
      <c r="D144" s="157" t="s">
        <v>357</v>
      </c>
      <c r="E144" s="44">
        <f t="shared" si="10"/>
        <v>30863</v>
      </c>
      <c r="F144" s="127" t="str">
        <f t="shared" si="6"/>
        <v>Date check - OK</v>
      </c>
      <c r="G144" s="1"/>
      <c r="H144" s="161"/>
      <c r="I144" s="37"/>
      <c r="J144" s="135">
        <f t="shared" si="7"/>
        <v>0.78910283174369955</v>
      </c>
      <c r="K144" s="112"/>
      <c r="L144" s="37">
        <v>1710</v>
      </c>
      <c r="M144" s="37" t="s">
        <v>509</v>
      </c>
      <c r="N144" s="37">
        <v>510.53878183934808</v>
      </c>
      <c r="O144" s="130">
        <f t="shared" si="11"/>
        <v>873021.31694528519</v>
      </c>
      <c r="P144" s="132">
        <f t="shared" si="12"/>
        <v>688903.59337413835</v>
      </c>
      <c r="Q144" s="262">
        <v>1</v>
      </c>
      <c r="R144" s="92"/>
    </row>
    <row r="145" spans="1:18" x14ac:dyDescent="0.25">
      <c r="A145">
        <v>1984</v>
      </c>
      <c r="B145" t="s">
        <v>806</v>
      </c>
      <c r="C145" s="264"/>
      <c r="D145" s="157" t="s">
        <v>357</v>
      </c>
      <c r="E145" s="44">
        <f t="shared" si="10"/>
        <v>30863</v>
      </c>
      <c r="F145" s="127" t="str">
        <f t="shared" si="6"/>
        <v>Date check - OK</v>
      </c>
      <c r="G145" s="1"/>
      <c r="H145" s="161"/>
      <c r="I145" s="37"/>
      <c r="J145" s="135">
        <f t="shared" si="7"/>
        <v>0.78910283174369955</v>
      </c>
      <c r="K145" s="112"/>
      <c r="L145" s="37">
        <v>63</v>
      </c>
      <c r="M145" s="37" t="s">
        <v>509</v>
      </c>
      <c r="N145" s="37">
        <v>722.58364330616996</v>
      </c>
      <c r="O145" s="130">
        <f t="shared" si="11"/>
        <v>45522.769528288707</v>
      </c>
      <c r="P145" s="132">
        <f t="shared" si="12"/>
        <v>35922.146343588414</v>
      </c>
      <c r="Q145" s="262">
        <v>1</v>
      </c>
      <c r="R145" s="92"/>
    </row>
    <row r="146" spans="1:18" x14ac:dyDescent="0.25">
      <c r="A146">
        <v>1986</v>
      </c>
      <c r="B146" t="s">
        <v>806</v>
      </c>
      <c r="C146" s="264"/>
      <c r="D146" s="157" t="s">
        <v>358</v>
      </c>
      <c r="E146" s="44">
        <f t="shared" si="10"/>
        <v>31593</v>
      </c>
      <c r="F146" s="127" t="str">
        <f t="shared" si="6"/>
        <v>Date check - OK</v>
      </c>
      <c r="G146" s="1"/>
      <c r="H146" s="161"/>
      <c r="I146" s="37"/>
      <c r="J146" s="135">
        <f t="shared" si="7"/>
        <v>0.78910283174369955</v>
      </c>
      <c r="K146" s="112"/>
      <c r="L146" s="37">
        <v>2633</v>
      </c>
      <c r="M146" s="37" t="s">
        <v>509</v>
      </c>
      <c r="N146" s="37">
        <v>869.38393201396968</v>
      </c>
      <c r="O146" s="130">
        <f t="shared" si="11"/>
        <v>2289087.8929927824</v>
      </c>
      <c r="P146" s="132">
        <f t="shared" si="12"/>
        <v>1806325.7384708233</v>
      </c>
      <c r="Q146" s="262">
        <v>1</v>
      </c>
      <c r="R146" s="92"/>
    </row>
    <row r="147" spans="1:18" x14ac:dyDescent="0.25">
      <c r="A147">
        <v>1988</v>
      </c>
      <c r="B147" t="s">
        <v>806</v>
      </c>
      <c r="C147" s="264"/>
      <c r="D147" s="157" t="s">
        <v>359</v>
      </c>
      <c r="E147" s="44">
        <f t="shared" si="10"/>
        <v>32324</v>
      </c>
      <c r="F147" s="127" t="str">
        <f t="shared" si="6"/>
        <v>Date check - OK</v>
      </c>
      <c r="G147" s="1"/>
      <c r="H147" s="161"/>
      <c r="I147" s="37"/>
      <c r="J147" s="135">
        <f t="shared" si="7"/>
        <v>0.78910283174369955</v>
      </c>
      <c r="K147" s="112"/>
      <c r="L147" s="37">
        <v>555</v>
      </c>
      <c r="M147" s="37" t="s">
        <v>509</v>
      </c>
      <c r="N147" s="37">
        <v>380.04963632130386</v>
      </c>
      <c r="O147" s="130">
        <f t="shared" si="11"/>
        <v>210927.54815832365</v>
      </c>
      <c r="P147" s="132">
        <f t="shared" si="12"/>
        <v>166443.52554448874</v>
      </c>
      <c r="Q147" s="262">
        <v>1</v>
      </c>
      <c r="R147" s="92"/>
    </row>
    <row r="148" spans="1:18" ht="23" x14ac:dyDescent="0.25">
      <c r="A148">
        <v>1993</v>
      </c>
      <c r="B148" t="s">
        <v>806</v>
      </c>
      <c r="C148" s="264" t="s">
        <v>338</v>
      </c>
      <c r="D148" s="157" t="s">
        <v>360</v>
      </c>
      <c r="E148" s="44">
        <f t="shared" si="10"/>
        <v>34150</v>
      </c>
      <c r="F148" s="127" t="str">
        <f t="shared" si="6"/>
        <v>Date check - OK</v>
      </c>
      <c r="G148" s="1"/>
      <c r="H148" s="161"/>
      <c r="I148" s="37"/>
      <c r="J148" s="135">
        <f t="shared" si="7"/>
        <v>0.78910283174369955</v>
      </c>
      <c r="K148" s="112"/>
      <c r="L148" s="37">
        <v>1602</v>
      </c>
      <c r="M148" s="37" t="s">
        <v>509</v>
      </c>
      <c r="N148" s="37">
        <v>546.42329685681023</v>
      </c>
      <c r="O148" s="130">
        <f t="shared" si="11"/>
        <v>875370.12156460993</v>
      </c>
      <c r="P148" s="132">
        <f t="shared" si="12"/>
        <v>690757.04175046016</v>
      </c>
      <c r="Q148" s="262">
        <v>1</v>
      </c>
      <c r="R148" s="92"/>
    </row>
    <row r="149" spans="1:18" ht="23" x14ac:dyDescent="0.25">
      <c r="A149">
        <v>1993</v>
      </c>
      <c r="B149" t="s">
        <v>806</v>
      </c>
      <c r="C149" s="264" t="s">
        <v>338</v>
      </c>
      <c r="D149" s="157" t="s">
        <v>360</v>
      </c>
      <c r="E149" s="44">
        <f t="shared" si="10"/>
        <v>34150</v>
      </c>
      <c r="F149" s="127" t="str">
        <f t="shared" si="6"/>
        <v>Date check - OK</v>
      </c>
      <c r="G149" s="1"/>
      <c r="H149" s="161"/>
      <c r="I149" s="37"/>
      <c r="J149" s="135">
        <f t="shared" si="7"/>
        <v>0.78910283174369955</v>
      </c>
      <c r="K149" s="112"/>
      <c r="L149" s="37">
        <v>5160</v>
      </c>
      <c r="M149" s="37" t="s">
        <v>509</v>
      </c>
      <c r="N149" s="37">
        <v>722.58364330616996</v>
      </c>
      <c r="O149" s="130">
        <f t="shared" si="11"/>
        <v>3728531.5994598372</v>
      </c>
      <c r="P149" s="132">
        <f t="shared" si="12"/>
        <v>2942194.8433796228</v>
      </c>
      <c r="Q149" s="262">
        <v>1</v>
      </c>
      <c r="R149" s="92"/>
    </row>
    <row r="150" spans="1:18" x14ac:dyDescent="0.25">
      <c r="A150">
        <v>1993</v>
      </c>
      <c r="B150" t="s">
        <v>806</v>
      </c>
      <c r="C150" s="264" t="s">
        <v>339</v>
      </c>
      <c r="D150" s="157" t="s">
        <v>361</v>
      </c>
      <c r="E150" s="44">
        <f t="shared" si="10"/>
        <v>34150</v>
      </c>
      <c r="F150" s="127" t="str">
        <f t="shared" si="6"/>
        <v>Date check - OK</v>
      </c>
      <c r="G150" s="1"/>
      <c r="H150" s="161"/>
      <c r="I150" s="37"/>
      <c r="J150" s="135">
        <f t="shared" si="7"/>
        <v>0.78910283174369955</v>
      </c>
      <c r="K150" s="112"/>
      <c r="L150" s="37">
        <v>880</v>
      </c>
      <c r="M150" s="37" t="s">
        <v>509</v>
      </c>
      <c r="N150" s="37">
        <v>722.58364330616996</v>
      </c>
      <c r="O150" s="130">
        <f t="shared" si="11"/>
        <v>635873.60610942962</v>
      </c>
      <c r="P150" s="132">
        <f t="shared" si="12"/>
        <v>501769.66321202874</v>
      </c>
      <c r="Q150" s="262">
        <v>1</v>
      </c>
      <c r="R150" s="92"/>
    </row>
    <row r="151" spans="1:18" x14ac:dyDescent="0.25">
      <c r="A151">
        <v>1993</v>
      </c>
      <c r="B151" t="s">
        <v>806</v>
      </c>
      <c r="C151" s="264" t="s">
        <v>339</v>
      </c>
      <c r="D151" s="157" t="s">
        <v>361</v>
      </c>
      <c r="E151" s="44">
        <f t="shared" si="10"/>
        <v>34150</v>
      </c>
      <c r="F151" s="127" t="str">
        <f t="shared" si="6"/>
        <v>Date check - OK</v>
      </c>
      <c r="G151" s="1"/>
      <c r="H151" s="161"/>
      <c r="I151" s="37"/>
      <c r="J151" s="135">
        <f t="shared" si="7"/>
        <v>0.78910283174369955</v>
      </c>
      <c r="K151" s="112"/>
      <c r="L151" s="37">
        <v>880</v>
      </c>
      <c r="M151" s="37" t="s">
        <v>509</v>
      </c>
      <c r="N151" s="37">
        <v>722.58364330616996</v>
      </c>
      <c r="O151" s="130">
        <f t="shared" si="11"/>
        <v>635873.60610942962</v>
      </c>
      <c r="P151" s="132">
        <f t="shared" si="12"/>
        <v>501769.66321202874</v>
      </c>
      <c r="Q151" s="262">
        <v>1</v>
      </c>
      <c r="R151" s="92"/>
    </row>
    <row r="152" spans="1:18" x14ac:dyDescent="0.25">
      <c r="A152">
        <v>1993</v>
      </c>
      <c r="B152" t="s">
        <v>806</v>
      </c>
      <c r="C152" s="264" t="s">
        <v>339</v>
      </c>
      <c r="D152" s="157" t="s">
        <v>361</v>
      </c>
      <c r="E152" s="44">
        <f t="shared" si="10"/>
        <v>34150</v>
      </c>
      <c r="F152" s="127" t="str">
        <f t="shared" ref="F152:F215" si="13">IF(E152="","-",IF(OR(E152&lt;$E$15,E152&gt;$E$16),"ERROR - date outside of range","Date check - OK"))</f>
        <v>Date check - OK</v>
      </c>
      <c r="G152" s="1"/>
      <c r="H152" s="161"/>
      <c r="I152" s="37"/>
      <c r="J152" s="135">
        <f t="shared" ref="J152:J215" si="14">J151</f>
        <v>0.78910283174369955</v>
      </c>
      <c r="K152" s="112"/>
      <c r="L152" s="37">
        <v>2207</v>
      </c>
      <c r="M152" s="37" t="s">
        <v>509</v>
      </c>
      <c r="N152" s="37">
        <v>869.38393201396968</v>
      </c>
      <c r="O152" s="130">
        <f t="shared" si="11"/>
        <v>1918730.3379548311</v>
      </c>
      <c r="P152" s="132">
        <f t="shared" si="12"/>
        <v>1514075.5430327028</v>
      </c>
      <c r="Q152" s="262">
        <v>1</v>
      </c>
      <c r="R152" s="92"/>
    </row>
    <row r="153" spans="1:18" x14ac:dyDescent="0.25">
      <c r="A153">
        <v>1994</v>
      </c>
      <c r="B153" t="s">
        <v>806</v>
      </c>
      <c r="C153" s="264" t="s">
        <v>340</v>
      </c>
      <c r="D153" s="157" t="s">
        <v>362</v>
      </c>
      <c r="E153" s="44">
        <f t="shared" si="10"/>
        <v>34515</v>
      </c>
      <c r="F153" s="127" t="str">
        <f t="shared" si="13"/>
        <v>Date check - OK</v>
      </c>
      <c r="G153" s="1"/>
      <c r="H153" s="161"/>
      <c r="I153" s="37"/>
      <c r="J153" s="135">
        <f t="shared" si="14"/>
        <v>0.78910283174369955</v>
      </c>
      <c r="K153" s="112"/>
      <c r="L153" s="37">
        <v>1553</v>
      </c>
      <c r="M153" s="37" t="s">
        <v>509</v>
      </c>
      <c r="N153" s="37">
        <v>546.42329685681023</v>
      </c>
      <c r="O153" s="130">
        <f t="shared" si="11"/>
        <v>848595.38001862622</v>
      </c>
      <c r="P153" s="132">
        <f t="shared" si="12"/>
        <v>669629.01737731881</v>
      </c>
      <c r="Q153" s="262">
        <v>1</v>
      </c>
      <c r="R153" s="92"/>
    </row>
    <row r="154" spans="1:18" x14ac:dyDescent="0.25">
      <c r="A154">
        <v>1990</v>
      </c>
      <c r="B154" t="s">
        <v>285</v>
      </c>
      <c r="C154" s="264" t="s">
        <v>363</v>
      </c>
      <c r="D154" s="157" t="s">
        <v>380</v>
      </c>
      <c r="E154" s="44">
        <f t="shared" ref="E154:E170" si="15">DATEVALUE("30 Jun "&amp;A154)</f>
        <v>33054</v>
      </c>
      <c r="F154" s="127" t="str">
        <f t="shared" si="13"/>
        <v>Date check - OK</v>
      </c>
      <c r="G154" s="1"/>
      <c r="H154" s="161"/>
      <c r="I154" s="37"/>
      <c r="J154" s="135">
        <f t="shared" si="14"/>
        <v>0.78910283174369955</v>
      </c>
      <c r="K154" s="112"/>
      <c r="L154" s="37">
        <v>1</v>
      </c>
      <c r="M154" s="37"/>
      <c r="N154" s="37">
        <v>5609697.3746486604</v>
      </c>
      <c r="O154" s="130">
        <f t="shared" ref="O154:O170" si="16">IF(N154="","-",L154*N154)</f>
        <v>5609697.3746486604</v>
      </c>
      <c r="P154" s="132">
        <f t="shared" ref="P154:P170" si="17">IF(O154="-","-",IF(OR(E154&lt;$E$15,E154&gt;$E$16),0,O154*J154))*Q154</f>
        <v>4426628.0835604547</v>
      </c>
      <c r="Q154" s="262">
        <v>1</v>
      </c>
      <c r="R154" s="92"/>
    </row>
    <row r="155" spans="1:18" x14ac:dyDescent="0.25">
      <c r="A155">
        <v>1990</v>
      </c>
      <c r="B155" t="s">
        <v>285</v>
      </c>
      <c r="C155" s="264" t="s">
        <v>364</v>
      </c>
      <c r="D155" s="157" t="s">
        <v>381</v>
      </c>
      <c r="E155" s="44">
        <f t="shared" si="15"/>
        <v>33054</v>
      </c>
      <c r="F155" s="127" t="str">
        <f t="shared" si="13"/>
        <v>Date check - OK</v>
      </c>
      <c r="G155" s="1"/>
      <c r="H155" s="161"/>
      <c r="I155" s="37"/>
      <c r="J155" s="135">
        <f t="shared" si="14"/>
        <v>0.78910283174369955</v>
      </c>
      <c r="K155" s="112"/>
      <c r="L155" s="37">
        <v>1</v>
      </c>
      <c r="M155" s="37"/>
      <c r="N155" s="37">
        <v>5219826.7990128053</v>
      </c>
      <c r="O155" s="130">
        <f t="shared" si="16"/>
        <v>5219826.7990128053</v>
      </c>
      <c r="P155" s="132">
        <f t="shared" si="17"/>
        <v>4118980.1083126557</v>
      </c>
      <c r="Q155" s="262">
        <v>1</v>
      </c>
      <c r="R155" s="92"/>
    </row>
    <row r="156" spans="1:18" x14ac:dyDescent="0.25">
      <c r="A156">
        <v>1990</v>
      </c>
      <c r="B156" t="s">
        <v>285</v>
      </c>
      <c r="C156" s="264" t="s">
        <v>365</v>
      </c>
      <c r="D156" s="157" t="s">
        <v>380</v>
      </c>
      <c r="E156" s="44">
        <f t="shared" si="15"/>
        <v>33054</v>
      </c>
      <c r="F156" s="127" t="str">
        <f t="shared" si="13"/>
        <v>Date check - OK</v>
      </c>
      <c r="G156" s="1"/>
      <c r="H156" s="161"/>
      <c r="I156" s="37"/>
      <c r="J156" s="135">
        <f t="shared" si="14"/>
        <v>0.78910283174369955</v>
      </c>
      <c r="K156" s="112"/>
      <c r="L156" s="37">
        <v>1</v>
      </c>
      <c r="M156" s="37"/>
      <c r="N156" s="37">
        <v>3392310.0048894058</v>
      </c>
      <c r="O156" s="130">
        <f t="shared" si="16"/>
        <v>3392310.0048894058</v>
      </c>
      <c r="P156" s="132">
        <f t="shared" si="17"/>
        <v>2676881.4310107133</v>
      </c>
      <c r="Q156" s="262">
        <v>1</v>
      </c>
      <c r="R156" s="92"/>
    </row>
    <row r="157" spans="1:18" x14ac:dyDescent="0.25">
      <c r="A157">
        <v>1993</v>
      </c>
      <c r="B157" t="s">
        <v>285</v>
      </c>
      <c r="C157" s="264" t="s">
        <v>366</v>
      </c>
      <c r="D157" s="157" t="s">
        <v>382</v>
      </c>
      <c r="E157" s="44">
        <f t="shared" si="15"/>
        <v>34150</v>
      </c>
      <c r="F157" s="127" t="str">
        <f t="shared" si="13"/>
        <v>Date check - OK</v>
      </c>
      <c r="G157" s="1"/>
      <c r="H157" s="161"/>
      <c r="I157" s="37"/>
      <c r="J157" s="135">
        <f t="shared" si="14"/>
        <v>0.78910283174369955</v>
      </c>
      <c r="K157" s="112"/>
      <c r="L157" s="37">
        <v>1</v>
      </c>
      <c r="M157" s="37"/>
      <c r="N157" s="37">
        <v>872088.31955483125</v>
      </c>
      <c r="O157" s="130">
        <f t="shared" si="16"/>
        <v>872088.31955483125</v>
      </c>
      <c r="P157" s="132">
        <f t="shared" si="17"/>
        <v>688167.36249132163</v>
      </c>
      <c r="Q157" s="262">
        <v>1</v>
      </c>
      <c r="R157" s="92"/>
    </row>
    <row r="158" spans="1:18" x14ac:dyDescent="0.25">
      <c r="A158">
        <v>1990</v>
      </c>
      <c r="B158" t="s">
        <v>285</v>
      </c>
      <c r="C158" s="264" t="s">
        <v>367</v>
      </c>
      <c r="D158" s="157" t="s">
        <v>380</v>
      </c>
      <c r="E158" s="44">
        <f t="shared" si="15"/>
        <v>33054</v>
      </c>
      <c r="F158" s="127" t="str">
        <f t="shared" si="13"/>
        <v>Date check - OK</v>
      </c>
      <c r="G158" s="1"/>
      <c r="H158" s="161"/>
      <c r="I158" s="37"/>
      <c r="J158" s="135">
        <f t="shared" si="14"/>
        <v>0.78910283174369955</v>
      </c>
      <c r="K158" s="112"/>
      <c r="L158" s="37">
        <v>1</v>
      </c>
      <c r="M158" s="37"/>
      <c r="N158" s="37">
        <v>5609697.3746486604</v>
      </c>
      <c r="O158" s="130">
        <f t="shared" si="16"/>
        <v>5609697.3746486604</v>
      </c>
      <c r="P158" s="132">
        <f t="shared" si="17"/>
        <v>4426628.0835604547</v>
      </c>
      <c r="Q158" s="262">
        <v>1</v>
      </c>
      <c r="R158" s="92"/>
    </row>
    <row r="159" spans="1:18" x14ac:dyDescent="0.25">
      <c r="A159">
        <v>1988</v>
      </c>
      <c r="B159" t="s">
        <v>285</v>
      </c>
      <c r="C159" s="264" t="s">
        <v>368</v>
      </c>
      <c r="D159" s="157" t="s">
        <v>380</v>
      </c>
      <c r="E159" s="44">
        <f t="shared" si="15"/>
        <v>32324</v>
      </c>
      <c r="F159" s="127" t="str">
        <f t="shared" si="13"/>
        <v>Date check - OK</v>
      </c>
      <c r="G159" s="1"/>
      <c r="H159" s="161"/>
      <c r="I159" s="37"/>
      <c r="J159" s="135">
        <f t="shared" si="14"/>
        <v>0.78910283174369955</v>
      </c>
      <c r="K159" s="112"/>
      <c r="L159" s="37">
        <v>1</v>
      </c>
      <c r="M159" s="37"/>
      <c r="N159" s="37">
        <v>2880663.6964274733</v>
      </c>
      <c r="O159" s="130">
        <f t="shared" si="16"/>
        <v>2880663.6964274733</v>
      </c>
      <c r="P159" s="132">
        <f t="shared" si="17"/>
        <v>2273139.880152192</v>
      </c>
      <c r="Q159" s="262">
        <v>1</v>
      </c>
      <c r="R159" s="92"/>
    </row>
    <row r="160" spans="1:18" x14ac:dyDescent="0.25">
      <c r="A160">
        <v>1988</v>
      </c>
      <c r="B160" t="s">
        <v>285</v>
      </c>
      <c r="C160" s="264" t="s">
        <v>369</v>
      </c>
      <c r="D160" s="157" t="s">
        <v>382</v>
      </c>
      <c r="E160" s="44">
        <f t="shared" si="15"/>
        <v>32324</v>
      </c>
      <c r="F160" s="127" t="str">
        <f t="shared" si="13"/>
        <v>Date check - OK</v>
      </c>
      <c r="G160" s="1"/>
      <c r="H160" s="161"/>
      <c r="I160" s="37"/>
      <c r="J160" s="135">
        <f t="shared" si="14"/>
        <v>0.78910283174369955</v>
      </c>
      <c r="K160" s="112"/>
      <c r="L160" s="37">
        <v>1</v>
      </c>
      <c r="M160" s="37"/>
      <c r="N160" s="37">
        <v>5554872.3601592546</v>
      </c>
      <c r="O160" s="130">
        <f t="shared" si="16"/>
        <v>5554872.3601592546</v>
      </c>
      <c r="P160" s="132">
        <f t="shared" si="17"/>
        <v>4383365.5093764756</v>
      </c>
      <c r="Q160" s="262">
        <v>1</v>
      </c>
      <c r="R160" s="92"/>
    </row>
    <row r="161" spans="1:18" x14ac:dyDescent="0.25">
      <c r="A161">
        <v>1984</v>
      </c>
      <c r="B161" t="s">
        <v>285</v>
      </c>
      <c r="C161" s="264" t="s">
        <v>370</v>
      </c>
      <c r="D161" s="157" t="s">
        <v>383</v>
      </c>
      <c r="E161" s="44">
        <f t="shared" si="15"/>
        <v>30863</v>
      </c>
      <c r="F161" s="127" t="str">
        <f t="shared" si="13"/>
        <v>Date check - OK</v>
      </c>
      <c r="G161" s="1"/>
      <c r="H161" s="161"/>
      <c r="I161" s="37"/>
      <c r="J161" s="135">
        <f t="shared" si="14"/>
        <v>0.78910283174369955</v>
      </c>
      <c r="K161" s="112"/>
      <c r="L161" s="37">
        <v>1</v>
      </c>
      <c r="M161" s="37"/>
      <c r="N161" s="37">
        <v>6925509.1401946452</v>
      </c>
      <c r="O161" s="130">
        <f t="shared" si="16"/>
        <v>6925509.1401946452</v>
      </c>
      <c r="P161" s="132">
        <f t="shared" si="17"/>
        <v>5464938.8737944681</v>
      </c>
      <c r="Q161" s="262">
        <v>1</v>
      </c>
      <c r="R161" s="92"/>
    </row>
    <row r="162" spans="1:18" x14ac:dyDescent="0.25">
      <c r="A162">
        <v>1984</v>
      </c>
      <c r="B162" t="s">
        <v>285</v>
      </c>
      <c r="C162" s="264" t="s">
        <v>371</v>
      </c>
      <c r="D162" s="157" t="s">
        <v>380</v>
      </c>
      <c r="E162" s="44">
        <f t="shared" si="15"/>
        <v>30863</v>
      </c>
      <c r="F162" s="127" t="str">
        <f t="shared" si="13"/>
        <v>Date check - OK</v>
      </c>
      <c r="G162" s="1"/>
      <c r="H162" s="161"/>
      <c r="I162" s="37"/>
      <c r="J162" s="135">
        <f t="shared" si="14"/>
        <v>0.78910283174369955</v>
      </c>
      <c r="K162" s="112"/>
      <c r="L162" s="37">
        <v>1</v>
      </c>
      <c r="M162" s="37"/>
      <c r="N162" s="37">
        <v>320849.97322840511</v>
      </c>
      <c r="O162" s="130">
        <f t="shared" si="16"/>
        <v>320849.97322840511</v>
      </c>
      <c r="P162" s="132">
        <f t="shared" si="17"/>
        <v>253183.62243942465</v>
      </c>
      <c r="Q162" s="262">
        <v>1</v>
      </c>
      <c r="R162" s="92"/>
    </row>
    <row r="163" spans="1:18" x14ac:dyDescent="0.25">
      <c r="A163">
        <v>1980</v>
      </c>
      <c r="B163" t="s">
        <v>285</v>
      </c>
      <c r="C163" s="264" t="s">
        <v>372</v>
      </c>
      <c r="D163" s="157" t="s">
        <v>383</v>
      </c>
      <c r="E163" s="44">
        <f t="shared" si="15"/>
        <v>29402</v>
      </c>
      <c r="F163" s="127" t="str">
        <f t="shared" si="13"/>
        <v>Date check - OK</v>
      </c>
      <c r="G163" s="1"/>
      <c r="H163" s="161"/>
      <c r="I163" s="37"/>
      <c r="J163" s="135">
        <f t="shared" si="14"/>
        <v>0.78910283174369955</v>
      </c>
      <c r="K163" s="112"/>
      <c r="L163" s="37">
        <v>1</v>
      </c>
      <c r="M163" s="37"/>
      <c r="N163" s="37">
        <v>743246.59949895227</v>
      </c>
      <c r="O163" s="130">
        <f t="shared" si="16"/>
        <v>743246.59949895227</v>
      </c>
      <c r="P163" s="132">
        <f t="shared" si="17"/>
        <v>586497.99634849862</v>
      </c>
      <c r="Q163" s="262">
        <v>1</v>
      </c>
      <c r="R163" s="92"/>
    </row>
    <row r="164" spans="1:18" x14ac:dyDescent="0.25">
      <c r="A164">
        <v>1980</v>
      </c>
      <c r="B164" t="s">
        <v>285</v>
      </c>
      <c r="C164" s="264" t="s">
        <v>373</v>
      </c>
      <c r="D164" s="157" t="s">
        <v>384</v>
      </c>
      <c r="E164" s="44">
        <f t="shared" si="15"/>
        <v>29402</v>
      </c>
      <c r="F164" s="127" t="str">
        <f t="shared" si="13"/>
        <v>Date check - OK</v>
      </c>
      <c r="G164" s="1"/>
      <c r="H164" s="161"/>
      <c r="I164" s="37"/>
      <c r="J164" s="135">
        <f t="shared" si="14"/>
        <v>0.78910283174369955</v>
      </c>
      <c r="K164" s="112"/>
      <c r="L164" s="37">
        <v>1</v>
      </c>
      <c r="M164" s="37"/>
      <c r="N164" s="37">
        <v>289842.49002467986</v>
      </c>
      <c r="O164" s="130">
        <f t="shared" si="16"/>
        <v>289842.49002467986</v>
      </c>
      <c r="P164" s="132">
        <f t="shared" si="17"/>
        <v>228715.52963811986</v>
      </c>
      <c r="Q164" s="262">
        <v>1</v>
      </c>
      <c r="R164" s="92"/>
    </row>
    <row r="165" spans="1:18" x14ac:dyDescent="0.25">
      <c r="A165">
        <v>1978</v>
      </c>
      <c r="B165" t="s">
        <v>285</v>
      </c>
      <c r="C165" s="264" t="s">
        <v>374</v>
      </c>
      <c r="D165" s="157" t="s">
        <v>385</v>
      </c>
      <c r="E165" s="44">
        <f t="shared" si="15"/>
        <v>28671</v>
      </c>
      <c r="F165" s="127" t="str">
        <f t="shared" si="13"/>
        <v>Date check - OK</v>
      </c>
      <c r="G165" s="1"/>
      <c r="H165" s="161"/>
      <c r="I165" s="37"/>
      <c r="J165" s="135">
        <f t="shared" si="14"/>
        <v>0.78910283174369955</v>
      </c>
      <c r="K165" s="112"/>
      <c r="L165" s="37">
        <v>1</v>
      </c>
      <c r="M165" s="37"/>
      <c r="N165" s="37">
        <v>535292.57274412108</v>
      </c>
      <c r="O165" s="130">
        <f t="shared" si="16"/>
        <v>535292.57274412108</v>
      </c>
      <c r="P165" s="132">
        <f t="shared" si="17"/>
        <v>422400.88496375625</v>
      </c>
      <c r="Q165" s="262">
        <v>1</v>
      </c>
      <c r="R165" s="92"/>
    </row>
    <row r="166" spans="1:18" x14ac:dyDescent="0.25">
      <c r="A166">
        <v>1978</v>
      </c>
      <c r="B166" t="s">
        <v>285</v>
      </c>
      <c r="C166" s="264" t="s">
        <v>375</v>
      </c>
      <c r="D166" s="157" t="s">
        <v>385</v>
      </c>
      <c r="E166" s="44">
        <f t="shared" si="15"/>
        <v>28671</v>
      </c>
      <c r="F166" s="127" t="str">
        <f t="shared" si="13"/>
        <v>Date check - OK</v>
      </c>
      <c r="G166" s="1"/>
      <c r="H166" s="161"/>
      <c r="I166" s="37"/>
      <c r="J166" s="135">
        <f t="shared" si="14"/>
        <v>0.78910283174369955</v>
      </c>
      <c r="K166" s="112"/>
      <c r="L166" s="37">
        <v>1</v>
      </c>
      <c r="M166" s="37"/>
      <c r="N166" s="37">
        <v>431733.12463236321</v>
      </c>
      <c r="O166" s="130">
        <f t="shared" si="16"/>
        <v>431733.12463236321</v>
      </c>
      <c r="P166" s="132">
        <f t="shared" si="17"/>
        <v>340681.83120495337</v>
      </c>
      <c r="Q166" s="262">
        <v>1</v>
      </c>
      <c r="R166" s="92"/>
    </row>
    <row r="167" spans="1:18" x14ac:dyDescent="0.25">
      <c r="A167">
        <v>1977</v>
      </c>
      <c r="B167" t="s">
        <v>285</v>
      </c>
      <c r="C167" s="264" t="s">
        <v>376</v>
      </c>
      <c r="D167" s="157" t="s">
        <v>380</v>
      </c>
      <c r="E167" s="44">
        <f t="shared" si="15"/>
        <v>28306</v>
      </c>
      <c r="F167" s="127" t="str">
        <f t="shared" si="13"/>
        <v>Date check - OK</v>
      </c>
      <c r="G167" s="1"/>
      <c r="H167" s="161"/>
      <c r="I167" s="37"/>
      <c r="J167" s="135">
        <f t="shared" si="14"/>
        <v>0.78910283174369955</v>
      </c>
      <c r="K167" s="112"/>
      <c r="L167" s="37">
        <v>1</v>
      </c>
      <c r="M167" s="37"/>
      <c r="N167" s="37">
        <v>231274.06817322466</v>
      </c>
      <c r="O167" s="130">
        <f t="shared" si="16"/>
        <v>231274.06817322466</v>
      </c>
      <c r="P167" s="132">
        <f t="shared" si="17"/>
        <v>182499.02210437699</v>
      </c>
      <c r="Q167" s="262">
        <v>1</v>
      </c>
      <c r="R167" s="92"/>
    </row>
    <row r="168" spans="1:18" x14ac:dyDescent="0.25">
      <c r="A168">
        <v>1977</v>
      </c>
      <c r="B168" t="s">
        <v>285</v>
      </c>
      <c r="C168" s="264" t="s">
        <v>377</v>
      </c>
      <c r="D168" s="157" t="s">
        <v>381</v>
      </c>
      <c r="E168" s="44">
        <f t="shared" si="15"/>
        <v>28306</v>
      </c>
      <c r="F168" s="127" t="str">
        <f t="shared" si="13"/>
        <v>Date check - OK</v>
      </c>
      <c r="G168" s="1"/>
      <c r="H168" s="161"/>
      <c r="I168" s="37"/>
      <c r="J168" s="135">
        <f t="shared" si="14"/>
        <v>0.78910283174369955</v>
      </c>
      <c r="K168" s="112"/>
      <c r="L168" s="37">
        <v>1</v>
      </c>
      <c r="M168" s="37"/>
      <c r="N168" s="37">
        <v>269171.37826030265</v>
      </c>
      <c r="O168" s="130">
        <f t="shared" si="16"/>
        <v>269171.37826030265</v>
      </c>
      <c r="P168" s="132">
        <f t="shared" si="17"/>
        <v>212403.89680955932</v>
      </c>
      <c r="Q168" s="262">
        <v>1</v>
      </c>
      <c r="R168" s="92"/>
    </row>
    <row r="169" spans="1:18" x14ac:dyDescent="0.25">
      <c r="A169">
        <v>1974</v>
      </c>
      <c r="B169" t="s">
        <v>285</v>
      </c>
      <c r="C169" s="264" t="s">
        <v>378</v>
      </c>
      <c r="D169" s="157" t="s">
        <v>380</v>
      </c>
      <c r="E169" s="44">
        <f t="shared" si="15"/>
        <v>27210</v>
      </c>
      <c r="F169" s="127" t="str">
        <f t="shared" si="13"/>
        <v>Date check - OK</v>
      </c>
      <c r="G169" s="1"/>
      <c r="H169" s="161"/>
      <c r="I169" s="37"/>
      <c r="J169" s="135">
        <f t="shared" si="14"/>
        <v>0.78910283174369955</v>
      </c>
      <c r="K169" s="112"/>
      <c r="L169" s="37">
        <v>1</v>
      </c>
      <c r="M169" s="37"/>
      <c r="N169" s="37">
        <v>613695.34471431898</v>
      </c>
      <c r="O169" s="130">
        <f t="shared" si="16"/>
        <v>613695.34471431898</v>
      </c>
      <c r="P169" s="132">
        <f t="shared" si="17"/>
        <v>484268.73434199498</v>
      </c>
      <c r="Q169" s="262">
        <v>1</v>
      </c>
      <c r="R169" s="92"/>
    </row>
    <row r="170" spans="1:18" x14ac:dyDescent="0.25">
      <c r="A170">
        <v>1974</v>
      </c>
      <c r="B170" t="s">
        <v>285</v>
      </c>
      <c r="C170" s="264" t="s">
        <v>379</v>
      </c>
      <c r="D170" s="157" t="s">
        <v>383</v>
      </c>
      <c r="E170" s="44">
        <f t="shared" si="15"/>
        <v>27210</v>
      </c>
      <c r="F170" s="127" t="str">
        <f t="shared" si="13"/>
        <v>Date check - OK</v>
      </c>
      <c r="G170" s="1"/>
      <c r="H170" s="161"/>
      <c r="I170" s="37"/>
      <c r="J170" s="135">
        <f t="shared" si="14"/>
        <v>0.78910283174369955</v>
      </c>
      <c r="K170" s="112"/>
      <c r="L170" s="37">
        <v>1</v>
      </c>
      <c r="M170" s="37"/>
      <c r="N170" s="37">
        <v>348412.54299045401</v>
      </c>
      <c r="O170" s="130">
        <f t="shared" si="16"/>
        <v>348412.54299045401</v>
      </c>
      <c r="P170" s="132">
        <f t="shared" si="17"/>
        <v>274933.3242887907</v>
      </c>
      <c r="Q170" s="262">
        <v>1</v>
      </c>
      <c r="R170" s="92"/>
    </row>
    <row r="171" spans="1:18" x14ac:dyDescent="0.25">
      <c r="C171" s="264"/>
      <c r="D171" s="157"/>
      <c r="E171" s="44"/>
      <c r="F171" s="127"/>
      <c r="G171" s="1"/>
      <c r="H171" s="161"/>
      <c r="I171" s="37"/>
      <c r="J171" s="135">
        <f t="shared" si="14"/>
        <v>0.78910283174369955</v>
      </c>
      <c r="K171" s="112"/>
      <c r="L171" s="37"/>
      <c r="M171" s="37"/>
      <c r="N171" s="37"/>
      <c r="O171" s="130"/>
      <c r="P171" s="132"/>
      <c r="Q171" s="262"/>
      <c r="R171" s="92"/>
    </row>
    <row r="172" spans="1:18" x14ac:dyDescent="0.25">
      <c r="A172">
        <v>1986</v>
      </c>
      <c r="B172" t="s">
        <v>805</v>
      </c>
      <c r="C172" s="264" t="s">
        <v>555</v>
      </c>
      <c r="D172" s="157" t="s">
        <v>556</v>
      </c>
      <c r="E172" s="44">
        <v>31593</v>
      </c>
      <c r="F172" s="127" t="str">
        <f t="shared" si="13"/>
        <v>Date check - OK</v>
      </c>
      <c r="G172" s="1"/>
      <c r="H172" s="161"/>
      <c r="I172" s="37"/>
      <c r="J172" s="135">
        <f t="shared" si="14"/>
        <v>0.78910283174369955</v>
      </c>
      <c r="K172" s="112"/>
      <c r="L172" s="37">
        <v>2000</v>
      </c>
      <c r="M172" s="37" t="s">
        <v>509</v>
      </c>
      <c r="N172" s="37">
        <v>8814.5417797438877</v>
      </c>
      <c r="O172" s="130">
        <f t="shared" ref="O172:O235" si="18">IF(N172="","-",L172*N172)</f>
        <v>17629083.559487775</v>
      </c>
      <c r="P172" s="132">
        <f t="shared" ref="P172:P235" si="19">IF(O172="-","-",IF(OR(E172&lt;$E$15,E172&gt;$E$16),0,O172*J172))*Q172</f>
        <v>13911159.757838102</v>
      </c>
      <c r="Q172" s="262">
        <v>1</v>
      </c>
      <c r="R172" s="92"/>
    </row>
    <row r="173" spans="1:18" x14ac:dyDescent="0.25">
      <c r="A173">
        <v>1988</v>
      </c>
      <c r="B173" t="s">
        <v>805</v>
      </c>
      <c r="C173" s="264" t="s">
        <v>557</v>
      </c>
      <c r="D173" s="157" t="s">
        <v>558</v>
      </c>
      <c r="E173" s="44">
        <v>32324</v>
      </c>
      <c r="F173" s="127" t="str">
        <f t="shared" si="13"/>
        <v>Date check - OK</v>
      </c>
      <c r="G173" s="1"/>
      <c r="H173" s="161"/>
      <c r="I173" s="37"/>
      <c r="J173" s="135">
        <f t="shared" si="14"/>
        <v>0.78910283174369955</v>
      </c>
      <c r="K173" s="112"/>
      <c r="L173" s="37">
        <v>3591.87</v>
      </c>
      <c r="M173" s="37" t="s">
        <v>509</v>
      </c>
      <c r="N173" s="37">
        <v>5190.5098641906779</v>
      </c>
      <c r="O173" s="130">
        <f t="shared" si="18"/>
        <v>18643636.665890571</v>
      </c>
      <c r="P173" s="132">
        <f t="shared" si="19"/>
        <v>14711746.487054914</v>
      </c>
      <c r="Q173" s="262">
        <v>1</v>
      </c>
      <c r="R173" s="92"/>
    </row>
    <row r="174" spans="1:18" x14ac:dyDescent="0.25">
      <c r="A174">
        <v>1993</v>
      </c>
      <c r="B174" t="s">
        <v>805</v>
      </c>
      <c r="C174" s="264" t="s">
        <v>559</v>
      </c>
      <c r="D174" s="157" t="s">
        <v>560</v>
      </c>
      <c r="E174" s="44">
        <v>34150</v>
      </c>
      <c r="F174" s="127" t="str">
        <f t="shared" si="13"/>
        <v>Date check - OK</v>
      </c>
      <c r="G174" s="1"/>
      <c r="H174" s="161"/>
      <c r="I174" s="37"/>
      <c r="J174" s="135">
        <f t="shared" si="14"/>
        <v>0.78910283174369955</v>
      </c>
      <c r="K174" s="112"/>
      <c r="L174" s="37">
        <v>7447.07</v>
      </c>
      <c r="M174" s="37" t="s">
        <v>509</v>
      </c>
      <c r="N174" s="37">
        <v>3948.6306617893033</v>
      </c>
      <c r="O174" s="130">
        <f t="shared" si="18"/>
        <v>29405728.942491267</v>
      </c>
      <c r="P174" s="132">
        <f t="shared" si="19"/>
        <v>23204143.978007521</v>
      </c>
      <c r="Q174" s="262">
        <v>1</v>
      </c>
      <c r="R174" s="92"/>
    </row>
    <row r="175" spans="1:18" x14ac:dyDescent="0.25">
      <c r="A175">
        <v>1994</v>
      </c>
      <c r="B175" t="s">
        <v>805</v>
      </c>
      <c r="C175" s="264" t="s">
        <v>561</v>
      </c>
      <c r="D175" s="157" t="s">
        <v>562</v>
      </c>
      <c r="E175" s="44">
        <v>34515</v>
      </c>
      <c r="F175" s="127" t="str">
        <f t="shared" si="13"/>
        <v>Date check - OK</v>
      </c>
      <c r="G175" s="1"/>
      <c r="H175" s="161"/>
      <c r="I175" s="37"/>
      <c r="J175" s="135">
        <f t="shared" si="14"/>
        <v>0.78910283174369955</v>
      </c>
      <c r="K175" s="112"/>
      <c r="L175" s="37">
        <v>3034</v>
      </c>
      <c r="M175" s="37" t="s">
        <v>509</v>
      </c>
      <c r="N175" s="37">
        <v>5439.5565851663296</v>
      </c>
      <c r="O175" s="130">
        <f t="shared" si="18"/>
        <v>16503614.679394644</v>
      </c>
      <c r="P175" s="132">
        <f t="shared" si="19"/>
        <v>13023049.077517202</v>
      </c>
      <c r="Q175" s="262">
        <v>1</v>
      </c>
      <c r="R175" s="92"/>
    </row>
    <row r="176" spans="1:18" x14ac:dyDescent="0.25">
      <c r="A176">
        <v>1983</v>
      </c>
      <c r="B176" t="s">
        <v>805</v>
      </c>
      <c r="C176" s="264" t="s">
        <v>563</v>
      </c>
      <c r="D176" s="157" t="s">
        <v>564</v>
      </c>
      <c r="E176" s="44">
        <v>30497</v>
      </c>
      <c r="F176" s="127" t="str">
        <f t="shared" si="13"/>
        <v>Date check - OK</v>
      </c>
      <c r="G176" s="1"/>
      <c r="H176" s="161"/>
      <c r="I176" s="37"/>
      <c r="J176" s="135">
        <f t="shared" si="14"/>
        <v>0.78910283174369955</v>
      </c>
      <c r="K176" s="112"/>
      <c r="L176" s="37">
        <v>76.599999999999994</v>
      </c>
      <c r="M176" s="37" t="s">
        <v>509</v>
      </c>
      <c r="N176" s="37">
        <v>468.12980954598368</v>
      </c>
      <c r="O176" s="130">
        <f t="shared" si="18"/>
        <v>35858.743411222349</v>
      </c>
      <c r="P176" s="132">
        <f t="shared" si="19"/>
        <v>28296.235968566285</v>
      </c>
      <c r="Q176" s="262">
        <v>1</v>
      </c>
      <c r="R176" s="92"/>
    </row>
    <row r="177" spans="1:18" x14ac:dyDescent="0.25">
      <c r="A177">
        <v>1983</v>
      </c>
      <c r="B177" t="s">
        <v>805</v>
      </c>
      <c r="C177" s="264" t="s">
        <v>563</v>
      </c>
      <c r="D177" s="157" t="s">
        <v>564</v>
      </c>
      <c r="E177" s="44">
        <v>30497</v>
      </c>
      <c r="F177" s="127" t="str">
        <f t="shared" si="13"/>
        <v>Date check - OK</v>
      </c>
      <c r="G177" s="1"/>
      <c r="H177" s="161"/>
      <c r="I177" s="37"/>
      <c r="J177" s="135">
        <f t="shared" si="14"/>
        <v>0.78910283174369955</v>
      </c>
      <c r="K177" s="112"/>
      <c r="L177" s="37">
        <v>331</v>
      </c>
      <c r="M177" s="37" t="s">
        <v>509</v>
      </c>
      <c r="N177" s="37">
        <v>450.18755203725266</v>
      </c>
      <c r="O177" s="130">
        <f t="shared" si="18"/>
        <v>149012.07972433063</v>
      </c>
      <c r="P177" s="132">
        <f t="shared" si="19"/>
        <v>117585.85407448722</v>
      </c>
      <c r="Q177" s="262">
        <v>1</v>
      </c>
      <c r="R177" s="92"/>
    </row>
    <row r="178" spans="1:18" x14ac:dyDescent="0.25">
      <c r="A178">
        <v>1984</v>
      </c>
      <c r="B178" t="s">
        <v>805</v>
      </c>
      <c r="C178" s="264" t="s">
        <v>565</v>
      </c>
      <c r="D178" s="157" t="s">
        <v>566</v>
      </c>
      <c r="E178" s="44">
        <v>30863</v>
      </c>
      <c r="F178" s="127" t="str">
        <f t="shared" si="13"/>
        <v>Date check - OK</v>
      </c>
      <c r="G178" s="1"/>
      <c r="H178" s="161"/>
      <c r="I178" s="37"/>
      <c r="J178" s="135">
        <f t="shared" si="14"/>
        <v>0.78910283174369955</v>
      </c>
      <c r="K178" s="112"/>
      <c r="L178" s="37">
        <v>275</v>
      </c>
      <c r="M178" s="37" t="s">
        <v>509</v>
      </c>
      <c r="N178" s="37">
        <v>494.22763864959256</v>
      </c>
      <c r="O178" s="130">
        <f t="shared" si="18"/>
        <v>135912.60062863794</v>
      </c>
      <c r="P178" s="132">
        <f t="shared" si="19"/>
        <v>107249.01802570872</v>
      </c>
      <c r="Q178" s="262">
        <v>1</v>
      </c>
      <c r="R178" s="92"/>
    </row>
    <row r="179" spans="1:18" x14ac:dyDescent="0.25">
      <c r="A179">
        <v>1984</v>
      </c>
      <c r="B179" t="s">
        <v>805</v>
      </c>
      <c r="C179" s="264" t="s">
        <v>565</v>
      </c>
      <c r="D179" s="157" t="s">
        <v>566</v>
      </c>
      <c r="E179" s="44">
        <v>30863</v>
      </c>
      <c r="F179" s="127" t="str">
        <f t="shared" si="13"/>
        <v>Date check - OK</v>
      </c>
      <c r="G179" s="1"/>
      <c r="H179" s="161"/>
      <c r="I179" s="37"/>
      <c r="J179" s="135">
        <f t="shared" si="14"/>
        <v>0.78910283174369955</v>
      </c>
      <c r="K179" s="112"/>
      <c r="L179" s="37">
        <v>339</v>
      </c>
      <c r="M179" s="37" t="s">
        <v>509</v>
      </c>
      <c r="N179" s="37">
        <v>450.18755203725266</v>
      </c>
      <c r="O179" s="130">
        <f t="shared" si="18"/>
        <v>152613.58014062865</v>
      </c>
      <c r="P179" s="132">
        <f t="shared" si="19"/>
        <v>120427.8082515141</v>
      </c>
      <c r="Q179" s="262">
        <v>1</v>
      </c>
      <c r="R179" s="92"/>
    </row>
    <row r="180" spans="1:18" x14ac:dyDescent="0.25">
      <c r="A180">
        <v>1984</v>
      </c>
      <c r="B180" t="s">
        <v>805</v>
      </c>
      <c r="C180" s="264" t="s">
        <v>565</v>
      </c>
      <c r="D180" s="157" t="s">
        <v>566</v>
      </c>
      <c r="E180" s="44">
        <v>30863</v>
      </c>
      <c r="F180" s="127" t="str">
        <f t="shared" si="13"/>
        <v>Date check - OK</v>
      </c>
      <c r="G180" s="1"/>
      <c r="H180" s="161"/>
      <c r="I180" s="37"/>
      <c r="J180" s="135">
        <f t="shared" si="14"/>
        <v>0.78910283174369955</v>
      </c>
      <c r="K180" s="112"/>
      <c r="L180" s="37">
        <v>151</v>
      </c>
      <c r="M180" s="37" t="s">
        <v>509</v>
      </c>
      <c r="N180" s="37">
        <v>567.62778300349237</v>
      </c>
      <c r="O180" s="130">
        <f t="shared" si="18"/>
        <v>85711.795233527344</v>
      </c>
      <c r="P180" s="132">
        <f t="shared" si="19"/>
        <v>67635.420332612557</v>
      </c>
      <c r="Q180" s="262">
        <v>1</v>
      </c>
      <c r="R180" s="92"/>
    </row>
    <row r="181" spans="1:18" x14ac:dyDescent="0.25">
      <c r="A181">
        <v>1985</v>
      </c>
      <c r="B181" t="s">
        <v>805</v>
      </c>
      <c r="C181" s="264" t="s">
        <v>567</v>
      </c>
      <c r="D181" s="157" t="s">
        <v>568</v>
      </c>
      <c r="E181" s="44">
        <v>31228</v>
      </c>
      <c r="F181" s="127" t="str">
        <f t="shared" si="13"/>
        <v>Date check - OK</v>
      </c>
      <c r="G181" s="1"/>
      <c r="H181" s="161"/>
      <c r="I181" s="37"/>
      <c r="J181" s="135">
        <f t="shared" si="14"/>
        <v>0.78910283174369955</v>
      </c>
      <c r="K181" s="112"/>
      <c r="L181" s="37">
        <v>335</v>
      </c>
      <c r="M181" s="37" t="s">
        <v>509</v>
      </c>
      <c r="N181" s="37">
        <v>946.04630500582073</v>
      </c>
      <c r="O181" s="130">
        <f t="shared" si="18"/>
        <v>316925.51217694994</v>
      </c>
      <c r="P181" s="132">
        <f t="shared" si="19"/>
        <v>250086.81911065354</v>
      </c>
      <c r="Q181" s="262">
        <v>1</v>
      </c>
      <c r="R181" s="92"/>
    </row>
    <row r="182" spans="1:18" x14ac:dyDescent="0.25">
      <c r="A182">
        <v>1985</v>
      </c>
      <c r="B182" t="s">
        <v>805</v>
      </c>
      <c r="C182" s="264" t="s">
        <v>567</v>
      </c>
      <c r="D182" s="157" t="s">
        <v>569</v>
      </c>
      <c r="E182" s="44">
        <v>31228</v>
      </c>
      <c r="F182" s="127" t="str">
        <f t="shared" si="13"/>
        <v>Date check - OK</v>
      </c>
      <c r="G182" s="1"/>
      <c r="H182" s="161"/>
      <c r="I182" s="37"/>
      <c r="J182" s="135">
        <f t="shared" si="14"/>
        <v>0.78910283174369955</v>
      </c>
      <c r="K182" s="112"/>
      <c r="L182" s="37">
        <v>49</v>
      </c>
      <c r="M182" s="37" t="s">
        <v>509</v>
      </c>
      <c r="N182" s="37">
        <v>946.04630500582073</v>
      </c>
      <c r="O182" s="130">
        <f t="shared" si="18"/>
        <v>46356.268945285214</v>
      </c>
      <c r="P182" s="132">
        <f t="shared" si="19"/>
        <v>36579.863093797081</v>
      </c>
      <c r="Q182" s="262">
        <v>1</v>
      </c>
      <c r="R182" s="92"/>
    </row>
    <row r="183" spans="1:18" x14ac:dyDescent="0.25">
      <c r="A183">
        <v>1985</v>
      </c>
      <c r="B183" t="s">
        <v>805</v>
      </c>
      <c r="C183" s="264" t="s">
        <v>567</v>
      </c>
      <c r="D183" s="157" t="s">
        <v>570</v>
      </c>
      <c r="E183" s="44">
        <v>31228</v>
      </c>
      <c r="F183" s="127" t="str">
        <f t="shared" si="13"/>
        <v>Date check - OK</v>
      </c>
      <c r="G183" s="1"/>
      <c r="H183" s="161"/>
      <c r="I183" s="37"/>
      <c r="J183" s="135">
        <f t="shared" si="14"/>
        <v>0.78910283174369955</v>
      </c>
      <c r="K183" s="112"/>
      <c r="L183" s="37">
        <v>64</v>
      </c>
      <c r="M183" s="37" t="s">
        <v>509</v>
      </c>
      <c r="N183" s="37">
        <v>946.04630500582073</v>
      </c>
      <c r="O183" s="130">
        <f t="shared" si="18"/>
        <v>60546.963520372527</v>
      </c>
      <c r="P183" s="132">
        <f t="shared" si="19"/>
        <v>47777.780367408435</v>
      </c>
      <c r="Q183" s="262">
        <v>1</v>
      </c>
      <c r="R183" s="92"/>
    </row>
    <row r="184" spans="1:18" x14ac:dyDescent="0.25">
      <c r="A184">
        <v>1985</v>
      </c>
      <c r="B184" t="s">
        <v>805</v>
      </c>
      <c r="C184" s="264" t="s">
        <v>567</v>
      </c>
      <c r="D184" s="157" t="s">
        <v>570</v>
      </c>
      <c r="E184" s="44">
        <v>31228</v>
      </c>
      <c r="F184" s="127" t="str">
        <f t="shared" si="13"/>
        <v>Date check - OK</v>
      </c>
      <c r="G184" s="1"/>
      <c r="H184" s="161"/>
      <c r="I184" s="37"/>
      <c r="J184" s="135">
        <f t="shared" si="14"/>
        <v>0.78910283174369955</v>
      </c>
      <c r="K184" s="112"/>
      <c r="L184" s="37">
        <v>156</v>
      </c>
      <c r="M184" s="37" t="s">
        <v>509</v>
      </c>
      <c r="N184" s="37">
        <v>946.04630500582073</v>
      </c>
      <c r="O184" s="130">
        <f t="shared" si="18"/>
        <v>147583.22358090803</v>
      </c>
      <c r="P184" s="132">
        <f t="shared" si="19"/>
        <v>116458.33964555807</v>
      </c>
      <c r="Q184" s="262">
        <v>1</v>
      </c>
      <c r="R184" s="92"/>
    </row>
    <row r="185" spans="1:18" x14ac:dyDescent="0.25">
      <c r="A185">
        <v>1985</v>
      </c>
      <c r="B185" t="s">
        <v>805</v>
      </c>
      <c r="C185" s="264" t="s">
        <v>571</v>
      </c>
      <c r="D185" s="157" t="s">
        <v>572</v>
      </c>
      <c r="E185" s="44">
        <v>31228</v>
      </c>
      <c r="F185" s="127" t="str">
        <f t="shared" si="13"/>
        <v>Date check - OK</v>
      </c>
      <c r="G185" s="1"/>
      <c r="H185" s="161"/>
      <c r="I185" s="37"/>
      <c r="J185" s="135">
        <f t="shared" si="14"/>
        <v>0.78910283174369955</v>
      </c>
      <c r="K185" s="112"/>
      <c r="L185" s="37">
        <v>438</v>
      </c>
      <c r="M185" s="37" t="s">
        <v>509</v>
      </c>
      <c r="N185" s="37">
        <v>833.49941699650753</v>
      </c>
      <c r="O185" s="130">
        <f t="shared" si="18"/>
        <v>365072.74464447028</v>
      </c>
      <c r="P185" s="132">
        <f t="shared" si="19"/>
        <v>288079.93659139605</v>
      </c>
      <c r="Q185" s="262">
        <v>1</v>
      </c>
      <c r="R185" s="92"/>
    </row>
    <row r="186" spans="1:18" x14ac:dyDescent="0.25">
      <c r="A186">
        <v>1985</v>
      </c>
      <c r="B186" t="s">
        <v>805</v>
      </c>
      <c r="C186" s="264" t="s">
        <v>571</v>
      </c>
      <c r="D186" s="157" t="s">
        <v>572</v>
      </c>
      <c r="E186" s="44">
        <v>31228</v>
      </c>
      <c r="F186" s="127" t="str">
        <f t="shared" si="13"/>
        <v>Date check - OK</v>
      </c>
      <c r="G186" s="1"/>
      <c r="H186" s="161"/>
      <c r="I186" s="37"/>
      <c r="J186" s="135">
        <f t="shared" si="14"/>
        <v>0.78910283174369955</v>
      </c>
      <c r="K186" s="112"/>
      <c r="L186" s="37">
        <v>313</v>
      </c>
      <c r="M186" s="37" t="s">
        <v>509</v>
      </c>
      <c r="N186" s="37">
        <v>450.18755203725266</v>
      </c>
      <c r="O186" s="130">
        <f t="shared" si="18"/>
        <v>140908.70378766008</v>
      </c>
      <c r="P186" s="132">
        <f t="shared" si="19"/>
        <v>111191.45717617673</v>
      </c>
      <c r="Q186" s="262">
        <v>1</v>
      </c>
      <c r="R186" s="92"/>
    </row>
    <row r="187" spans="1:18" x14ac:dyDescent="0.25">
      <c r="A187">
        <v>1985</v>
      </c>
      <c r="B187" t="s">
        <v>805</v>
      </c>
      <c r="C187" s="264" t="s">
        <v>571</v>
      </c>
      <c r="D187" s="157" t="s">
        <v>573</v>
      </c>
      <c r="E187" s="44">
        <v>31228</v>
      </c>
      <c r="F187" s="127" t="str">
        <f t="shared" si="13"/>
        <v>Date check - OK</v>
      </c>
      <c r="G187" s="1"/>
      <c r="H187" s="161"/>
      <c r="I187" s="37"/>
      <c r="J187" s="135">
        <f t="shared" si="14"/>
        <v>0.78910283174369955</v>
      </c>
      <c r="K187" s="112"/>
      <c r="L187" s="37">
        <v>366</v>
      </c>
      <c r="M187" s="37" t="s">
        <v>509</v>
      </c>
      <c r="N187" s="37">
        <v>450.18755203725266</v>
      </c>
      <c r="O187" s="130">
        <f t="shared" si="18"/>
        <v>164768.64404563449</v>
      </c>
      <c r="P187" s="132">
        <f t="shared" si="19"/>
        <v>130019.40359897983</v>
      </c>
      <c r="Q187" s="262">
        <v>1</v>
      </c>
      <c r="R187" s="92"/>
    </row>
    <row r="188" spans="1:18" x14ac:dyDescent="0.25">
      <c r="A188">
        <v>1985</v>
      </c>
      <c r="B188" t="s">
        <v>805</v>
      </c>
      <c r="C188" s="264" t="s">
        <v>571</v>
      </c>
      <c r="D188" s="157" t="s">
        <v>573</v>
      </c>
      <c r="E188" s="44">
        <v>31228</v>
      </c>
      <c r="F188" s="127" t="str">
        <f t="shared" si="13"/>
        <v>Date check - OK</v>
      </c>
      <c r="G188" s="1"/>
      <c r="H188" s="161"/>
      <c r="I188" s="37"/>
      <c r="J188" s="135">
        <f t="shared" si="14"/>
        <v>0.78910283174369955</v>
      </c>
      <c r="K188" s="112"/>
      <c r="L188" s="37">
        <v>438</v>
      </c>
      <c r="M188" s="37" t="s">
        <v>509</v>
      </c>
      <c r="N188" s="37">
        <v>494.22763864959256</v>
      </c>
      <c r="O188" s="130">
        <f t="shared" si="18"/>
        <v>216471.70572852154</v>
      </c>
      <c r="P188" s="132">
        <f t="shared" si="19"/>
        <v>170818.43598276516</v>
      </c>
      <c r="Q188" s="262">
        <v>1</v>
      </c>
      <c r="R188" s="92"/>
    </row>
    <row r="189" spans="1:18" x14ac:dyDescent="0.25">
      <c r="A189">
        <v>1986</v>
      </c>
      <c r="B189" t="s">
        <v>805</v>
      </c>
      <c r="C189" s="264" t="s">
        <v>574</v>
      </c>
      <c r="D189" s="157" t="s">
        <v>575</v>
      </c>
      <c r="E189" s="44">
        <v>31593</v>
      </c>
      <c r="F189" s="127" t="str">
        <f t="shared" si="13"/>
        <v>Date check - OK</v>
      </c>
      <c r="G189" s="1"/>
      <c r="H189" s="161"/>
      <c r="I189" s="37"/>
      <c r="J189" s="135">
        <f t="shared" si="14"/>
        <v>0.78910283174369955</v>
      </c>
      <c r="K189" s="112"/>
      <c r="L189" s="37">
        <v>645.70000000000005</v>
      </c>
      <c r="M189" s="37" t="s">
        <v>509</v>
      </c>
      <c r="N189" s="37">
        <v>450.18755203725266</v>
      </c>
      <c r="O189" s="130">
        <f t="shared" si="18"/>
        <v>290686.10235045408</v>
      </c>
      <c r="P189" s="132">
        <f t="shared" si="19"/>
        <v>229381.22651328219</v>
      </c>
      <c r="Q189" s="262">
        <v>1</v>
      </c>
      <c r="R189" s="92"/>
    </row>
    <row r="190" spans="1:18" x14ac:dyDescent="0.25">
      <c r="A190">
        <v>1986</v>
      </c>
      <c r="B190" t="s">
        <v>805</v>
      </c>
      <c r="C190" s="264" t="s">
        <v>574</v>
      </c>
      <c r="D190" s="157" t="s">
        <v>575</v>
      </c>
      <c r="E190" s="44">
        <v>31593</v>
      </c>
      <c r="F190" s="127" t="str">
        <f t="shared" si="13"/>
        <v>Date check - OK</v>
      </c>
      <c r="G190" s="1"/>
      <c r="H190" s="161"/>
      <c r="I190" s="37"/>
      <c r="J190" s="135">
        <f t="shared" si="14"/>
        <v>0.78910283174369955</v>
      </c>
      <c r="K190" s="112"/>
      <c r="L190" s="37">
        <v>2145</v>
      </c>
      <c r="M190" s="37" t="s">
        <v>509</v>
      </c>
      <c r="N190" s="37">
        <v>494.22763864959256</v>
      </c>
      <c r="O190" s="130">
        <f t="shared" si="18"/>
        <v>1060118.2849033761</v>
      </c>
      <c r="P190" s="132">
        <f t="shared" si="19"/>
        <v>836542.34060052817</v>
      </c>
      <c r="Q190" s="262">
        <v>1</v>
      </c>
      <c r="R190" s="92"/>
    </row>
    <row r="191" spans="1:18" x14ac:dyDescent="0.25">
      <c r="A191">
        <v>1986</v>
      </c>
      <c r="B191" t="s">
        <v>805</v>
      </c>
      <c r="C191" s="264" t="s">
        <v>574</v>
      </c>
      <c r="D191" s="157" t="s">
        <v>575</v>
      </c>
      <c r="E191" s="44">
        <v>31593</v>
      </c>
      <c r="F191" s="127" t="str">
        <f t="shared" si="13"/>
        <v>Date check - OK</v>
      </c>
      <c r="G191" s="1"/>
      <c r="H191" s="161"/>
      <c r="I191" s="37"/>
      <c r="J191" s="135">
        <f t="shared" si="14"/>
        <v>0.78910283174369955</v>
      </c>
      <c r="K191" s="112"/>
      <c r="L191" s="37">
        <v>153</v>
      </c>
      <c r="M191" s="37" t="s">
        <v>509</v>
      </c>
      <c r="N191" s="37">
        <v>624.71678416763677</v>
      </c>
      <c r="O191" s="130">
        <f t="shared" si="18"/>
        <v>95581.667977648423</v>
      </c>
      <c r="P191" s="132">
        <f t="shared" si="19"/>
        <v>75423.764863948454</v>
      </c>
      <c r="Q191" s="262">
        <v>1</v>
      </c>
      <c r="R191" s="92"/>
    </row>
    <row r="192" spans="1:18" x14ac:dyDescent="0.25">
      <c r="A192">
        <v>1988</v>
      </c>
      <c r="B192" t="s">
        <v>805</v>
      </c>
      <c r="C192" s="264" t="s">
        <v>557</v>
      </c>
      <c r="D192" s="157" t="s">
        <v>558</v>
      </c>
      <c r="E192" s="44">
        <v>32324</v>
      </c>
      <c r="F192" s="127" t="str">
        <f t="shared" si="13"/>
        <v>Date check - OK</v>
      </c>
      <c r="G192" s="1"/>
      <c r="H192" s="161"/>
      <c r="I192" s="37"/>
      <c r="J192" s="135">
        <f t="shared" si="14"/>
        <v>0.78910283174369955</v>
      </c>
      <c r="K192" s="112"/>
      <c r="L192" s="37">
        <v>58</v>
      </c>
      <c r="M192" s="37" t="s">
        <v>509</v>
      </c>
      <c r="N192" s="37">
        <v>833.49941699650753</v>
      </c>
      <c r="O192" s="130">
        <f t="shared" si="18"/>
        <v>48342.966185797435</v>
      </c>
      <c r="P192" s="132">
        <f t="shared" si="19"/>
        <v>38147.571512102673</v>
      </c>
      <c r="Q192" s="262">
        <v>1</v>
      </c>
      <c r="R192" s="92"/>
    </row>
    <row r="193" spans="1:18" x14ac:dyDescent="0.25">
      <c r="A193">
        <v>1990</v>
      </c>
      <c r="B193" t="s">
        <v>805</v>
      </c>
      <c r="C193" s="264" t="s">
        <v>576</v>
      </c>
      <c r="D193" s="157" t="s">
        <v>577</v>
      </c>
      <c r="E193" s="44">
        <v>33054</v>
      </c>
      <c r="F193" s="127" t="str">
        <f t="shared" si="13"/>
        <v>Date check - OK</v>
      </c>
      <c r="G193" s="1"/>
      <c r="H193" s="161"/>
      <c r="I193" s="37"/>
      <c r="J193" s="135">
        <f t="shared" si="14"/>
        <v>0.78910283174369955</v>
      </c>
      <c r="K193" s="112"/>
      <c r="L193" s="37">
        <v>225</v>
      </c>
      <c r="M193" s="37" t="s">
        <v>509</v>
      </c>
      <c r="N193" s="37">
        <v>450.18755203725266</v>
      </c>
      <c r="O193" s="130">
        <f t="shared" si="18"/>
        <v>101292.19920838185</v>
      </c>
      <c r="P193" s="132">
        <f t="shared" si="19"/>
        <v>79929.961228881031</v>
      </c>
      <c r="Q193" s="262">
        <v>1</v>
      </c>
      <c r="R193" s="92"/>
    </row>
    <row r="194" spans="1:18" x14ac:dyDescent="0.25">
      <c r="A194">
        <v>1990</v>
      </c>
      <c r="B194" t="s">
        <v>805</v>
      </c>
      <c r="C194" s="264" t="s">
        <v>578</v>
      </c>
      <c r="D194" s="157" t="s">
        <v>579</v>
      </c>
      <c r="E194" s="44">
        <v>33054</v>
      </c>
      <c r="F194" s="127" t="str">
        <f t="shared" si="13"/>
        <v>Date check - OK</v>
      </c>
      <c r="G194" s="1"/>
      <c r="H194" s="161"/>
      <c r="I194" s="37"/>
      <c r="J194" s="135">
        <f t="shared" si="14"/>
        <v>0.78910283174369955</v>
      </c>
      <c r="K194" s="112"/>
      <c r="L194" s="37">
        <v>427</v>
      </c>
      <c r="M194" s="37" t="s">
        <v>509</v>
      </c>
      <c r="N194" s="37">
        <v>450.18755203725266</v>
      </c>
      <c r="O194" s="130">
        <f t="shared" si="18"/>
        <v>192230.08471990688</v>
      </c>
      <c r="P194" s="132">
        <f t="shared" si="19"/>
        <v>151689.30419880978</v>
      </c>
      <c r="Q194" s="262">
        <v>1</v>
      </c>
      <c r="R194" s="92"/>
    </row>
    <row r="195" spans="1:18" x14ac:dyDescent="0.25">
      <c r="A195">
        <v>1990</v>
      </c>
      <c r="B195" t="s">
        <v>805</v>
      </c>
      <c r="C195" s="264" t="s">
        <v>580</v>
      </c>
      <c r="D195" s="157" t="s">
        <v>581</v>
      </c>
      <c r="E195" s="44">
        <v>33054</v>
      </c>
      <c r="F195" s="127" t="str">
        <f t="shared" si="13"/>
        <v>Date check - OK</v>
      </c>
      <c r="G195" s="1"/>
      <c r="H195" s="161"/>
      <c r="I195" s="37"/>
      <c r="J195" s="135">
        <f t="shared" si="14"/>
        <v>0.78910283174369955</v>
      </c>
      <c r="K195" s="112"/>
      <c r="L195" s="37">
        <v>32.200000000000003</v>
      </c>
      <c r="M195" s="37" t="s">
        <v>509</v>
      </c>
      <c r="N195" s="37">
        <v>450.18755203725266</v>
      </c>
      <c r="O195" s="130">
        <f t="shared" si="18"/>
        <v>14496.039175599537</v>
      </c>
      <c r="P195" s="132">
        <f t="shared" si="19"/>
        <v>11438.865562533199</v>
      </c>
      <c r="Q195" s="262">
        <v>1</v>
      </c>
      <c r="R195" s="92"/>
    </row>
    <row r="196" spans="1:18" x14ac:dyDescent="0.25">
      <c r="A196">
        <v>1991</v>
      </c>
      <c r="B196" t="s">
        <v>805</v>
      </c>
      <c r="C196" s="264" t="s">
        <v>582</v>
      </c>
      <c r="D196" s="157" t="s">
        <v>581</v>
      </c>
      <c r="E196" s="44">
        <v>33419</v>
      </c>
      <c r="F196" s="127" t="str">
        <f t="shared" si="13"/>
        <v>Date check - OK</v>
      </c>
      <c r="G196" s="1"/>
      <c r="H196" s="161"/>
      <c r="I196" s="37"/>
      <c r="J196" s="135">
        <f t="shared" si="14"/>
        <v>0.78910283174369955</v>
      </c>
      <c r="K196" s="112"/>
      <c r="L196" s="37">
        <v>507</v>
      </c>
      <c r="M196" s="37" t="s">
        <v>509</v>
      </c>
      <c r="N196" s="37">
        <v>567.62778300349237</v>
      </c>
      <c r="O196" s="130">
        <f t="shared" si="18"/>
        <v>287787.28598277061</v>
      </c>
      <c r="P196" s="132">
        <f t="shared" si="19"/>
        <v>227093.7623088382</v>
      </c>
      <c r="Q196" s="262">
        <v>1</v>
      </c>
      <c r="R196" s="92"/>
    </row>
    <row r="197" spans="1:18" x14ac:dyDescent="0.25">
      <c r="A197">
        <v>1991</v>
      </c>
      <c r="B197" t="s">
        <v>805</v>
      </c>
      <c r="C197" s="264" t="s">
        <v>582</v>
      </c>
      <c r="D197" s="157" t="s">
        <v>581</v>
      </c>
      <c r="E197" s="44">
        <v>33419</v>
      </c>
      <c r="F197" s="127" t="str">
        <f t="shared" si="13"/>
        <v>Date check - OK</v>
      </c>
      <c r="G197" s="1"/>
      <c r="H197" s="161"/>
      <c r="I197" s="37"/>
      <c r="J197" s="135">
        <f t="shared" si="14"/>
        <v>0.78910283174369955</v>
      </c>
      <c r="K197" s="112"/>
      <c r="L197" s="37">
        <v>1212</v>
      </c>
      <c r="M197" s="37" t="s">
        <v>509</v>
      </c>
      <c r="N197" s="37">
        <v>494.22763864959256</v>
      </c>
      <c r="O197" s="130">
        <f t="shared" si="18"/>
        <v>599003.8980433062</v>
      </c>
      <c r="P197" s="132">
        <f t="shared" si="19"/>
        <v>472675.67217148718</v>
      </c>
      <c r="Q197" s="262">
        <v>1</v>
      </c>
      <c r="R197" s="92"/>
    </row>
    <row r="198" spans="1:18" x14ac:dyDescent="0.25">
      <c r="A198">
        <v>1991</v>
      </c>
      <c r="B198" t="s">
        <v>805</v>
      </c>
      <c r="C198" s="264" t="s">
        <v>582</v>
      </c>
      <c r="D198" s="157" t="s">
        <v>581</v>
      </c>
      <c r="E198" s="44">
        <v>33419</v>
      </c>
      <c r="F198" s="127" t="str">
        <f t="shared" si="13"/>
        <v>Date check - OK</v>
      </c>
      <c r="G198" s="1"/>
      <c r="H198" s="161"/>
      <c r="I198" s="37"/>
      <c r="J198" s="135">
        <f t="shared" si="14"/>
        <v>0.78910283174369955</v>
      </c>
      <c r="K198" s="112"/>
      <c r="L198" s="37">
        <v>587</v>
      </c>
      <c r="M198" s="37" t="s">
        <v>509</v>
      </c>
      <c r="N198" s="37">
        <v>450.18755203725266</v>
      </c>
      <c r="O198" s="130">
        <f t="shared" si="18"/>
        <v>264260.09304586734</v>
      </c>
      <c r="P198" s="132">
        <f t="shared" si="19"/>
        <v>208528.38773934744</v>
      </c>
      <c r="Q198" s="262">
        <v>1</v>
      </c>
      <c r="R198" s="92"/>
    </row>
    <row r="199" spans="1:18" x14ac:dyDescent="0.25">
      <c r="A199">
        <v>1991</v>
      </c>
      <c r="B199" t="s">
        <v>805</v>
      </c>
      <c r="C199" s="264" t="s">
        <v>583</v>
      </c>
      <c r="D199" s="157" t="s">
        <v>581</v>
      </c>
      <c r="E199" s="44">
        <v>33419</v>
      </c>
      <c r="F199" s="127" t="str">
        <f t="shared" si="13"/>
        <v>Date check - OK</v>
      </c>
      <c r="G199" s="1"/>
      <c r="H199" s="161"/>
      <c r="I199" s="37"/>
      <c r="J199" s="135">
        <f t="shared" si="14"/>
        <v>0.78910283174369955</v>
      </c>
      <c r="K199" s="112"/>
      <c r="L199" s="37">
        <v>210</v>
      </c>
      <c r="M199" s="37" t="s">
        <v>509</v>
      </c>
      <c r="N199" s="37">
        <v>685.06801396973219</v>
      </c>
      <c r="O199" s="130">
        <f t="shared" si="18"/>
        <v>143864.28293364376</v>
      </c>
      <c r="P199" s="132">
        <f t="shared" si="19"/>
        <v>113523.71304971508</v>
      </c>
      <c r="Q199" s="262">
        <v>1</v>
      </c>
      <c r="R199" s="92"/>
    </row>
    <row r="200" spans="1:18" x14ac:dyDescent="0.25">
      <c r="A200">
        <v>1992</v>
      </c>
      <c r="B200" t="s">
        <v>805</v>
      </c>
      <c r="C200" s="264" t="s">
        <v>584</v>
      </c>
      <c r="D200" s="157" t="s">
        <v>585</v>
      </c>
      <c r="E200" s="44">
        <v>33785</v>
      </c>
      <c r="F200" s="127" t="str">
        <f t="shared" si="13"/>
        <v>Date check - OK</v>
      </c>
      <c r="G200" s="1"/>
      <c r="H200" s="161"/>
      <c r="I200" s="37"/>
      <c r="J200" s="135">
        <f t="shared" si="14"/>
        <v>0.78910283174369955</v>
      </c>
      <c r="K200" s="112"/>
      <c r="L200" s="37">
        <v>444</v>
      </c>
      <c r="M200" s="37" t="s">
        <v>509</v>
      </c>
      <c r="N200" s="37">
        <v>520.32546775320145</v>
      </c>
      <c r="O200" s="130">
        <f t="shared" si="18"/>
        <v>231024.50768242145</v>
      </c>
      <c r="P200" s="132">
        <f t="shared" si="19"/>
        <v>182302.09321439284</v>
      </c>
      <c r="Q200" s="262">
        <v>1</v>
      </c>
      <c r="R200" s="92"/>
    </row>
    <row r="201" spans="1:18" x14ac:dyDescent="0.25">
      <c r="A201">
        <v>1992</v>
      </c>
      <c r="B201" t="s">
        <v>805</v>
      </c>
      <c r="C201" s="264" t="s">
        <v>584</v>
      </c>
      <c r="D201" s="157" t="s">
        <v>585</v>
      </c>
      <c r="E201" s="44">
        <v>33785</v>
      </c>
      <c r="F201" s="127" t="str">
        <f t="shared" si="13"/>
        <v>Date check - OK</v>
      </c>
      <c r="G201" s="1"/>
      <c r="H201" s="161"/>
      <c r="I201" s="37"/>
      <c r="J201" s="135">
        <f t="shared" si="14"/>
        <v>0.78910283174369955</v>
      </c>
      <c r="K201" s="112"/>
      <c r="L201" s="37">
        <v>420</v>
      </c>
      <c r="M201" s="37" t="s">
        <v>509</v>
      </c>
      <c r="N201" s="37">
        <v>567.62778300349237</v>
      </c>
      <c r="O201" s="130">
        <f t="shared" si="18"/>
        <v>238403.66886146681</v>
      </c>
      <c r="P201" s="132">
        <f t="shared" si="19"/>
        <v>188125.01019667072</v>
      </c>
      <c r="Q201" s="262">
        <v>1</v>
      </c>
      <c r="R201" s="92"/>
    </row>
    <row r="202" spans="1:18" x14ac:dyDescent="0.25">
      <c r="A202">
        <v>1993</v>
      </c>
      <c r="B202" t="s">
        <v>805</v>
      </c>
      <c r="C202" s="264" t="s">
        <v>586</v>
      </c>
      <c r="D202" s="157" t="s">
        <v>587</v>
      </c>
      <c r="E202" s="44">
        <v>34150</v>
      </c>
      <c r="F202" s="127" t="str">
        <f t="shared" si="13"/>
        <v>Date check - OK</v>
      </c>
      <c r="G202" s="1"/>
      <c r="H202" s="161"/>
      <c r="I202" s="37"/>
      <c r="J202" s="135">
        <f t="shared" si="14"/>
        <v>0.78910283174369955</v>
      </c>
      <c r="K202" s="112"/>
      <c r="L202" s="37">
        <v>479</v>
      </c>
      <c r="M202" s="37" t="s">
        <v>509</v>
      </c>
      <c r="N202" s="37">
        <v>450.18755203725266</v>
      </c>
      <c r="O202" s="130">
        <f t="shared" si="18"/>
        <v>215639.83742584402</v>
      </c>
      <c r="P202" s="132">
        <f t="shared" si="19"/>
        <v>170162.00634948452</v>
      </c>
      <c r="Q202" s="262">
        <v>1</v>
      </c>
      <c r="R202" s="92"/>
    </row>
    <row r="203" spans="1:18" ht="23" x14ac:dyDescent="0.25">
      <c r="A203">
        <v>1993</v>
      </c>
      <c r="B203" t="s">
        <v>805</v>
      </c>
      <c r="C203" s="264" t="s">
        <v>559</v>
      </c>
      <c r="D203" s="157" t="s">
        <v>588</v>
      </c>
      <c r="E203" s="44">
        <v>34150</v>
      </c>
      <c r="F203" s="127" t="str">
        <f t="shared" si="13"/>
        <v>Date check - OK</v>
      </c>
      <c r="G203" s="1"/>
      <c r="H203" s="161"/>
      <c r="I203" s="37"/>
      <c r="J203" s="135">
        <f t="shared" si="14"/>
        <v>0.78910283174369955</v>
      </c>
      <c r="K203" s="112"/>
      <c r="L203" s="37">
        <v>30</v>
      </c>
      <c r="M203" s="37" t="s">
        <v>509</v>
      </c>
      <c r="N203" s="37">
        <v>2050.3106989522698</v>
      </c>
      <c r="O203" s="130">
        <f t="shared" si="18"/>
        <v>61509.320968568092</v>
      </c>
      <c r="P203" s="132">
        <f t="shared" si="19"/>
        <v>48537.179354929198</v>
      </c>
      <c r="Q203" s="262">
        <v>1</v>
      </c>
      <c r="R203" s="92"/>
    </row>
    <row r="204" spans="1:18" ht="23" x14ac:dyDescent="0.25">
      <c r="A204">
        <v>1993</v>
      </c>
      <c r="B204" t="s">
        <v>805</v>
      </c>
      <c r="C204" s="264" t="s">
        <v>559</v>
      </c>
      <c r="D204" s="157" t="s">
        <v>588</v>
      </c>
      <c r="E204" s="44">
        <v>34150</v>
      </c>
      <c r="F204" s="127" t="str">
        <f t="shared" si="13"/>
        <v>Date check - OK</v>
      </c>
      <c r="G204" s="1"/>
      <c r="H204" s="161"/>
      <c r="I204" s="37"/>
      <c r="J204" s="135">
        <f t="shared" si="14"/>
        <v>0.78910283174369955</v>
      </c>
      <c r="K204" s="112"/>
      <c r="L204" s="37">
        <v>3</v>
      </c>
      <c r="M204" s="37" t="s">
        <v>509</v>
      </c>
      <c r="N204" s="37">
        <v>520.32546775320145</v>
      </c>
      <c r="O204" s="130">
        <f t="shared" si="18"/>
        <v>1560.9764032596045</v>
      </c>
      <c r="P204" s="132">
        <f t="shared" si="19"/>
        <v>1231.7709000972491</v>
      </c>
      <c r="Q204" s="262">
        <v>1</v>
      </c>
      <c r="R204" s="92"/>
    </row>
    <row r="205" spans="1:18" x14ac:dyDescent="0.25">
      <c r="A205">
        <v>1994</v>
      </c>
      <c r="B205" t="s">
        <v>805</v>
      </c>
      <c r="C205" s="264" t="s">
        <v>561</v>
      </c>
      <c r="D205" s="157" t="s">
        <v>589</v>
      </c>
      <c r="E205" s="44">
        <v>34515</v>
      </c>
      <c r="F205" s="127" t="str">
        <f t="shared" si="13"/>
        <v>Date check - OK</v>
      </c>
      <c r="G205" s="1"/>
      <c r="H205" s="161"/>
      <c r="I205" s="37"/>
      <c r="J205" s="135">
        <f t="shared" si="14"/>
        <v>0.78910283174369955</v>
      </c>
      <c r="K205" s="112"/>
      <c r="L205" s="37">
        <v>34</v>
      </c>
      <c r="M205" s="37" t="s">
        <v>509</v>
      </c>
      <c r="N205" s="37">
        <v>1666.9988339930151</v>
      </c>
      <c r="O205" s="130">
        <f t="shared" si="18"/>
        <v>56677.960355762509</v>
      </c>
      <c r="P205" s="132">
        <f t="shared" si="19"/>
        <v>44724.739014189334</v>
      </c>
      <c r="Q205" s="262">
        <v>1</v>
      </c>
      <c r="R205" s="92"/>
    </row>
    <row r="206" spans="1:18" x14ac:dyDescent="0.25">
      <c r="A206">
        <v>1994</v>
      </c>
      <c r="B206" t="s">
        <v>805</v>
      </c>
      <c r="C206" s="264">
        <v>308091</v>
      </c>
      <c r="D206" s="157" t="s">
        <v>590</v>
      </c>
      <c r="E206" s="44">
        <v>34515</v>
      </c>
      <c r="F206" s="127" t="str">
        <f t="shared" si="13"/>
        <v>Date check - OK</v>
      </c>
      <c r="G206" s="1"/>
      <c r="H206" s="161"/>
      <c r="I206" s="37"/>
      <c r="J206" s="135">
        <f t="shared" si="14"/>
        <v>0.78910283174369955</v>
      </c>
      <c r="K206" s="112"/>
      <c r="L206" s="37">
        <v>60</v>
      </c>
      <c r="M206" s="37" t="s">
        <v>509</v>
      </c>
      <c r="N206" s="37">
        <v>833.49941699650753</v>
      </c>
      <c r="O206" s="130">
        <f t="shared" si="18"/>
        <v>50009.965019790456</v>
      </c>
      <c r="P206" s="132">
        <f t="shared" si="19"/>
        <v>39463.005012520007</v>
      </c>
      <c r="Q206" s="262">
        <v>1</v>
      </c>
      <c r="R206" s="92"/>
    </row>
    <row r="207" spans="1:18" x14ac:dyDescent="0.25">
      <c r="A207">
        <v>1995</v>
      </c>
      <c r="B207" t="s">
        <v>805</v>
      </c>
      <c r="C207" s="264" t="s">
        <v>591</v>
      </c>
      <c r="D207" s="157" t="s">
        <v>592</v>
      </c>
      <c r="E207" s="44">
        <v>34880</v>
      </c>
      <c r="F207" s="127" t="str">
        <f t="shared" si="13"/>
        <v>Date check - OK</v>
      </c>
      <c r="G207" s="1"/>
      <c r="H207" s="161"/>
      <c r="I207" s="37"/>
      <c r="J207" s="135">
        <f t="shared" si="14"/>
        <v>0.78910283174369955</v>
      </c>
      <c r="K207" s="112"/>
      <c r="L207" s="37">
        <v>925</v>
      </c>
      <c r="M207" s="37" t="s">
        <v>509</v>
      </c>
      <c r="N207" s="37">
        <v>450.18755203725266</v>
      </c>
      <c r="O207" s="130">
        <f t="shared" si="18"/>
        <v>416423.48563445872</v>
      </c>
      <c r="P207" s="132">
        <f t="shared" si="19"/>
        <v>328600.95171873318</v>
      </c>
      <c r="Q207" s="262">
        <v>1</v>
      </c>
      <c r="R207" s="92"/>
    </row>
    <row r="208" spans="1:18" ht="23" x14ac:dyDescent="0.25">
      <c r="A208">
        <v>1995</v>
      </c>
      <c r="B208" t="s">
        <v>805</v>
      </c>
      <c r="C208" s="264" t="s">
        <v>593</v>
      </c>
      <c r="D208" s="157" t="s">
        <v>594</v>
      </c>
      <c r="E208" s="44">
        <v>34880</v>
      </c>
      <c r="F208" s="127" t="str">
        <f t="shared" si="13"/>
        <v>Date check - OK</v>
      </c>
      <c r="G208" s="1"/>
      <c r="H208" s="161"/>
      <c r="I208" s="37"/>
      <c r="J208" s="135">
        <f t="shared" si="14"/>
        <v>0.78910283174369955</v>
      </c>
      <c r="K208" s="112"/>
      <c r="L208" s="37">
        <v>404</v>
      </c>
      <c r="M208" s="37" t="s">
        <v>509</v>
      </c>
      <c r="N208" s="37">
        <v>567.62778300349237</v>
      </c>
      <c r="O208" s="130">
        <f t="shared" si="18"/>
        <v>229321.62433341093</v>
      </c>
      <c r="P208" s="132">
        <f t="shared" si="19"/>
        <v>180958.34314155945</v>
      </c>
      <c r="Q208" s="262">
        <v>1</v>
      </c>
      <c r="R208" s="92"/>
    </row>
    <row r="209" spans="1:18" x14ac:dyDescent="0.25">
      <c r="C209" s="264"/>
      <c r="D209" s="157"/>
      <c r="E209" s="44"/>
      <c r="F209" s="127" t="str">
        <f t="shared" si="13"/>
        <v>-</v>
      </c>
      <c r="G209" s="1"/>
      <c r="H209" s="161"/>
      <c r="I209" s="37"/>
      <c r="J209" s="135">
        <f t="shared" si="14"/>
        <v>0.78910283174369955</v>
      </c>
      <c r="K209" s="112"/>
      <c r="L209" s="37"/>
      <c r="M209" s="37"/>
      <c r="N209" s="37"/>
      <c r="O209" s="130"/>
      <c r="P209" s="132"/>
      <c r="Q209" s="262"/>
      <c r="R209" s="92"/>
    </row>
    <row r="210" spans="1:18" x14ac:dyDescent="0.25">
      <c r="A210">
        <v>1992</v>
      </c>
      <c r="B210" t="s">
        <v>806</v>
      </c>
      <c r="C210" s="264" t="s">
        <v>595</v>
      </c>
      <c r="D210" s="157" t="s">
        <v>596</v>
      </c>
      <c r="E210" s="44">
        <v>33785</v>
      </c>
      <c r="F210" s="127" t="str">
        <f t="shared" si="13"/>
        <v>Date check - OK</v>
      </c>
      <c r="G210" s="1"/>
      <c r="H210" s="161"/>
      <c r="I210" s="37"/>
      <c r="J210" s="135">
        <f t="shared" si="14"/>
        <v>0.78910283174369955</v>
      </c>
      <c r="K210" s="112"/>
      <c r="L210" s="37">
        <v>500</v>
      </c>
      <c r="M210" s="37" t="s">
        <v>509</v>
      </c>
      <c r="N210" s="37">
        <v>285.44500582072175</v>
      </c>
      <c r="O210" s="130">
        <f t="shared" si="18"/>
        <v>142722.50291036087</v>
      </c>
      <c r="P210" s="132">
        <f t="shared" si="19"/>
        <v>112622.73120011417</v>
      </c>
      <c r="Q210" s="262">
        <v>1</v>
      </c>
      <c r="R210" s="92"/>
    </row>
    <row r="211" spans="1:18" x14ac:dyDescent="0.25">
      <c r="A211">
        <v>1993</v>
      </c>
      <c r="B211" t="s">
        <v>806</v>
      </c>
      <c r="C211" s="264" t="s">
        <v>597</v>
      </c>
      <c r="D211" s="157" t="s">
        <v>598</v>
      </c>
      <c r="E211" s="44">
        <v>34150</v>
      </c>
      <c r="F211" s="127" t="str">
        <f t="shared" si="13"/>
        <v>Date check - OK</v>
      </c>
      <c r="G211" s="1"/>
      <c r="H211" s="161"/>
      <c r="I211" s="37"/>
      <c r="J211" s="135">
        <f t="shared" si="14"/>
        <v>0.78910283174369955</v>
      </c>
      <c r="K211" s="112"/>
      <c r="L211" s="37">
        <v>125</v>
      </c>
      <c r="M211" s="37" t="s">
        <v>509</v>
      </c>
      <c r="N211" s="37">
        <v>216.93820442374852</v>
      </c>
      <c r="O211" s="130">
        <f t="shared" si="18"/>
        <v>27117.275552968564</v>
      </c>
      <c r="P211" s="132">
        <f t="shared" si="19"/>
        <v>21398.31892802169</v>
      </c>
      <c r="Q211" s="262">
        <v>1</v>
      </c>
      <c r="R211" s="92"/>
    </row>
    <row r="212" spans="1:18" x14ac:dyDescent="0.25">
      <c r="A212">
        <v>1986</v>
      </c>
      <c r="B212" t="s">
        <v>806</v>
      </c>
      <c r="C212" s="264" t="s">
        <v>599</v>
      </c>
      <c r="D212" s="157" t="s">
        <v>600</v>
      </c>
      <c r="E212" s="44">
        <v>31593</v>
      </c>
      <c r="F212" s="127" t="str">
        <f t="shared" si="13"/>
        <v>Date check - OK</v>
      </c>
      <c r="G212" s="1"/>
      <c r="H212" s="161"/>
      <c r="I212" s="37"/>
      <c r="J212" s="135">
        <f t="shared" si="14"/>
        <v>0.78910283174369955</v>
      </c>
      <c r="K212" s="112"/>
      <c r="L212" s="37">
        <v>470</v>
      </c>
      <c r="M212" s="37" t="s">
        <v>509</v>
      </c>
      <c r="N212" s="37">
        <v>349.05846426076835</v>
      </c>
      <c r="O212" s="130">
        <f t="shared" si="18"/>
        <v>164057.47820256112</v>
      </c>
      <c r="P212" s="132">
        <f t="shared" si="19"/>
        <v>129458.22061837124</v>
      </c>
      <c r="Q212" s="262">
        <v>1</v>
      </c>
      <c r="R212" s="92"/>
    </row>
    <row r="213" spans="1:18" x14ac:dyDescent="0.25">
      <c r="A213">
        <v>1986</v>
      </c>
      <c r="B213" t="s">
        <v>806</v>
      </c>
      <c r="C213" s="264" t="s">
        <v>601</v>
      </c>
      <c r="D213" s="157" t="s">
        <v>602</v>
      </c>
      <c r="E213" s="44">
        <v>31593</v>
      </c>
      <c r="F213" s="127" t="str">
        <f t="shared" si="13"/>
        <v>Date check - OK</v>
      </c>
      <c r="G213" s="1"/>
      <c r="H213" s="161"/>
      <c r="I213" s="37"/>
      <c r="J213" s="135">
        <f t="shared" si="14"/>
        <v>0.78910283174369955</v>
      </c>
      <c r="K213" s="112"/>
      <c r="L213" s="37">
        <v>167</v>
      </c>
      <c r="M213" s="37" t="s">
        <v>509</v>
      </c>
      <c r="N213" s="37">
        <v>316.43617788125727</v>
      </c>
      <c r="O213" s="130">
        <f t="shared" si="18"/>
        <v>52844.841706169966</v>
      </c>
      <c r="P213" s="132">
        <f t="shared" si="19"/>
        <v>41700.014233386275</v>
      </c>
      <c r="Q213" s="262">
        <v>1</v>
      </c>
      <c r="R213" s="92"/>
    </row>
    <row r="214" spans="1:18" x14ac:dyDescent="0.25">
      <c r="A214">
        <v>1989</v>
      </c>
      <c r="B214" t="s">
        <v>806</v>
      </c>
      <c r="C214" s="264" t="s">
        <v>603</v>
      </c>
      <c r="D214" s="157" t="s">
        <v>604</v>
      </c>
      <c r="E214" s="44">
        <v>32689</v>
      </c>
      <c r="F214" s="127" t="str">
        <f t="shared" si="13"/>
        <v>Date check - OK</v>
      </c>
      <c r="G214" s="1"/>
      <c r="H214" s="161"/>
      <c r="I214" s="37"/>
      <c r="J214" s="135">
        <f t="shared" si="14"/>
        <v>0.78910283174369955</v>
      </c>
      <c r="K214" s="112"/>
      <c r="L214" s="37">
        <v>925</v>
      </c>
      <c r="M214" s="37" t="s">
        <v>509</v>
      </c>
      <c r="N214" s="37">
        <v>349.05846426076835</v>
      </c>
      <c r="O214" s="130">
        <f t="shared" si="18"/>
        <v>322879.07944121072</v>
      </c>
      <c r="P214" s="132">
        <f t="shared" si="19"/>
        <v>254784.7958978583</v>
      </c>
      <c r="Q214" s="262">
        <v>1</v>
      </c>
      <c r="R214" s="92"/>
    </row>
    <row r="215" spans="1:18" x14ac:dyDescent="0.25">
      <c r="A215">
        <v>1989</v>
      </c>
      <c r="B215" t="s">
        <v>806</v>
      </c>
      <c r="C215" s="264" t="s">
        <v>605</v>
      </c>
      <c r="D215" s="157" t="s">
        <v>606</v>
      </c>
      <c r="E215" s="44">
        <v>32689</v>
      </c>
      <c r="F215" s="127" t="str">
        <f t="shared" si="13"/>
        <v>Date check - OK</v>
      </c>
      <c r="G215" s="1"/>
      <c r="H215" s="161"/>
      <c r="I215" s="37"/>
      <c r="J215" s="135">
        <f t="shared" si="14"/>
        <v>0.78910283174369955</v>
      </c>
      <c r="K215" s="112"/>
      <c r="L215" s="37">
        <v>116</v>
      </c>
      <c r="M215" s="37" t="s">
        <v>509</v>
      </c>
      <c r="N215" s="37">
        <v>216.93820442374852</v>
      </c>
      <c r="O215" s="130">
        <f t="shared" si="18"/>
        <v>25164.831713154828</v>
      </c>
      <c r="P215" s="132">
        <f t="shared" si="19"/>
        <v>19857.639965204129</v>
      </c>
      <c r="Q215" s="262">
        <v>1</v>
      </c>
      <c r="R215" s="92"/>
    </row>
    <row r="216" spans="1:18" x14ac:dyDescent="0.25">
      <c r="A216">
        <v>1991</v>
      </c>
      <c r="B216" t="s">
        <v>806</v>
      </c>
      <c r="C216" s="264" t="s">
        <v>607</v>
      </c>
      <c r="D216" s="157" t="s">
        <v>608</v>
      </c>
      <c r="E216" s="44">
        <v>33419</v>
      </c>
      <c r="F216" s="127" t="str">
        <f t="shared" ref="F216:F263" si="20">IF(E216="","-",IF(OR(E216&lt;$E$15,E216&gt;$E$16),"ERROR - date outside of range","Date check - OK"))</f>
        <v>Date check - OK</v>
      </c>
      <c r="G216" s="1"/>
      <c r="H216" s="161"/>
      <c r="I216" s="37"/>
      <c r="J216" s="135">
        <f t="shared" ref="J216:J263" si="21">J215</f>
        <v>0.78910283174369955</v>
      </c>
      <c r="K216" s="112"/>
      <c r="L216" s="37">
        <v>747</v>
      </c>
      <c r="M216" s="37" t="s">
        <v>509</v>
      </c>
      <c r="N216" s="37">
        <v>285.44500582072175</v>
      </c>
      <c r="O216" s="130">
        <f t="shared" si="18"/>
        <v>213227.41934807916</v>
      </c>
      <c r="P216" s="132">
        <f t="shared" si="19"/>
        <v>168258.36041297056</v>
      </c>
      <c r="Q216" s="262">
        <v>1</v>
      </c>
      <c r="R216" s="92"/>
    </row>
    <row r="217" spans="1:18" x14ac:dyDescent="0.25">
      <c r="A217">
        <v>1991</v>
      </c>
      <c r="B217" t="s">
        <v>806</v>
      </c>
      <c r="C217" s="264" t="s">
        <v>609</v>
      </c>
      <c r="D217" s="157" t="s">
        <v>610</v>
      </c>
      <c r="E217" s="44">
        <v>33419</v>
      </c>
      <c r="F217" s="127" t="str">
        <f t="shared" si="20"/>
        <v>Date check - OK</v>
      </c>
      <c r="G217" s="1"/>
      <c r="H217" s="161"/>
      <c r="I217" s="37"/>
      <c r="J217" s="135">
        <f t="shared" si="21"/>
        <v>0.78910283174369955</v>
      </c>
      <c r="K217" s="112"/>
      <c r="L217" s="37">
        <v>748</v>
      </c>
      <c r="M217" s="37" t="s">
        <v>509</v>
      </c>
      <c r="N217" s="37">
        <v>349.05846426076835</v>
      </c>
      <c r="O217" s="130">
        <f t="shared" si="18"/>
        <v>261095.73126705471</v>
      </c>
      <c r="P217" s="132">
        <f t="shared" si="19"/>
        <v>118468.04401693928</v>
      </c>
      <c r="Q217" s="262">
        <v>0.57499999999999996</v>
      </c>
      <c r="R217" s="92"/>
    </row>
    <row r="218" spans="1:18" x14ac:dyDescent="0.25">
      <c r="A218">
        <v>1991</v>
      </c>
      <c r="B218" t="s">
        <v>806</v>
      </c>
      <c r="C218" s="264" t="s">
        <v>611</v>
      </c>
      <c r="D218" s="157" t="s">
        <v>612</v>
      </c>
      <c r="E218" s="44">
        <v>33419</v>
      </c>
      <c r="F218" s="127" t="str">
        <f t="shared" si="20"/>
        <v>Date check - OK</v>
      </c>
      <c r="G218" s="1"/>
      <c r="H218" s="161"/>
      <c r="I218" s="37"/>
      <c r="J218" s="135">
        <f t="shared" si="21"/>
        <v>0.78910283174369955</v>
      </c>
      <c r="K218" s="112"/>
      <c r="L218" s="37">
        <v>675</v>
      </c>
      <c r="M218" s="37" t="s">
        <v>509</v>
      </c>
      <c r="N218" s="37">
        <v>285.44500582072175</v>
      </c>
      <c r="O218" s="130">
        <f t="shared" si="18"/>
        <v>192675.37892898719</v>
      </c>
      <c r="P218" s="132">
        <f t="shared" si="19"/>
        <v>152040.68712015412</v>
      </c>
      <c r="Q218" s="262">
        <v>1</v>
      </c>
      <c r="R218" s="92"/>
    </row>
    <row r="219" spans="1:18" x14ac:dyDescent="0.25">
      <c r="A219">
        <v>1991</v>
      </c>
      <c r="B219" t="s">
        <v>806</v>
      </c>
      <c r="C219" s="264" t="s">
        <v>613</v>
      </c>
      <c r="D219" s="157" t="s">
        <v>614</v>
      </c>
      <c r="E219" s="44">
        <v>33419</v>
      </c>
      <c r="F219" s="127" t="str">
        <f t="shared" si="20"/>
        <v>Date check - OK</v>
      </c>
      <c r="G219" s="1"/>
      <c r="H219" s="161"/>
      <c r="I219" s="37"/>
      <c r="J219" s="135">
        <f t="shared" si="21"/>
        <v>0.78910283174369955</v>
      </c>
      <c r="K219" s="112"/>
      <c r="L219" s="37">
        <v>457</v>
      </c>
      <c r="M219" s="37" t="s">
        <v>509</v>
      </c>
      <c r="N219" s="37">
        <v>184.31591804423746</v>
      </c>
      <c r="O219" s="130">
        <f t="shared" si="18"/>
        <v>84232.374546216524</v>
      </c>
      <c r="P219" s="132">
        <f t="shared" si="19"/>
        <v>66468.005278915385</v>
      </c>
      <c r="Q219" s="262">
        <v>1</v>
      </c>
      <c r="R219" s="92"/>
    </row>
    <row r="220" spans="1:18" x14ac:dyDescent="0.25">
      <c r="A220">
        <v>1991</v>
      </c>
      <c r="B220" t="s">
        <v>806</v>
      </c>
      <c r="C220" s="264" t="s">
        <v>615</v>
      </c>
      <c r="D220" s="157" t="s">
        <v>616</v>
      </c>
      <c r="E220" s="44">
        <v>33419</v>
      </c>
      <c r="F220" s="127" t="str">
        <f t="shared" si="20"/>
        <v>Date check - OK</v>
      </c>
      <c r="G220" s="1"/>
      <c r="H220" s="161"/>
      <c r="I220" s="37"/>
      <c r="J220" s="135">
        <f t="shared" si="21"/>
        <v>0.78910283174369955</v>
      </c>
      <c r="K220" s="112"/>
      <c r="L220" s="37">
        <v>220</v>
      </c>
      <c r="M220" s="37" t="s">
        <v>509</v>
      </c>
      <c r="N220" s="37">
        <v>184.31591804423746</v>
      </c>
      <c r="O220" s="130">
        <f t="shared" si="18"/>
        <v>40549.501969732242</v>
      </c>
      <c r="P220" s="132">
        <f t="shared" si="19"/>
        <v>31997.726830112435</v>
      </c>
      <c r="Q220" s="262">
        <v>1</v>
      </c>
      <c r="R220" s="92"/>
    </row>
    <row r="221" spans="1:18" x14ac:dyDescent="0.25">
      <c r="A221">
        <v>1992</v>
      </c>
      <c r="B221" t="s">
        <v>806</v>
      </c>
      <c r="C221" s="264" t="s">
        <v>617</v>
      </c>
      <c r="D221" s="157" t="s">
        <v>618</v>
      </c>
      <c r="E221" s="44">
        <v>33785</v>
      </c>
      <c r="F221" s="127" t="str">
        <f t="shared" si="20"/>
        <v>Date check - OK</v>
      </c>
      <c r="G221" s="1"/>
      <c r="H221" s="161"/>
      <c r="I221" s="37"/>
      <c r="J221" s="135">
        <f t="shared" si="21"/>
        <v>0.78910283174369955</v>
      </c>
      <c r="K221" s="112"/>
      <c r="L221" s="37">
        <v>654</v>
      </c>
      <c r="M221" s="37" t="s">
        <v>509</v>
      </c>
      <c r="N221" s="37">
        <v>285.44500582072175</v>
      </c>
      <c r="O221" s="130">
        <f t="shared" si="18"/>
        <v>186681.03380675204</v>
      </c>
      <c r="P221" s="132">
        <f t="shared" si="19"/>
        <v>128160.16319648192</v>
      </c>
      <c r="Q221" s="262">
        <v>0.87</v>
      </c>
      <c r="R221" s="92"/>
    </row>
    <row r="222" spans="1:18" x14ac:dyDescent="0.25">
      <c r="A222">
        <v>1992</v>
      </c>
      <c r="B222" t="s">
        <v>806</v>
      </c>
      <c r="C222" s="264" t="s">
        <v>619</v>
      </c>
      <c r="D222" s="157" t="s">
        <v>620</v>
      </c>
      <c r="E222" s="44">
        <v>33785</v>
      </c>
      <c r="F222" s="127" t="str">
        <f t="shared" si="20"/>
        <v>Date check - OK</v>
      </c>
      <c r="G222" s="1"/>
      <c r="H222" s="161"/>
      <c r="I222" s="37"/>
      <c r="J222" s="135">
        <f t="shared" si="21"/>
        <v>0.78910283174369955</v>
      </c>
      <c r="K222" s="112"/>
      <c r="L222" s="37">
        <v>332</v>
      </c>
      <c r="M222" s="37" t="s">
        <v>509</v>
      </c>
      <c r="N222" s="37">
        <v>285.44500582072175</v>
      </c>
      <c r="O222" s="130">
        <f t="shared" si="18"/>
        <v>94767.741932479621</v>
      </c>
      <c r="P222" s="132">
        <f t="shared" si="19"/>
        <v>74781.493516875809</v>
      </c>
      <c r="Q222" s="262">
        <v>1</v>
      </c>
      <c r="R222" s="92"/>
    </row>
    <row r="223" spans="1:18" x14ac:dyDescent="0.25">
      <c r="A223">
        <v>1992</v>
      </c>
      <c r="B223" t="s">
        <v>806</v>
      </c>
      <c r="C223" s="264" t="s">
        <v>621</v>
      </c>
      <c r="D223" s="157" t="s">
        <v>622</v>
      </c>
      <c r="E223" s="44">
        <v>33785</v>
      </c>
      <c r="F223" s="127" t="str">
        <f t="shared" si="20"/>
        <v>Date check - OK</v>
      </c>
      <c r="G223" s="1"/>
      <c r="H223" s="161"/>
      <c r="I223" s="37"/>
      <c r="J223" s="135">
        <f t="shared" si="21"/>
        <v>0.78910283174369955</v>
      </c>
      <c r="K223" s="112"/>
      <c r="L223" s="37">
        <v>208</v>
      </c>
      <c r="M223" s="37" t="s">
        <v>509</v>
      </c>
      <c r="N223" s="37">
        <v>184.31591804423746</v>
      </c>
      <c r="O223" s="130">
        <f t="shared" si="18"/>
        <v>38337.710953201393</v>
      </c>
      <c r="P223" s="132">
        <f t="shared" si="19"/>
        <v>30252.396275742667</v>
      </c>
      <c r="Q223" s="262">
        <v>1</v>
      </c>
      <c r="R223" s="92"/>
    </row>
    <row r="224" spans="1:18" x14ac:dyDescent="0.25">
      <c r="A224">
        <v>1992</v>
      </c>
      <c r="B224" t="s">
        <v>806</v>
      </c>
      <c r="C224" s="264" t="s">
        <v>623</v>
      </c>
      <c r="D224" s="157" t="s">
        <v>624</v>
      </c>
      <c r="E224" s="44">
        <v>33785</v>
      </c>
      <c r="F224" s="127" t="str">
        <f t="shared" si="20"/>
        <v>Date check - OK</v>
      </c>
      <c r="G224" s="1"/>
      <c r="H224" s="161"/>
      <c r="I224" s="37"/>
      <c r="J224" s="135">
        <f t="shared" si="21"/>
        <v>0.78910283174369955</v>
      </c>
      <c r="K224" s="112"/>
      <c r="L224" s="37">
        <v>1085</v>
      </c>
      <c r="M224" s="37" t="s">
        <v>509</v>
      </c>
      <c r="N224" s="37">
        <v>285.44500582072175</v>
      </c>
      <c r="O224" s="130">
        <f t="shared" si="18"/>
        <v>309707.83131548308</v>
      </c>
      <c r="P224" s="132">
        <f t="shared" si="19"/>
        <v>244391.32670424774</v>
      </c>
      <c r="Q224" s="262">
        <v>1</v>
      </c>
      <c r="R224" s="92"/>
    </row>
    <row r="225" spans="1:18" x14ac:dyDescent="0.25">
      <c r="A225">
        <v>1992</v>
      </c>
      <c r="B225" t="s">
        <v>806</v>
      </c>
      <c r="C225" s="264" t="s">
        <v>625</v>
      </c>
      <c r="D225" s="157" t="s">
        <v>626</v>
      </c>
      <c r="E225" s="44">
        <v>33785</v>
      </c>
      <c r="F225" s="127" t="str">
        <f t="shared" si="20"/>
        <v>Date check - OK</v>
      </c>
      <c r="G225" s="1"/>
      <c r="H225" s="161"/>
      <c r="I225" s="37"/>
      <c r="J225" s="135">
        <f t="shared" si="21"/>
        <v>0.78910283174369955</v>
      </c>
      <c r="K225" s="112"/>
      <c r="L225" s="37">
        <v>355</v>
      </c>
      <c r="M225" s="37" t="s">
        <v>509</v>
      </c>
      <c r="N225" s="37">
        <v>184.31591804423746</v>
      </c>
      <c r="O225" s="130">
        <f t="shared" si="18"/>
        <v>65432.1509057043</v>
      </c>
      <c r="P225" s="132">
        <f t="shared" si="19"/>
        <v>37175.540808076083</v>
      </c>
      <c r="Q225" s="262">
        <v>0.72</v>
      </c>
      <c r="R225" s="92"/>
    </row>
    <row r="226" spans="1:18" x14ac:dyDescent="0.25">
      <c r="A226">
        <v>1992</v>
      </c>
      <c r="B226" t="s">
        <v>806</v>
      </c>
      <c r="C226" s="264" t="s">
        <v>627</v>
      </c>
      <c r="D226" s="157" t="s">
        <v>628</v>
      </c>
      <c r="E226" s="44">
        <v>33785</v>
      </c>
      <c r="F226" s="127" t="str">
        <f t="shared" si="20"/>
        <v>Date check - OK</v>
      </c>
      <c r="G226" s="1"/>
      <c r="H226" s="161"/>
      <c r="I226" s="37"/>
      <c r="J226" s="135">
        <f t="shared" si="21"/>
        <v>0.78910283174369955</v>
      </c>
      <c r="K226" s="112"/>
      <c r="L226" s="37">
        <v>602</v>
      </c>
      <c r="M226" s="37" t="s">
        <v>509</v>
      </c>
      <c r="N226" s="37">
        <v>349.05846426076835</v>
      </c>
      <c r="O226" s="130">
        <f t="shared" si="18"/>
        <v>210133.19548498254</v>
      </c>
      <c r="P226" s="132">
        <f t="shared" si="19"/>
        <v>165816.69960055209</v>
      </c>
      <c r="Q226" s="262">
        <v>1</v>
      </c>
      <c r="R226" s="92"/>
    </row>
    <row r="227" spans="1:18" x14ac:dyDescent="0.25">
      <c r="A227">
        <v>1992</v>
      </c>
      <c r="B227" t="s">
        <v>806</v>
      </c>
      <c r="C227" s="264" t="s">
        <v>629</v>
      </c>
      <c r="D227" s="157" t="s">
        <v>630</v>
      </c>
      <c r="E227" s="44">
        <v>33785</v>
      </c>
      <c r="F227" s="127" t="str">
        <f t="shared" si="20"/>
        <v>Date check - OK</v>
      </c>
      <c r="G227" s="1"/>
      <c r="H227" s="161"/>
      <c r="I227" s="37"/>
      <c r="J227" s="135">
        <f t="shared" si="21"/>
        <v>0.78910283174369955</v>
      </c>
      <c r="K227" s="112"/>
      <c r="L227" s="37">
        <v>1220</v>
      </c>
      <c r="M227" s="37" t="s">
        <v>509</v>
      </c>
      <c r="N227" s="37">
        <v>349.05846426076835</v>
      </c>
      <c r="O227" s="130">
        <f t="shared" si="18"/>
        <v>425851.32639813737</v>
      </c>
      <c r="P227" s="132">
        <f t="shared" si="19"/>
        <v>221786.72179130325</v>
      </c>
      <c r="Q227" s="262">
        <v>0.66</v>
      </c>
      <c r="R227" s="92"/>
    </row>
    <row r="228" spans="1:18" x14ac:dyDescent="0.25">
      <c r="A228">
        <v>1993</v>
      </c>
      <c r="B228" t="s">
        <v>806</v>
      </c>
      <c r="C228" s="264" t="s">
        <v>631</v>
      </c>
      <c r="D228" s="157" t="s">
        <v>632</v>
      </c>
      <c r="E228" s="44">
        <v>34150</v>
      </c>
      <c r="F228" s="127" t="str">
        <f t="shared" si="20"/>
        <v>Date check - OK</v>
      </c>
      <c r="G228" s="1"/>
      <c r="H228" s="161"/>
      <c r="I228" s="37"/>
      <c r="J228" s="135">
        <f t="shared" si="21"/>
        <v>0.78910283174369955</v>
      </c>
      <c r="K228" s="112"/>
      <c r="L228" s="37">
        <v>596</v>
      </c>
      <c r="M228" s="37" t="s">
        <v>509</v>
      </c>
      <c r="N228" s="37">
        <v>285.44500582072175</v>
      </c>
      <c r="O228" s="130">
        <f t="shared" si="18"/>
        <v>170125.22346915017</v>
      </c>
      <c r="P228" s="132">
        <f t="shared" si="19"/>
        <v>134246.29559053609</v>
      </c>
      <c r="Q228" s="262">
        <v>1</v>
      </c>
      <c r="R228" s="92"/>
    </row>
    <row r="229" spans="1:18" x14ac:dyDescent="0.25">
      <c r="A229">
        <v>1993</v>
      </c>
      <c r="B229" t="s">
        <v>806</v>
      </c>
      <c r="C229" s="264" t="s">
        <v>633</v>
      </c>
      <c r="D229" s="157" t="s">
        <v>634</v>
      </c>
      <c r="E229" s="44">
        <v>34150</v>
      </c>
      <c r="F229" s="127" t="str">
        <f t="shared" si="20"/>
        <v>Date check - OK</v>
      </c>
      <c r="G229" s="1"/>
      <c r="H229" s="161"/>
      <c r="I229" s="37"/>
      <c r="J229" s="135">
        <f t="shared" si="21"/>
        <v>0.78910283174369955</v>
      </c>
      <c r="K229" s="112"/>
      <c r="L229" s="37">
        <v>765</v>
      </c>
      <c r="M229" s="37" t="s">
        <v>509</v>
      </c>
      <c r="N229" s="37">
        <v>285.44500582072175</v>
      </c>
      <c r="O229" s="130">
        <f t="shared" si="18"/>
        <v>218365.42945285214</v>
      </c>
      <c r="P229" s="132">
        <f t="shared" si="19"/>
        <v>172312.77873617469</v>
      </c>
      <c r="Q229" s="262">
        <v>1</v>
      </c>
      <c r="R229" s="92"/>
    </row>
    <row r="230" spans="1:18" x14ac:dyDescent="0.25">
      <c r="A230">
        <v>1994</v>
      </c>
      <c r="B230" t="s">
        <v>806</v>
      </c>
      <c r="C230" s="264" t="s">
        <v>635</v>
      </c>
      <c r="D230" s="157" t="s">
        <v>636</v>
      </c>
      <c r="E230" s="44">
        <v>34515</v>
      </c>
      <c r="F230" s="127" t="str">
        <f t="shared" si="20"/>
        <v>Date check - OK</v>
      </c>
      <c r="G230" s="1"/>
      <c r="H230" s="161"/>
      <c r="I230" s="37"/>
      <c r="J230" s="135">
        <f t="shared" si="21"/>
        <v>0.78910283174369955</v>
      </c>
      <c r="K230" s="112"/>
      <c r="L230" s="37">
        <v>2330</v>
      </c>
      <c r="M230" s="37" t="s">
        <v>509</v>
      </c>
      <c r="N230" s="37">
        <v>349.05846426076835</v>
      </c>
      <c r="O230" s="130">
        <f t="shared" si="18"/>
        <v>813306.22172759019</v>
      </c>
      <c r="P230" s="132">
        <f t="shared" si="19"/>
        <v>641782.24264001055</v>
      </c>
      <c r="Q230" s="262">
        <v>1</v>
      </c>
      <c r="R230" s="92"/>
    </row>
    <row r="231" spans="1:18" x14ac:dyDescent="0.25">
      <c r="A231">
        <v>1994</v>
      </c>
      <c r="B231" t="s">
        <v>806</v>
      </c>
      <c r="C231" s="264" t="s">
        <v>637</v>
      </c>
      <c r="D231" s="157" t="s">
        <v>638</v>
      </c>
      <c r="E231" s="44">
        <v>34515</v>
      </c>
      <c r="F231" s="127" t="str">
        <f t="shared" si="20"/>
        <v>Date check - OK</v>
      </c>
      <c r="G231" s="1"/>
      <c r="H231" s="161"/>
      <c r="I231" s="37"/>
      <c r="J231" s="135">
        <f t="shared" si="21"/>
        <v>0.78910283174369955</v>
      </c>
      <c r="K231" s="112"/>
      <c r="L231" s="37">
        <v>120</v>
      </c>
      <c r="M231" s="37" t="s">
        <v>509</v>
      </c>
      <c r="N231" s="37">
        <v>285.44500582072175</v>
      </c>
      <c r="O231" s="130">
        <f t="shared" si="18"/>
        <v>34253.400698486606</v>
      </c>
      <c r="P231" s="132">
        <f t="shared" si="19"/>
        <v>27029.455488027397</v>
      </c>
      <c r="Q231" s="262">
        <v>1</v>
      </c>
      <c r="R231" s="92"/>
    </row>
    <row r="232" spans="1:18" x14ac:dyDescent="0.25">
      <c r="A232">
        <v>1994</v>
      </c>
      <c r="B232" t="s">
        <v>806</v>
      </c>
      <c r="C232" s="264" t="s">
        <v>639</v>
      </c>
      <c r="D232" s="157" t="s">
        <v>640</v>
      </c>
      <c r="E232" s="44">
        <v>34515</v>
      </c>
      <c r="F232" s="127" t="str">
        <f t="shared" si="20"/>
        <v>Date check - OK</v>
      </c>
      <c r="G232" s="1"/>
      <c r="H232" s="161"/>
      <c r="I232" s="37"/>
      <c r="J232" s="135">
        <f t="shared" si="21"/>
        <v>0.78910283174369955</v>
      </c>
      <c r="K232" s="112"/>
      <c r="L232" s="37">
        <v>1100</v>
      </c>
      <c r="M232" s="37" t="s">
        <v>509</v>
      </c>
      <c r="N232" s="37">
        <v>285.44500582072175</v>
      </c>
      <c r="O232" s="130">
        <f t="shared" si="18"/>
        <v>313989.50640279392</v>
      </c>
      <c r="P232" s="132">
        <f t="shared" si="19"/>
        <v>247770.00864025115</v>
      </c>
      <c r="Q232" s="262">
        <v>1</v>
      </c>
      <c r="R232" s="92"/>
    </row>
    <row r="233" spans="1:18" x14ac:dyDescent="0.25">
      <c r="A233">
        <v>1995</v>
      </c>
      <c r="B233" t="s">
        <v>806</v>
      </c>
      <c r="C233" s="264" t="s">
        <v>641</v>
      </c>
      <c r="D233" s="157" t="s">
        <v>642</v>
      </c>
      <c r="E233" s="44">
        <v>34880</v>
      </c>
      <c r="F233" s="127" t="str">
        <f t="shared" si="20"/>
        <v>Date check - OK</v>
      </c>
      <c r="G233" s="1"/>
      <c r="H233" s="161"/>
      <c r="I233" s="37"/>
      <c r="J233" s="135">
        <f t="shared" si="21"/>
        <v>0.78910283174369955</v>
      </c>
      <c r="K233" s="112"/>
      <c r="L233" s="37">
        <v>1325</v>
      </c>
      <c r="M233" s="37" t="s">
        <v>509</v>
      </c>
      <c r="N233" s="37">
        <v>349.05846426076835</v>
      </c>
      <c r="O233" s="130">
        <f t="shared" si="18"/>
        <v>462502.46514551807</v>
      </c>
      <c r="P233" s="132">
        <f t="shared" si="19"/>
        <v>364962.00493477</v>
      </c>
      <c r="Q233" s="262">
        <v>1</v>
      </c>
      <c r="R233" s="92"/>
    </row>
    <row r="234" spans="1:18" x14ac:dyDescent="0.25">
      <c r="A234">
        <v>1995</v>
      </c>
      <c r="B234" t="s">
        <v>806</v>
      </c>
      <c r="C234" s="264" t="s">
        <v>643</v>
      </c>
      <c r="D234" s="157" t="s">
        <v>644</v>
      </c>
      <c r="E234" s="44">
        <v>34880</v>
      </c>
      <c r="F234" s="127" t="str">
        <f t="shared" si="20"/>
        <v>Date check - OK</v>
      </c>
      <c r="G234" s="1"/>
      <c r="H234" s="161"/>
      <c r="I234" s="37"/>
      <c r="J234" s="135">
        <f t="shared" si="21"/>
        <v>0.78910283174369955</v>
      </c>
      <c r="K234" s="112"/>
      <c r="L234" s="37">
        <v>1800</v>
      </c>
      <c r="M234" s="37" t="s">
        <v>509</v>
      </c>
      <c r="N234" s="37">
        <v>349.05846426076835</v>
      </c>
      <c r="O234" s="130">
        <f t="shared" si="18"/>
        <v>628305.23566938308</v>
      </c>
      <c r="P234" s="132">
        <f t="shared" si="19"/>
        <v>495797.44066610269</v>
      </c>
      <c r="Q234" s="262">
        <v>1</v>
      </c>
      <c r="R234" s="92"/>
    </row>
    <row r="235" spans="1:18" x14ac:dyDescent="0.25">
      <c r="A235">
        <v>1995</v>
      </c>
      <c r="B235" t="s">
        <v>806</v>
      </c>
      <c r="C235" s="264" t="s">
        <v>645</v>
      </c>
      <c r="D235" s="157" t="s">
        <v>646</v>
      </c>
      <c r="E235" s="44">
        <v>34880</v>
      </c>
      <c r="F235" s="127" t="str">
        <f t="shared" si="20"/>
        <v>Date check - OK</v>
      </c>
      <c r="G235" s="1"/>
      <c r="H235" s="161"/>
      <c r="I235" s="37"/>
      <c r="J235" s="135">
        <f t="shared" si="21"/>
        <v>0.78910283174369955</v>
      </c>
      <c r="K235" s="112"/>
      <c r="L235" s="37">
        <v>314</v>
      </c>
      <c r="M235" s="37" t="s">
        <v>509</v>
      </c>
      <c r="N235" s="37">
        <v>316.43617788125727</v>
      </c>
      <c r="O235" s="130">
        <f t="shared" si="18"/>
        <v>99360.959854714776</v>
      </c>
      <c r="P235" s="132">
        <f t="shared" si="19"/>
        <v>54884.210350289228</v>
      </c>
      <c r="Q235" s="262">
        <v>0.7</v>
      </c>
      <c r="R235" s="92"/>
    </row>
    <row r="236" spans="1:18" x14ac:dyDescent="0.25">
      <c r="A236">
        <v>1995</v>
      </c>
      <c r="B236" t="s">
        <v>806</v>
      </c>
      <c r="C236" s="264" t="s">
        <v>647</v>
      </c>
      <c r="D236" s="157" t="s">
        <v>648</v>
      </c>
      <c r="E236" s="44">
        <v>34880</v>
      </c>
      <c r="F236" s="127" t="str">
        <f t="shared" si="20"/>
        <v>Date check - OK</v>
      </c>
      <c r="G236" s="1"/>
      <c r="H236" s="161"/>
      <c r="I236" s="37"/>
      <c r="J236" s="135">
        <f t="shared" si="21"/>
        <v>0.78910283174369955</v>
      </c>
      <c r="K236" s="112"/>
      <c r="L236" s="37">
        <v>2177.5311238999998</v>
      </c>
      <c r="M236" s="37" t="s">
        <v>509</v>
      </c>
      <c r="N236" s="37">
        <v>430.61418020954596</v>
      </c>
      <c r="O236" s="130">
        <f t="shared" ref="O236:O263" si="22">IF(N236="","-",L236*N236)</f>
        <v>937675.77979896963</v>
      </c>
      <c r="P236" s="132">
        <f t="shared" ref="P236:P263" si="23">IF(O236="-","-",IF(OR(E236&lt;$E$15,E236&gt;$E$16),0,O236*J236))*Q236</f>
        <v>739922.6130968486</v>
      </c>
      <c r="Q236" s="262">
        <v>1</v>
      </c>
      <c r="R236" s="92"/>
    </row>
    <row r="237" spans="1:18" x14ac:dyDescent="0.25">
      <c r="C237" s="264"/>
      <c r="D237" s="157"/>
      <c r="E237" s="44"/>
      <c r="F237" s="127"/>
      <c r="G237" s="1"/>
      <c r="H237" s="161"/>
      <c r="I237" s="37"/>
      <c r="J237" s="135">
        <f t="shared" si="21"/>
        <v>0.78910283174369955</v>
      </c>
      <c r="K237" s="112"/>
      <c r="L237" s="37"/>
      <c r="M237" s="37"/>
      <c r="N237" s="37"/>
      <c r="O237" s="130"/>
      <c r="P237" s="132"/>
      <c r="Q237" s="262"/>
      <c r="R237" s="92"/>
    </row>
    <row r="238" spans="1:18" x14ac:dyDescent="0.25">
      <c r="A238">
        <v>1993</v>
      </c>
      <c r="B238" t="s">
        <v>285</v>
      </c>
      <c r="C238" s="264">
        <v>309510</v>
      </c>
      <c r="D238" s="157" t="s">
        <v>649</v>
      </c>
      <c r="E238" s="44">
        <v>34150</v>
      </c>
      <c r="F238" s="127" t="str">
        <f t="shared" si="20"/>
        <v>Date check - OK</v>
      </c>
      <c r="G238" s="1"/>
      <c r="H238" s="161"/>
      <c r="I238" s="37"/>
      <c r="J238" s="135">
        <f t="shared" si="21"/>
        <v>0.78910283174369955</v>
      </c>
      <c r="K238" s="112"/>
      <c r="L238" s="37">
        <v>1</v>
      </c>
      <c r="M238" s="37" t="s">
        <v>529</v>
      </c>
      <c r="N238" s="37">
        <v>389754.76651920838</v>
      </c>
      <c r="O238" s="130">
        <f t="shared" si="22"/>
        <v>389754.76651920838</v>
      </c>
      <c r="P238" s="132">
        <f t="shared" si="23"/>
        <v>215289.61296213823</v>
      </c>
      <c r="Q238" s="262">
        <v>0.7</v>
      </c>
      <c r="R238" s="92"/>
    </row>
    <row r="239" spans="1:18" x14ac:dyDescent="0.25">
      <c r="A239">
        <v>1994</v>
      </c>
      <c r="B239" t="s">
        <v>285</v>
      </c>
      <c r="C239" s="264">
        <v>309954</v>
      </c>
      <c r="D239" s="157" t="s">
        <v>650</v>
      </c>
      <c r="E239" s="44">
        <v>34515</v>
      </c>
      <c r="F239" s="127" t="str">
        <f t="shared" si="20"/>
        <v>Date check - OK</v>
      </c>
      <c r="G239" s="1"/>
      <c r="H239" s="161"/>
      <c r="I239" s="37"/>
      <c r="J239" s="135">
        <f t="shared" si="21"/>
        <v>0.78910283174369955</v>
      </c>
      <c r="K239" s="112"/>
      <c r="L239" s="37">
        <v>1</v>
      </c>
      <c r="M239" s="37" t="s">
        <v>529</v>
      </c>
      <c r="N239" s="37">
        <v>214047.86985052386</v>
      </c>
      <c r="O239" s="130">
        <f t="shared" si="22"/>
        <v>214047.86985052386</v>
      </c>
      <c r="P239" s="132">
        <f t="shared" si="23"/>
        <v>168905.78022775523</v>
      </c>
      <c r="Q239" s="262">
        <v>1</v>
      </c>
      <c r="R239" s="92"/>
    </row>
    <row r="240" spans="1:18" x14ac:dyDescent="0.25">
      <c r="A240">
        <v>1988</v>
      </c>
      <c r="B240" t="s">
        <v>285</v>
      </c>
      <c r="C240" s="264">
        <v>37255</v>
      </c>
      <c r="D240" s="157" t="s">
        <v>651</v>
      </c>
      <c r="E240" s="44">
        <v>32324</v>
      </c>
      <c r="F240" s="127" t="str">
        <f t="shared" si="20"/>
        <v>Date check - OK</v>
      </c>
      <c r="G240" s="1"/>
      <c r="H240" s="161"/>
      <c r="I240" s="37"/>
      <c r="J240" s="135">
        <f t="shared" si="21"/>
        <v>0.78910283174369955</v>
      </c>
      <c r="K240" s="112"/>
      <c r="L240" s="37">
        <v>1</v>
      </c>
      <c r="M240" s="37" t="s">
        <v>529</v>
      </c>
      <c r="N240" s="37">
        <v>389754.76651920838</v>
      </c>
      <c r="O240" s="130">
        <f t="shared" si="22"/>
        <v>389754.76651920838</v>
      </c>
      <c r="P240" s="132">
        <f t="shared" si="23"/>
        <v>307556.58994591178</v>
      </c>
      <c r="Q240" s="262">
        <v>1</v>
      </c>
      <c r="R240" s="92"/>
    </row>
    <row r="241" spans="1:18" x14ac:dyDescent="0.25">
      <c r="A241">
        <v>1989</v>
      </c>
      <c r="B241" t="s">
        <v>285</v>
      </c>
      <c r="C241" s="264">
        <v>37570</v>
      </c>
      <c r="D241" s="157" t="s">
        <v>652</v>
      </c>
      <c r="E241" s="44">
        <v>32689</v>
      </c>
      <c r="F241" s="127" t="str">
        <f t="shared" si="20"/>
        <v>Date check - OK</v>
      </c>
      <c r="G241" s="1"/>
      <c r="H241" s="161"/>
      <c r="I241" s="37"/>
      <c r="J241" s="135">
        <f t="shared" si="21"/>
        <v>0.78910283174369955</v>
      </c>
      <c r="K241" s="112"/>
      <c r="L241" s="37">
        <v>1</v>
      </c>
      <c r="M241" s="37" t="s">
        <v>529</v>
      </c>
      <c r="N241" s="37">
        <v>789402.24138300342</v>
      </c>
      <c r="O241" s="130">
        <f t="shared" si="22"/>
        <v>789402.24138300342</v>
      </c>
      <c r="P241" s="132">
        <f t="shared" si="23"/>
        <v>622919.54406015144</v>
      </c>
      <c r="Q241" s="262">
        <v>1</v>
      </c>
      <c r="R241" s="92"/>
    </row>
    <row r="242" spans="1:18" x14ac:dyDescent="0.25">
      <c r="A242">
        <v>1989</v>
      </c>
      <c r="B242" t="s">
        <v>285</v>
      </c>
      <c r="C242" s="264">
        <v>37297</v>
      </c>
      <c r="D242" s="157" t="s">
        <v>653</v>
      </c>
      <c r="E242" s="44">
        <v>32689</v>
      </c>
      <c r="F242" s="127" t="str">
        <f t="shared" si="20"/>
        <v>Date check - OK</v>
      </c>
      <c r="G242" s="1"/>
      <c r="H242" s="161"/>
      <c r="I242" s="37"/>
      <c r="J242" s="135">
        <f t="shared" si="21"/>
        <v>0.78910283174369955</v>
      </c>
      <c r="K242" s="112"/>
      <c r="L242" s="37">
        <v>1</v>
      </c>
      <c r="M242" s="37" t="s">
        <v>529</v>
      </c>
      <c r="N242" s="37">
        <v>331186.3446677532</v>
      </c>
      <c r="O242" s="130">
        <f t="shared" si="22"/>
        <v>331186.3446677532</v>
      </c>
      <c r="P242" s="132">
        <f t="shared" si="23"/>
        <v>261340.08241216894</v>
      </c>
      <c r="Q242" s="262">
        <v>1</v>
      </c>
      <c r="R242" s="92"/>
    </row>
    <row r="243" spans="1:18" x14ac:dyDescent="0.25">
      <c r="A243">
        <v>1990</v>
      </c>
      <c r="B243" t="s">
        <v>285</v>
      </c>
      <c r="C243" s="264">
        <v>302262</v>
      </c>
      <c r="D243" s="157" t="s">
        <v>654</v>
      </c>
      <c r="E243" s="44">
        <v>33054</v>
      </c>
      <c r="F243" s="127" t="str">
        <f t="shared" si="20"/>
        <v>Date check - OK</v>
      </c>
      <c r="G243" s="1"/>
      <c r="H243" s="161"/>
      <c r="I243" s="37"/>
      <c r="J243" s="135">
        <f t="shared" si="21"/>
        <v>0.78910283174369955</v>
      </c>
      <c r="K243" s="112"/>
      <c r="L243" s="37">
        <v>1</v>
      </c>
      <c r="M243" s="37" t="s">
        <v>529</v>
      </c>
      <c r="N243" s="37">
        <v>203711.49841117577</v>
      </c>
      <c r="O243" s="130">
        <f t="shared" si="22"/>
        <v>203711.49841117577</v>
      </c>
      <c r="P243" s="132">
        <f t="shared" si="23"/>
        <v>160749.32025501094</v>
      </c>
      <c r="Q243" s="262">
        <v>1</v>
      </c>
      <c r="R243" s="92"/>
    </row>
    <row r="244" spans="1:18" x14ac:dyDescent="0.25">
      <c r="A244">
        <v>1991</v>
      </c>
      <c r="B244" t="s">
        <v>285</v>
      </c>
      <c r="C244" s="264">
        <v>302211</v>
      </c>
      <c r="D244" s="157" t="s">
        <v>655</v>
      </c>
      <c r="E244" s="44">
        <v>33419</v>
      </c>
      <c r="F244" s="127" t="str">
        <f t="shared" si="20"/>
        <v>Date check - OK</v>
      </c>
      <c r="G244" s="1"/>
      <c r="H244" s="161"/>
      <c r="I244" s="37"/>
      <c r="J244" s="135">
        <f t="shared" si="21"/>
        <v>0.78910283174369955</v>
      </c>
      <c r="K244" s="112"/>
      <c r="L244" s="37">
        <v>1</v>
      </c>
      <c r="M244" s="37" t="s">
        <v>529</v>
      </c>
      <c r="N244" s="37">
        <v>389754.76651920838</v>
      </c>
      <c r="O244" s="130">
        <f t="shared" si="22"/>
        <v>389754.76651920838</v>
      </c>
      <c r="P244" s="132">
        <f t="shared" si="23"/>
        <v>307556.58994591178</v>
      </c>
      <c r="Q244" s="262">
        <v>1</v>
      </c>
      <c r="R244" s="92"/>
    </row>
    <row r="245" spans="1:18" x14ac:dyDescent="0.25">
      <c r="A245">
        <v>1991</v>
      </c>
      <c r="B245" t="s">
        <v>285</v>
      </c>
      <c r="C245" s="264">
        <v>302210</v>
      </c>
      <c r="D245" s="157" t="s">
        <v>656</v>
      </c>
      <c r="E245" s="44">
        <v>33419</v>
      </c>
      <c r="F245" s="127" t="str">
        <f t="shared" si="20"/>
        <v>Date check - OK</v>
      </c>
      <c r="G245" s="1"/>
      <c r="H245" s="161"/>
      <c r="I245" s="37"/>
      <c r="J245" s="135">
        <f t="shared" si="21"/>
        <v>0.78910283174369955</v>
      </c>
      <c r="K245" s="112"/>
      <c r="L245" s="37">
        <v>1</v>
      </c>
      <c r="M245" s="37" t="s">
        <v>529</v>
      </c>
      <c r="N245" s="37">
        <v>493111.95645541325</v>
      </c>
      <c r="O245" s="130">
        <f t="shared" si="22"/>
        <v>493111.95645541325</v>
      </c>
      <c r="P245" s="132">
        <f t="shared" si="23"/>
        <v>223741.72369324439</v>
      </c>
      <c r="Q245" s="262">
        <v>0.57499999999999996</v>
      </c>
      <c r="R245" s="92"/>
    </row>
    <row r="246" spans="1:18" x14ac:dyDescent="0.25">
      <c r="A246">
        <v>1991</v>
      </c>
      <c r="B246" t="s">
        <v>285</v>
      </c>
      <c r="C246" s="264">
        <v>302264</v>
      </c>
      <c r="D246" s="157" t="s">
        <v>657</v>
      </c>
      <c r="E246" s="44">
        <v>33419</v>
      </c>
      <c r="F246" s="127" t="str">
        <f t="shared" si="20"/>
        <v>Date check - OK</v>
      </c>
      <c r="G246" s="1"/>
      <c r="H246" s="161"/>
      <c r="I246" s="37"/>
      <c r="J246" s="135">
        <f t="shared" si="21"/>
        <v>0.78910283174369955</v>
      </c>
      <c r="K246" s="112"/>
      <c r="L246" s="37">
        <v>1</v>
      </c>
      <c r="M246" s="37" t="s">
        <v>529</v>
      </c>
      <c r="N246" s="37">
        <v>334631.25810942956</v>
      </c>
      <c r="O246" s="130">
        <f t="shared" si="22"/>
        <v>334631.25810942956</v>
      </c>
      <c r="P246" s="132">
        <f t="shared" si="23"/>
        <v>264058.47336410772</v>
      </c>
      <c r="Q246" s="262">
        <v>1</v>
      </c>
      <c r="R246" s="92"/>
    </row>
    <row r="247" spans="1:18" x14ac:dyDescent="0.25">
      <c r="A247">
        <v>1992</v>
      </c>
      <c r="B247" t="s">
        <v>285</v>
      </c>
      <c r="C247" s="264">
        <v>37576</v>
      </c>
      <c r="D247" s="157" t="s">
        <v>658</v>
      </c>
      <c r="E247" s="44">
        <v>33785</v>
      </c>
      <c r="F247" s="127" t="str">
        <f t="shared" si="20"/>
        <v>Date check - OK</v>
      </c>
      <c r="G247" s="1"/>
      <c r="H247" s="161"/>
      <c r="I247" s="37"/>
      <c r="J247" s="135">
        <f t="shared" si="21"/>
        <v>0.78910283174369955</v>
      </c>
      <c r="K247" s="112"/>
      <c r="L247" s="37">
        <v>1</v>
      </c>
      <c r="M247" s="37" t="s">
        <v>529</v>
      </c>
      <c r="N247" s="37">
        <v>596469.14639161818</v>
      </c>
      <c r="O247" s="130">
        <f t="shared" si="22"/>
        <v>596469.14639161818</v>
      </c>
      <c r="P247" s="132">
        <f t="shared" si="23"/>
        <v>409487.67844487465</v>
      </c>
      <c r="Q247" s="262">
        <v>0.87</v>
      </c>
      <c r="R247" s="92"/>
    </row>
    <row r="248" spans="1:18" x14ac:dyDescent="0.25">
      <c r="A248">
        <v>1992</v>
      </c>
      <c r="B248" t="s">
        <v>285</v>
      </c>
      <c r="C248" s="264">
        <v>300320</v>
      </c>
      <c r="D248" s="157" t="s">
        <v>659</v>
      </c>
      <c r="E248" s="44">
        <v>33785</v>
      </c>
      <c r="F248" s="127" t="str">
        <f t="shared" si="20"/>
        <v>Date check - OK</v>
      </c>
      <c r="G248" s="1"/>
      <c r="H248" s="161"/>
      <c r="I248" s="37"/>
      <c r="J248" s="135">
        <f t="shared" si="21"/>
        <v>0.78910283174369955</v>
      </c>
      <c r="K248" s="112"/>
      <c r="L248" s="37">
        <v>1</v>
      </c>
      <c r="M248" s="37" t="s">
        <v>529</v>
      </c>
      <c r="N248" s="37">
        <v>286397.57658300351</v>
      </c>
      <c r="O248" s="130">
        <f t="shared" si="22"/>
        <v>286397.57658300351</v>
      </c>
      <c r="P248" s="132">
        <f t="shared" si="23"/>
        <v>225997.13868618113</v>
      </c>
      <c r="Q248" s="262">
        <v>1</v>
      </c>
      <c r="R248" s="92"/>
    </row>
    <row r="249" spans="1:18" x14ac:dyDescent="0.25">
      <c r="A249">
        <v>1992</v>
      </c>
      <c r="B249" t="s">
        <v>285</v>
      </c>
      <c r="C249" s="264">
        <v>302263</v>
      </c>
      <c r="D249" s="157" t="s">
        <v>657</v>
      </c>
      <c r="E249" s="44">
        <v>33785</v>
      </c>
      <c r="F249" s="127" t="str">
        <f t="shared" si="20"/>
        <v>Date check - OK</v>
      </c>
      <c r="G249" s="1"/>
      <c r="H249" s="161"/>
      <c r="I249" s="37"/>
      <c r="J249" s="135">
        <f t="shared" si="21"/>
        <v>0.78910283174369955</v>
      </c>
      <c r="K249" s="112"/>
      <c r="L249" s="37">
        <v>1</v>
      </c>
      <c r="M249" s="37" t="s">
        <v>529</v>
      </c>
      <c r="N249" s="37">
        <v>224529.41046426076</v>
      </c>
      <c r="O249" s="130">
        <f t="shared" si="22"/>
        <v>224529.41046426076</v>
      </c>
      <c r="P249" s="132">
        <f t="shared" si="23"/>
        <v>177176.79360709162</v>
      </c>
      <c r="Q249" s="262">
        <v>1</v>
      </c>
      <c r="R249" s="92"/>
    </row>
    <row r="250" spans="1:18" x14ac:dyDescent="0.25">
      <c r="A250">
        <v>1992</v>
      </c>
      <c r="B250" t="s">
        <v>285</v>
      </c>
      <c r="C250" s="264">
        <v>302265</v>
      </c>
      <c r="D250" s="157" t="s">
        <v>660</v>
      </c>
      <c r="E250" s="44">
        <v>33785</v>
      </c>
      <c r="F250" s="127" t="str">
        <f t="shared" si="20"/>
        <v>Date check - OK</v>
      </c>
      <c r="G250" s="1"/>
      <c r="H250" s="161"/>
      <c r="I250" s="37"/>
      <c r="J250" s="135">
        <f t="shared" si="21"/>
        <v>0.78910283174369955</v>
      </c>
      <c r="K250" s="112"/>
      <c r="L250" s="37">
        <v>1</v>
      </c>
      <c r="M250" s="37" t="s">
        <v>529</v>
      </c>
      <c r="N250" s="37">
        <v>493111.95645541325</v>
      </c>
      <c r="O250" s="130">
        <f t="shared" si="22"/>
        <v>493111.95645541325</v>
      </c>
      <c r="P250" s="132">
        <f t="shared" si="23"/>
        <v>389116.04120564245</v>
      </c>
      <c r="Q250" s="262">
        <v>1</v>
      </c>
      <c r="R250" s="92"/>
    </row>
    <row r="251" spans="1:18" x14ac:dyDescent="0.25">
      <c r="A251">
        <v>1992</v>
      </c>
      <c r="B251" t="s">
        <v>285</v>
      </c>
      <c r="C251" s="264">
        <v>302544</v>
      </c>
      <c r="D251" s="157" t="s">
        <v>661</v>
      </c>
      <c r="E251" s="44">
        <v>33785</v>
      </c>
      <c r="F251" s="127" t="str">
        <f t="shared" si="20"/>
        <v>Date check - OK</v>
      </c>
      <c r="G251" s="1"/>
      <c r="H251" s="161"/>
      <c r="I251" s="37"/>
      <c r="J251" s="135">
        <f t="shared" si="21"/>
        <v>0.78910283174369955</v>
      </c>
      <c r="K251" s="112"/>
      <c r="L251" s="37">
        <v>1</v>
      </c>
      <c r="M251" s="37" t="s">
        <v>529</v>
      </c>
      <c r="N251" s="37">
        <v>389754.76651920838</v>
      </c>
      <c r="O251" s="130">
        <f t="shared" si="22"/>
        <v>389754.76651920838</v>
      </c>
      <c r="P251" s="132">
        <f t="shared" si="23"/>
        <v>221440.74476105647</v>
      </c>
      <c r="Q251" s="262">
        <v>0.72</v>
      </c>
      <c r="R251" s="92"/>
    </row>
    <row r="252" spans="1:18" x14ac:dyDescent="0.25">
      <c r="A252">
        <v>1992</v>
      </c>
      <c r="B252" t="s">
        <v>285</v>
      </c>
      <c r="C252" s="264">
        <v>37303</v>
      </c>
      <c r="D252" s="157" t="s">
        <v>662</v>
      </c>
      <c r="E252" s="44">
        <v>33785</v>
      </c>
      <c r="F252" s="127" t="str">
        <f t="shared" si="20"/>
        <v>Date check - OK</v>
      </c>
      <c r="G252" s="1"/>
      <c r="H252" s="161"/>
      <c r="I252" s="37"/>
      <c r="J252" s="135">
        <f t="shared" si="21"/>
        <v>0.78910283174369955</v>
      </c>
      <c r="K252" s="112"/>
      <c r="L252" s="37">
        <v>1</v>
      </c>
      <c r="M252" s="37" t="s">
        <v>529</v>
      </c>
      <c r="N252" s="37">
        <v>458659.55981001165</v>
      </c>
      <c r="O252" s="130">
        <f t="shared" si="22"/>
        <v>458659.55981001165</v>
      </c>
      <c r="P252" s="132">
        <f t="shared" si="23"/>
        <v>361929.55745239893</v>
      </c>
      <c r="Q252" s="262">
        <v>1</v>
      </c>
      <c r="R252" s="92"/>
    </row>
    <row r="253" spans="1:18" x14ac:dyDescent="0.25">
      <c r="A253">
        <v>1993</v>
      </c>
      <c r="B253" t="s">
        <v>285</v>
      </c>
      <c r="C253" s="264">
        <v>300315</v>
      </c>
      <c r="D253" s="157" t="s">
        <v>663</v>
      </c>
      <c r="E253" s="44">
        <v>34150</v>
      </c>
      <c r="F253" s="127" t="str">
        <f t="shared" si="20"/>
        <v>Date check - OK</v>
      </c>
      <c r="G253" s="1"/>
      <c r="H253" s="161"/>
      <c r="I253" s="37"/>
      <c r="J253" s="135">
        <f t="shared" si="21"/>
        <v>0.78910283174369955</v>
      </c>
      <c r="K253" s="112"/>
      <c r="L253" s="37">
        <v>1</v>
      </c>
      <c r="M253" s="37" t="s">
        <v>529</v>
      </c>
      <c r="N253" s="37">
        <v>334631.25810942956</v>
      </c>
      <c r="O253" s="130">
        <f t="shared" si="22"/>
        <v>334631.25810942956</v>
      </c>
      <c r="P253" s="132">
        <f t="shared" si="23"/>
        <v>264058.47336410772</v>
      </c>
      <c r="Q253" s="262">
        <v>1</v>
      </c>
      <c r="R253" s="92"/>
    </row>
    <row r="254" spans="1:18" x14ac:dyDescent="0.25">
      <c r="A254">
        <v>1993</v>
      </c>
      <c r="B254" t="s">
        <v>285</v>
      </c>
      <c r="C254" s="264">
        <v>307112</v>
      </c>
      <c r="D254" s="157" t="s">
        <v>664</v>
      </c>
      <c r="E254" s="44">
        <v>34150</v>
      </c>
      <c r="F254" s="127" t="str">
        <f t="shared" si="20"/>
        <v>Date check - OK</v>
      </c>
      <c r="G254" s="1"/>
      <c r="H254" s="161"/>
      <c r="I254" s="37"/>
      <c r="J254" s="135">
        <f t="shared" si="21"/>
        <v>0.78910283174369955</v>
      </c>
      <c r="K254" s="112"/>
      <c r="L254" s="37">
        <v>1</v>
      </c>
      <c r="M254" s="37" t="s">
        <v>529</v>
      </c>
      <c r="N254" s="37">
        <v>231274.06817322466</v>
      </c>
      <c r="O254" s="130">
        <f t="shared" si="22"/>
        <v>231274.06817322466</v>
      </c>
      <c r="P254" s="132">
        <f t="shared" si="23"/>
        <v>182499.02210437699</v>
      </c>
      <c r="Q254" s="262">
        <v>1</v>
      </c>
      <c r="R254" s="92"/>
    </row>
    <row r="255" spans="1:18" x14ac:dyDescent="0.25">
      <c r="A255">
        <v>1993</v>
      </c>
      <c r="B255" t="s">
        <v>285</v>
      </c>
      <c r="C255" s="264">
        <v>307116</v>
      </c>
      <c r="D255" s="157" t="s">
        <v>665</v>
      </c>
      <c r="E255" s="44">
        <v>34150</v>
      </c>
      <c r="F255" s="127" t="str">
        <f t="shared" si="20"/>
        <v>Date check - OK</v>
      </c>
      <c r="G255" s="1"/>
      <c r="H255" s="161"/>
      <c r="I255" s="37"/>
      <c r="J255" s="135">
        <f t="shared" si="21"/>
        <v>0.78910283174369955</v>
      </c>
      <c r="K255" s="112"/>
      <c r="L255" s="37">
        <v>1</v>
      </c>
      <c r="M255" s="37" t="s">
        <v>529</v>
      </c>
      <c r="N255" s="37">
        <v>214047.86985052386</v>
      </c>
      <c r="O255" s="130">
        <f t="shared" si="22"/>
        <v>214047.86985052386</v>
      </c>
      <c r="P255" s="132">
        <f t="shared" si="23"/>
        <v>168905.78022775523</v>
      </c>
      <c r="Q255" s="262">
        <v>1</v>
      </c>
      <c r="R255" s="92"/>
    </row>
    <row r="256" spans="1:18" x14ac:dyDescent="0.25">
      <c r="A256">
        <v>1993</v>
      </c>
      <c r="B256" t="s">
        <v>285</v>
      </c>
      <c r="C256" s="264">
        <v>307109</v>
      </c>
      <c r="D256" s="157" t="s">
        <v>666</v>
      </c>
      <c r="E256" s="44">
        <v>34150</v>
      </c>
      <c r="F256" s="127" t="str">
        <f t="shared" si="20"/>
        <v>Date check - OK</v>
      </c>
      <c r="G256" s="1"/>
      <c r="H256" s="161"/>
      <c r="I256" s="37"/>
      <c r="J256" s="135">
        <f t="shared" si="21"/>
        <v>0.78910283174369955</v>
      </c>
      <c r="K256" s="112"/>
      <c r="L256" s="37">
        <v>1</v>
      </c>
      <c r="M256" s="37" t="s">
        <v>529</v>
      </c>
      <c r="N256" s="37">
        <v>286397.57658300351</v>
      </c>
      <c r="O256" s="130">
        <f t="shared" si="22"/>
        <v>286397.57658300351</v>
      </c>
      <c r="P256" s="132">
        <f t="shared" si="23"/>
        <v>149158.11153287956</v>
      </c>
      <c r="Q256" s="262">
        <v>0.66</v>
      </c>
      <c r="R256" s="92"/>
    </row>
    <row r="257" spans="1:18" x14ac:dyDescent="0.25">
      <c r="A257">
        <v>1994</v>
      </c>
      <c r="B257" t="s">
        <v>285</v>
      </c>
      <c r="C257" s="264">
        <v>309540</v>
      </c>
      <c r="D257" s="157" t="s">
        <v>667</v>
      </c>
      <c r="E257" s="44">
        <v>34515</v>
      </c>
      <c r="F257" s="127" t="str">
        <f t="shared" si="20"/>
        <v>Date check - OK</v>
      </c>
      <c r="G257" s="1"/>
      <c r="H257" s="161"/>
      <c r="I257" s="37"/>
      <c r="J257" s="135">
        <f t="shared" si="21"/>
        <v>0.78910283174369955</v>
      </c>
      <c r="K257" s="112"/>
      <c r="L257" s="37">
        <v>1</v>
      </c>
      <c r="M257" s="37" t="s">
        <v>529</v>
      </c>
      <c r="N257" s="37">
        <v>389754.76651920838</v>
      </c>
      <c r="O257" s="130">
        <f t="shared" si="22"/>
        <v>389754.76651920838</v>
      </c>
      <c r="P257" s="132">
        <f t="shared" si="23"/>
        <v>307556.58994591178</v>
      </c>
      <c r="Q257" s="262">
        <v>1</v>
      </c>
      <c r="R257" s="92"/>
    </row>
    <row r="258" spans="1:18" x14ac:dyDescent="0.25">
      <c r="A258">
        <v>1994</v>
      </c>
      <c r="B258" t="s">
        <v>285</v>
      </c>
      <c r="C258" s="264">
        <v>308053</v>
      </c>
      <c r="D258" s="157" t="s">
        <v>668</v>
      </c>
      <c r="E258" s="44">
        <v>34515</v>
      </c>
      <c r="F258" s="127" t="str">
        <f t="shared" si="20"/>
        <v>Date check - OK</v>
      </c>
      <c r="G258" s="1"/>
      <c r="H258" s="161"/>
      <c r="I258" s="37"/>
      <c r="J258" s="135">
        <f t="shared" si="21"/>
        <v>0.78910283174369955</v>
      </c>
      <c r="K258" s="112"/>
      <c r="L258" s="37">
        <v>1</v>
      </c>
      <c r="M258" s="37" t="s">
        <v>529</v>
      </c>
      <c r="N258" s="37">
        <v>389754.76651920838</v>
      </c>
      <c r="O258" s="130">
        <f t="shared" si="22"/>
        <v>389754.76651920838</v>
      </c>
      <c r="P258" s="132">
        <f t="shared" si="23"/>
        <v>307556.58994591178</v>
      </c>
      <c r="Q258" s="262">
        <v>1</v>
      </c>
      <c r="R258" s="92"/>
    </row>
    <row r="259" spans="1:18" x14ac:dyDescent="0.25">
      <c r="A259">
        <v>1994</v>
      </c>
      <c r="B259" t="s">
        <v>285</v>
      </c>
      <c r="C259" s="264">
        <v>308051</v>
      </c>
      <c r="D259" s="157" t="s">
        <v>669</v>
      </c>
      <c r="E259" s="44">
        <v>34515</v>
      </c>
      <c r="F259" s="127" t="str">
        <f t="shared" si="20"/>
        <v>Date check - OK</v>
      </c>
      <c r="G259" s="1"/>
      <c r="H259" s="161"/>
      <c r="I259" s="37"/>
      <c r="J259" s="135">
        <f t="shared" si="21"/>
        <v>0.78910283174369955</v>
      </c>
      <c r="K259" s="112"/>
      <c r="L259" s="37">
        <v>1</v>
      </c>
      <c r="M259" s="37" t="s">
        <v>529</v>
      </c>
      <c r="N259" s="37">
        <v>300178.8614640279</v>
      </c>
      <c r="O259" s="130">
        <f t="shared" si="22"/>
        <v>300178.8614640279</v>
      </c>
      <c r="P259" s="132">
        <f t="shared" si="23"/>
        <v>236871.98961086411</v>
      </c>
      <c r="Q259" s="262">
        <v>1</v>
      </c>
      <c r="R259" s="92"/>
    </row>
    <row r="260" spans="1:18" x14ac:dyDescent="0.25">
      <c r="A260">
        <v>1994</v>
      </c>
      <c r="B260" t="s">
        <v>285</v>
      </c>
      <c r="C260" s="264">
        <v>309656</v>
      </c>
      <c r="D260" s="157" t="s">
        <v>670</v>
      </c>
      <c r="E260" s="44">
        <v>34515</v>
      </c>
      <c r="F260" s="127" t="str">
        <f t="shared" si="20"/>
        <v>Date check - OK</v>
      </c>
      <c r="G260" s="1"/>
      <c r="H260" s="161"/>
      <c r="I260" s="37"/>
      <c r="J260" s="135">
        <f t="shared" si="21"/>
        <v>0.78910283174369955</v>
      </c>
      <c r="K260" s="112"/>
      <c r="L260" s="37">
        <v>1</v>
      </c>
      <c r="M260" s="37" t="s">
        <v>529</v>
      </c>
      <c r="N260" s="37">
        <v>286397.57658300351</v>
      </c>
      <c r="O260" s="130">
        <f t="shared" si="22"/>
        <v>286397.57658300351</v>
      </c>
      <c r="P260" s="132">
        <f t="shared" si="23"/>
        <v>225997.13868618113</v>
      </c>
      <c r="Q260" s="262">
        <v>1</v>
      </c>
      <c r="R260" s="92"/>
    </row>
    <row r="261" spans="1:18" x14ac:dyDescent="0.25">
      <c r="A261">
        <v>1995</v>
      </c>
      <c r="B261" t="s">
        <v>285</v>
      </c>
      <c r="C261" s="264">
        <v>308110</v>
      </c>
      <c r="D261" s="157" t="s">
        <v>671</v>
      </c>
      <c r="E261" s="44">
        <v>34880</v>
      </c>
      <c r="F261" s="127" t="str">
        <f t="shared" si="20"/>
        <v>Date check - OK</v>
      </c>
      <c r="G261" s="1"/>
      <c r="H261" s="161"/>
      <c r="I261" s="37"/>
      <c r="J261" s="135">
        <f t="shared" si="21"/>
        <v>0.78910283174369955</v>
      </c>
      <c r="K261" s="112"/>
      <c r="L261" s="37">
        <v>1</v>
      </c>
      <c r="M261" s="37" t="s">
        <v>529</v>
      </c>
      <c r="N261" s="37">
        <v>1051240.129665192</v>
      </c>
      <c r="O261" s="130">
        <f t="shared" si="22"/>
        <v>1051240.129665192</v>
      </c>
      <c r="P261" s="132">
        <f t="shared" si="23"/>
        <v>829536.56316141691</v>
      </c>
      <c r="Q261" s="262">
        <v>1</v>
      </c>
      <c r="R261" s="92"/>
    </row>
    <row r="262" spans="1:18" x14ac:dyDescent="0.25">
      <c r="A262">
        <v>1995</v>
      </c>
      <c r="B262" t="s">
        <v>285</v>
      </c>
      <c r="C262" s="264">
        <v>308052</v>
      </c>
      <c r="D262" s="157" t="s">
        <v>672</v>
      </c>
      <c r="E262" s="44">
        <v>34880</v>
      </c>
      <c r="F262" s="127" t="str">
        <f t="shared" si="20"/>
        <v>Date check - OK</v>
      </c>
      <c r="G262" s="1"/>
      <c r="H262" s="161"/>
      <c r="I262" s="37"/>
      <c r="J262" s="135">
        <f t="shared" si="21"/>
        <v>0.78910283174369955</v>
      </c>
      <c r="K262" s="112"/>
      <c r="L262" s="37">
        <v>1</v>
      </c>
      <c r="M262" s="37" t="s">
        <v>529</v>
      </c>
      <c r="N262" s="37">
        <v>1051240.129665192</v>
      </c>
      <c r="O262" s="130">
        <f t="shared" si="22"/>
        <v>1051240.129665192</v>
      </c>
      <c r="P262" s="132">
        <f t="shared" si="23"/>
        <v>829536.56316141691</v>
      </c>
      <c r="Q262" s="262">
        <v>1</v>
      </c>
      <c r="R262" s="92"/>
    </row>
    <row r="263" spans="1:18" x14ac:dyDescent="0.25">
      <c r="A263">
        <v>1995</v>
      </c>
      <c r="B263" t="s">
        <v>285</v>
      </c>
      <c r="C263" s="264">
        <v>309891</v>
      </c>
      <c r="D263" s="157" t="s">
        <v>673</v>
      </c>
      <c r="E263" s="44">
        <v>34880</v>
      </c>
      <c r="F263" s="127" t="str">
        <f t="shared" si="20"/>
        <v>Date check - OK</v>
      </c>
      <c r="G263" s="1"/>
      <c r="H263" s="161"/>
      <c r="I263" s="37"/>
      <c r="J263" s="135">
        <f t="shared" si="21"/>
        <v>0.78910283174369955</v>
      </c>
      <c r="K263" s="112"/>
      <c r="L263" s="37">
        <v>1</v>
      </c>
      <c r="M263" s="37" t="s">
        <v>529</v>
      </c>
      <c r="N263" s="37">
        <v>238163.8950565774</v>
      </c>
      <c r="O263" s="130">
        <f t="shared" si="22"/>
        <v>238163.8950565774</v>
      </c>
      <c r="P263" s="132">
        <f t="shared" si="23"/>
        <v>187935.80400825452</v>
      </c>
      <c r="Q263" s="262">
        <v>1</v>
      </c>
      <c r="R263" s="92"/>
    </row>
    <row r="264" spans="1:18" x14ac:dyDescent="0.25">
      <c r="C264" s="264"/>
      <c r="D264" s="157"/>
      <c r="E264" s="44"/>
      <c r="F264" s="127"/>
      <c r="G264" s="1"/>
      <c r="H264" s="161"/>
      <c r="I264" s="37"/>
      <c r="J264" s="135"/>
      <c r="K264" s="112"/>
      <c r="L264" s="37"/>
      <c r="M264" s="37"/>
      <c r="N264" s="37"/>
      <c r="O264" s="130"/>
      <c r="P264" s="132"/>
      <c r="Q264" s="262"/>
      <c r="R264" s="92"/>
    </row>
    <row r="265" spans="1:18" x14ac:dyDescent="0.25">
      <c r="C265" s="264"/>
      <c r="D265" s="157"/>
      <c r="E265" s="44"/>
      <c r="F265" s="127"/>
      <c r="G265" s="1"/>
      <c r="H265" s="161"/>
      <c r="I265" s="37"/>
      <c r="J265" s="135"/>
      <c r="K265" s="112"/>
      <c r="L265" s="37"/>
      <c r="M265" s="37"/>
      <c r="N265" s="37"/>
      <c r="O265" s="130"/>
      <c r="P265" s="132"/>
      <c r="Q265" s="262"/>
      <c r="R265" s="92"/>
    </row>
    <row r="266" spans="1:18" x14ac:dyDescent="0.25">
      <c r="C266" s="264"/>
      <c r="D266" s="157"/>
      <c r="E266" s="44"/>
      <c r="F266" s="127"/>
      <c r="G266" s="1"/>
      <c r="H266" s="161"/>
      <c r="I266" s="37"/>
      <c r="J266" s="135"/>
      <c r="K266" s="112"/>
      <c r="L266" s="37"/>
      <c r="M266" s="37"/>
      <c r="N266" s="37"/>
      <c r="O266" s="130"/>
      <c r="P266" s="132"/>
      <c r="Q266" s="262"/>
      <c r="R266" s="92"/>
    </row>
    <row r="267" spans="1:18" x14ac:dyDescent="0.25">
      <c r="C267" s="264"/>
      <c r="D267" s="157"/>
      <c r="E267" s="44"/>
      <c r="F267" s="127"/>
      <c r="G267" s="1"/>
      <c r="H267" s="161"/>
      <c r="I267" s="37"/>
      <c r="J267" s="135"/>
      <c r="K267" s="112"/>
      <c r="L267" s="37"/>
      <c r="M267" s="37"/>
      <c r="N267" s="37"/>
      <c r="O267" s="130"/>
      <c r="P267" s="132"/>
      <c r="Q267" s="262"/>
      <c r="R267" s="92"/>
    </row>
    <row r="268" spans="1:18" x14ac:dyDescent="0.25">
      <c r="C268" s="264"/>
      <c r="D268" s="157"/>
      <c r="E268" s="44"/>
      <c r="F268" s="127"/>
      <c r="G268" s="1"/>
      <c r="H268" s="161"/>
      <c r="I268" s="37"/>
      <c r="J268" s="135"/>
      <c r="K268" s="112"/>
      <c r="L268" s="37"/>
      <c r="M268" s="37"/>
      <c r="N268" s="37"/>
      <c r="O268" s="130"/>
      <c r="P268" s="132"/>
      <c r="Q268" s="262"/>
      <c r="R268" s="92"/>
    </row>
    <row r="269" spans="1:18" x14ac:dyDescent="0.25">
      <c r="C269" s="264"/>
      <c r="D269" s="157"/>
      <c r="E269" s="44"/>
      <c r="F269" s="127"/>
      <c r="G269" s="1"/>
      <c r="H269" s="161"/>
      <c r="I269" s="37"/>
      <c r="J269" s="135"/>
      <c r="K269" s="112"/>
      <c r="L269" s="37"/>
      <c r="M269" s="37"/>
      <c r="N269" s="37"/>
      <c r="O269" s="130"/>
      <c r="P269" s="132"/>
      <c r="Q269" s="262"/>
      <c r="R269" s="92"/>
    </row>
    <row r="270" spans="1:18" x14ac:dyDescent="0.25">
      <c r="C270" s="264"/>
      <c r="D270" s="157"/>
      <c r="E270" s="44"/>
      <c r="F270" s="127"/>
      <c r="G270" s="1"/>
      <c r="H270" s="161"/>
      <c r="I270" s="37"/>
      <c r="J270" s="135"/>
      <c r="K270" s="112"/>
      <c r="L270" s="37"/>
      <c r="M270" s="37"/>
      <c r="N270" s="37"/>
      <c r="O270" s="130"/>
      <c r="P270" s="132"/>
      <c r="Q270" s="262"/>
      <c r="R270" s="92"/>
    </row>
    <row r="271" spans="1:18" x14ac:dyDescent="0.25">
      <c r="C271" s="264"/>
      <c r="D271" s="157"/>
      <c r="E271" s="44"/>
      <c r="F271" s="127"/>
      <c r="G271" s="1"/>
      <c r="H271" s="161"/>
      <c r="I271" s="37"/>
      <c r="J271" s="135"/>
      <c r="K271" s="112"/>
      <c r="L271" s="37"/>
      <c r="M271" s="37"/>
      <c r="N271" s="37"/>
      <c r="O271" s="130"/>
      <c r="P271" s="132"/>
      <c r="Q271" s="262"/>
      <c r="R271" s="92"/>
    </row>
    <row r="272" spans="1:18" x14ac:dyDescent="0.25">
      <c r="C272" s="264"/>
      <c r="D272" s="157"/>
      <c r="E272" s="44"/>
      <c r="F272" s="127"/>
      <c r="G272" s="1"/>
      <c r="H272" s="161"/>
      <c r="I272" s="37"/>
      <c r="J272" s="135"/>
      <c r="K272" s="112"/>
      <c r="L272" s="37"/>
      <c r="M272" s="37"/>
      <c r="N272" s="37"/>
      <c r="O272" s="130"/>
      <c r="P272" s="132"/>
      <c r="Q272" s="262"/>
      <c r="R272" s="92"/>
    </row>
    <row r="273" spans="3:18" x14ac:dyDescent="0.25">
      <c r="C273" s="264"/>
      <c r="D273" s="157"/>
      <c r="E273" s="44"/>
      <c r="F273" s="127"/>
      <c r="G273" s="1"/>
      <c r="H273" s="161"/>
      <c r="I273" s="37"/>
      <c r="J273" s="135"/>
      <c r="K273" s="112"/>
      <c r="L273" s="37"/>
      <c r="M273" s="37"/>
      <c r="N273" s="37"/>
      <c r="O273" s="130"/>
      <c r="P273" s="132"/>
      <c r="Q273" s="262"/>
      <c r="R273" s="92"/>
    </row>
    <row r="274" spans="3:18" x14ac:dyDescent="0.25">
      <c r="C274" s="264"/>
      <c r="D274" s="157"/>
      <c r="E274" s="44"/>
      <c r="F274" s="127"/>
      <c r="G274" s="1"/>
      <c r="H274" s="161"/>
      <c r="I274" s="37"/>
      <c r="J274" s="135"/>
      <c r="K274" s="112"/>
      <c r="L274" s="37"/>
      <c r="M274" s="37"/>
      <c r="N274" s="37"/>
      <c r="O274" s="130"/>
      <c r="P274" s="132"/>
      <c r="Q274" s="262"/>
      <c r="R274" s="92"/>
    </row>
    <row r="275" spans="3:18" x14ac:dyDescent="0.25">
      <c r="C275" s="264"/>
      <c r="D275" s="157"/>
      <c r="E275" s="44"/>
      <c r="F275" s="127"/>
      <c r="G275" s="1"/>
      <c r="H275" s="161"/>
      <c r="I275" s="37"/>
      <c r="J275" s="135"/>
      <c r="K275" s="112"/>
      <c r="L275" s="37"/>
      <c r="M275" s="37"/>
      <c r="N275" s="37"/>
      <c r="O275" s="130"/>
      <c r="P275" s="132"/>
      <c r="Q275" s="262"/>
      <c r="R275" s="92"/>
    </row>
    <row r="276" spans="3:18" x14ac:dyDescent="0.25">
      <c r="C276" s="264"/>
      <c r="D276" s="157"/>
      <c r="E276" s="44"/>
      <c r="F276" s="127"/>
      <c r="G276" s="1"/>
      <c r="H276" s="161"/>
      <c r="I276" s="37"/>
      <c r="J276" s="135"/>
      <c r="K276" s="112"/>
      <c r="L276" s="37"/>
      <c r="M276" s="37"/>
      <c r="N276" s="37"/>
      <c r="O276" s="130"/>
      <c r="P276" s="132"/>
      <c r="Q276" s="262"/>
      <c r="R276" s="92"/>
    </row>
    <row r="277" spans="3:18" x14ac:dyDescent="0.25">
      <c r="C277" s="264"/>
      <c r="D277" s="157"/>
      <c r="E277" s="44"/>
      <c r="F277" s="127"/>
      <c r="G277" s="1"/>
      <c r="H277" s="161"/>
      <c r="I277" s="37"/>
      <c r="J277" s="135"/>
      <c r="K277" s="112"/>
      <c r="L277" s="37"/>
      <c r="M277" s="37"/>
      <c r="N277" s="37"/>
      <c r="O277" s="130"/>
      <c r="P277" s="132"/>
      <c r="Q277" s="262"/>
      <c r="R277" s="92"/>
    </row>
    <row r="278" spans="3:18" x14ac:dyDescent="0.25">
      <c r="C278" s="264"/>
      <c r="D278" s="157"/>
      <c r="E278" s="44"/>
      <c r="F278" s="127"/>
      <c r="G278" s="1"/>
      <c r="H278" s="161"/>
      <c r="I278" s="37"/>
      <c r="J278" s="135"/>
      <c r="K278" s="112"/>
      <c r="L278" s="37"/>
      <c r="M278" s="37"/>
      <c r="N278" s="37"/>
      <c r="O278" s="130"/>
      <c r="P278" s="132"/>
      <c r="Q278" s="262"/>
      <c r="R278" s="92"/>
    </row>
    <row r="279" spans="3:18" x14ac:dyDescent="0.25">
      <c r="C279" s="264"/>
      <c r="D279" s="157"/>
      <c r="E279" s="44"/>
      <c r="F279" s="127"/>
      <c r="G279" s="1"/>
      <c r="H279" s="161"/>
      <c r="I279" s="37"/>
      <c r="J279" s="135"/>
      <c r="K279" s="112"/>
      <c r="L279" s="37"/>
      <c r="M279" s="37"/>
      <c r="N279" s="37"/>
      <c r="O279" s="130"/>
      <c r="P279" s="132"/>
      <c r="Q279" s="262"/>
      <c r="R279" s="92"/>
    </row>
    <row r="280" spans="3:18" x14ac:dyDescent="0.25">
      <c r="C280" s="264"/>
      <c r="D280" s="157"/>
      <c r="E280" s="44"/>
      <c r="F280" s="127"/>
      <c r="G280" s="1"/>
      <c r="H280" s="161"/>
      <c r="I280" s="37"/>
      <c r="J280" s="135"/>
      <c r="K280" s="112"/>
      <c r="L280" s="37"/>
      <c r="M280" s="37"/>
      <c r="N280" s="37"/>
      <c r="O280" s="130"/>
      <c r="P280" s="132"/>
      <c r="Q280" s="262"/>
      <c r="R280" s="92"/>
    </row>
    <row r="281" spans="3:18" x14ac:dyDescent="0.25">
      <c r="C281" s="264"/>
      <c r="D281" s="157"/>
      <c r="E281" s="44"/>
      <c r="F281" s="127"/>
      <c r="G281" s="1"/>
      <c r="H281" s="161"/>
      <c r="I281" s="37"/>
      <c r="J281" s="135"/>
      <c r="K281" s="112"/>
      <c r="L281" s="37"/>
      <c r="M281" s="37"/>
      <c r="N281" s="37"/>
      <c r="O281" s="130"/>
      <c r="P281" s="132"/>
      <c r="Q281" s="262"/>
      <c r="R281" s="92"/>
    </row>
    <row r="282" spans="3:18" x14ac:dyDescent="0.25">
      <c r="C282" s="264"/>
      <c r="D282" s="157"/>
      <c r="E282" s="44"/>
      <c r="F282" s="127"/>
      <c r="G282" s="1"/>
      <c r="H282" s="161"/>
      <c r="I282" s="37"/>
      <c r="J282" s="135"/>
      <c r="K282" s="112"/>
      <c r="L282" s="37"/>
      <c r="M282" s="37"/>
      <c r="N282" s="37"/>
      <c r="O282" s="130"/>
      <c r="P282" s="132"/>
      <c r="Q282" s="262"/>
      <c r="R282" s="92"/>
    </row>
    <row r="283" spans="3:18" x14ac:dyDescent="0.25">
      <c r="C283" s="264"/>
      <c r="D283" s="157"/>
      <c r="E283" s="44"/>
      <c r="F283" s="127"/>
      <c r="G283" s="1"/>
      <c r="H283" s="161"/>
      <c r="I283" s="37"/>
      <c r="J283" s="135"/>
      <c r="K283" s="112"/>
      <c r="L283" s="37"/>
      <c r="M283" s="37"/>
      <c r="N283" s="37"/>
      <c r="O283" s="130"/>
      <c r="P283" s="132"/>
      <c r="Q283" s="262"/>
      <c r="R283" s="92"/>
    </row>
    <row r="284" spans="3:18" x14ac:dyDescent="0.25">
      <c r="C284" s="264"/>
      <c r="D284" s="157"/>
      <c r="E284" s="44"/>
      <c r="F284" s="127"/>
      <c r="G284" s="1"/>
      <c r="H284" s="161"/>
      <c r="I284" s="37"/>
      <c r="J284" s="135"/>
      <c r="K284" s="112"/>
      <c r="L284" s="37"/>
      <c r="M284" s="37"/>
      <c r="N284" s="37"/>
      <c r="O284" s="130"/>
      <c r="P284" s="132"/>
      <c r="Q284" s="262"/>
      <c r="R284" s="92"/>
    </row>
    <row r="285" spans="3:18" x14ac:dyDescent="0.25">
      <c r="C285" s="264"/>
      <c r="D285" s="157"/>
      <c r="E285" s="44"/>
      <c r="F285" s="127"/>
      <c r="G285" s="1"/>
      <c r="H285" s="161"/>
      <c r="I285" s="37"/>
      <c r="J285" s="135"/>
      <c r="K285" s="112"/>
      <c r="L285" s="37"/>
      <c r="M285" s="37"/>
      <c r="N285" s="37"/>
      <c r="O285" s="130"/>
      <c r="P285" s="132"/>
      <c r="Q285" s="262"/>
      <c r="R285" s="92"/>
    </row>
    <row r="286" spans="3:18" x14ac:dyDescent="0.25">
      <c r="C286" s="264"/>
      <c r="D286" s="157"/>
      <c r="E286" s="44"/>
      <c r="F286" s="127"/>
      <c r="G286" s="1"/>
      <c r="H286" s="161"/>
      <c r="I286" s="37"/>
      <c r="J286" s="135"/>
      <c r="K286" s="112"/>
      <c r="L286" s="37"/>
      <c r="M286" s="37"/>
      <c r="N286" s="37"/>
      <c r="O286" s="130"/>
      <c r="P286" s="132"/>
      <c r="Q286" s="262"/>
      <c r="R286" s="92"/>
    </row>
    <row r="287" spans="3:18" x14ac:dyDescent="0.25">
      <c r="C287" s="264"/>
      <c r="D287" s="157"/>
      <c r="E287" s="44"/>
      <c r="F287" s="127"/>
      <c r="G287" s="1"/>
      <c r="H287" s="161"/>
      <c r="I287" s="37"/>
      <c r="J287" s="135"/>
      <c r="K287" s="112"/>
      <c r="L287" s="37"/>
      <c r="M287" s="37"/>
      <c r="N287" s="37"/>
      <c r="O287" s="130"/>
      <c r="P287" s="132"/>
      <c r="Q287" s="262"/>
      <c r="R287" s="92"/>
    </row>
    <row r="288" spans="3:18" x14ac:dyDescent="0.25">
      <c r="C288" s="264"/>
      <c r="D288" s="157"/>
      <c r="E288" s="44"/>
      <c r="F288" s="127"/>
      <c r="G288" s="1"/>
      <c r="H288" s="161"/>
      <c r="I288" s="37"/>
      <c r="J288" s="135"/>
      <c r="K288" s="112"/>
      <c r="L288" s="37"/>
      <c r="M288" s="37"/>
      <c r="N288" s="37"/>
      <c r="O288" s="130"/>
      <c r="P288" s="132"/>
      <c r="Q288" s="262"/>
      <c r="R288" s="92"/>
    </row>
    <row r="289" spans="3:18" x14ac:dyDescent="0.25">
      <c r="C289" s="264"/>
      <c r="D289" s="157"/>
      <c r="E289" s="44"/>
      <c r="F289" s="127"/>
      <c r="G289" s="1"/>
      <c r="H289" s="161"/>
      <c r="I289" s="37"/>
      <c r="J289" s="135"/>
      <c r="K289" s="112"/>
      <c r="L289" s="37"/>
      <c r="M289" s="37"/>
      <c r="N289" s="37"/>
      <c r="O289" s="130"/>
      <c r="P289" s="132"/>
      <c r="Q289" s="262"/>
      <c r="R289" s="92"/>
    </row>
    <row r="290" spans="3:18" x14ac:dyDescent="0.25">
      <c r="C290" s="264"/>
      <c r="D290" s="157"/>
      <c r="E290" s="44"/>
      <c r="F290" s="127"/>
      <c r="G290" s="1"/>
      <c r="H290" s="161"/>
      <c r="I290" s="37"/>
      <c r="J290" s="135"/>
      <c r="K290" s="112"/>
      <c r="L290" s="37"/>
      <c r="M290" s="37"/>
      <c r="N290" s="37"/>
      <c r="O290" s="130"/>
      <c r="P290" s="132"/>
      <c r="Q290" s="262"/>
      <c r="R290" s="92"/>
    </row>
    <row r="291" spans="3:18" x14ac:dyDescent="0.25">
      <c r="C291" s="264"/>
      <c r="D291" s="157"/>
      <c r="E291" s="44"/>
      <c r="F291" s="127"/>
      <c r="G291" s="1"/>
      <c r="H291" s="161"/>
      <c r="I291" s="37"/>
      <c r="J291" s="135"/>
      <c r="K291" s="112"/>
      <c r="L291" s="37"/>
      <c r="M291" s="37"/>
      <c r="N291" s="37"/>
      <c r="O291" s="130"/>
      <c r="P291" s="132"/>
      <c r="Q291" s="262"/>
      <c r="R291" s="92"/>
    </row>
    <row r="292" spans="3:18" x14ac:dyDescent="0.25">
      <c r="C292" s="264"/>
      <c r="D292" s="157"/>
      <c r="E292" s="44"/>
      <c r="F292" s="127"/>
      <c r="G292" s="1"/>
      <c r="H292" s="161"/>
      <c r="I292" s="37"/>
      <c r="J292" s="135"/>
      <c r="K292" s="112"/>
      <c r="L292" s="37"/>
      <c r="M292" s="37"/>
      <c r="N292" s="37"/>
      <c r="O292" s="130"/>
      <c r="P292" s="132"/>
      <c r="Q292" s="262"/>
      <c r="R292" s="92"/>
    </row>
    <row r="293" spans="3:18" x14ac:dyDescent="0.25">
      <c r="C293" s="264"/>
      <c r="D293" s="157"/>
      <c r="E293" s="44"/>
      <c r="F293" s="127"/>
      <c r="G293" s="1"/>
      <c r="H293" s="161"/>
      <c r="I293" s="37"/>
      <c r="J293" s="135"/>
      <c r="K293" s="112"/>
      <c r="L293" s="37"/>
      <c r="M293" s="37"/>
      <c r="N293" s="37"/>
      <c r="O293" s="130"/>
      <c r="P293" s="132"/>
      <c r="Q293" s="262"/>
      <c r="R293" s="92"/>
    </row>
    <row r="294" spans="3:18" x14ac:dyDescent="0.25">
      <c r="C294" s="264"/>
      <c r="D294" s="157"/>
      <c r="E294" s="44"/>
      <c r="F294" s="127"/>
      <c r="G294" s="1"/>
      <c r="H294" s="161"/>
      <c r="I294" s="37"/>
      <c r="J294" s="135"/>
      <c r="K294" s="112"/>
      <c r="L294" s="37"/>
      <c r="M294" s="37"/>
      <c r="N294" s="37"/>
      <c r="O294" s="130"/>
      <c r="P294" s="132"/>
      <c r="Q294" s="262"/>
      <c r="R294" s="92"/>
    </row>
    <row r="295" spans="3:18" x14ac:dyDescent="0.25">
      <c r="C295" s="264"/>
      <c r="D295" s="157"/>
      <c r="E295" s="44"/>
      <c r="F295" s="127"/>
      <c r="G295" s="1"/>
      <c r="H295" s="161"/>
      <c r="I295" s="37"/>
      <c r="J295" s="135"/>
      <c r="K295" s="112"/>
      <c r="L295" s="37"/>
      <c r="M295" s="37"/>
      <c r="N295" s="37"/>
      <c r="O295" s="130"/>
      <c r="P295" s="132"/>
      <c r="Q295" s="262"/>
      <c r="R295" s="92"/>
    </row>
    <row r="296" spans="3:18" x14ac:dyDescent="0.25">
      <c r="C296" s="264"/>
      <c r="D296" s="157"/>
      <c r="E296" s="44"/>
      <c r="F296" s="127"/>
      <c r="G296" s="1"/>
      <c r="H296" s="161"/>
      <c r="I296" s="37"/>
      <c r="J296" s="135"/>
      <c r="K296" s="112"/>
      <c r="L296" s="37"/>
      <c r="M296" s="37"/>
      <c r="N296" s="37"/>
      <c r="O296" s="130"/>
      <c r="P296" s="132"/>
      <c r="Q296" s="262"/>
      <c r="R296" s="92"/>
    </row>
    <row r="297" spans="3:18" x14ac:dyDescent="0.25">
      <c r="C297" s="264"/>
      <c r="D297" s="157"/>
      <c r="E297" s="44"/>
      <c r="F297" s="127"/>
      <c r="G297" s="1"/>
      <c r="H297" s="161"/>
      <c r="I297" s="37"/>
      <c r="J297" s="135"/>
      <c r="K297" s="112"/>
      <c r="L297" s="37"/>
      <c r="M297" s="37"/>
      <c r="N297" s="37"/>
      <c r="O297" s="130"/>
      <c r="P297" s="132"/>
      <c r="Q297" s="262"/>
      <c r="R297" s="92"/>
    </row>
    <row r="298" spans="3:18" x14ac:dyDescent="0.25">
      <c r="C298" s="264"/>
      <c r="D298" s="157"/>
      <c r="E298" s="44"/>
      <c r="F298" s="127"/>
      <c r="G298" s="1"/>
      <c r="H298" s="161"/>
      <c r="I298" s="37"/>
      <c r="J298" s="135"/>
      <c r="K298" s="112"/>
      <c r="L298" s="37"/>
      <c r="M298" s="37"/>
      <c r="N298" s="37"/>
      <c r="O298" s="130"/>
      <c r="P298" s="132"/>
      <c r="Q298" s="262"/>
      <c r="R298" s="92"/>
    </row>
    <row r="299" spans="3:18" x14ac:dyDescent="0.25">
      <c r="C299" s="264"/>
      <c r="D299" s="157"/>
      <c r="E299" s="44"/>
      <c r="F299" s="127"/>
      <c r="G299" s="1"/>
      <c r="H299" s="161"/>
      <c r="I299" s="37"/>
      <c r="J299" s="135"/>
      <c r="K299" s="112"/>
      <c r="L299" s="37"/>
      <c r="M299" s="37"/>
      <c r="N299" s="37"/>
      <c r="O299" s="130"/>
      <c r="P299" s="132"/>
      <c r="Q299" s="262"/>
      <c r="R299" s="92"/>
    </row>
    <row r="300" spans="3:18" x14ac:dyDescent="0.25">
      <c r="C300" s="264"/>
      <c r="D300" s="157"/>
      <c r="E300" s="44"/>
      <c r="F300" s="127"/>
      <c r="G300" s="1"/>
      <c r="H300" s="161"/>
      <c r="I300" s="37"/>
      <c r="J300" s="135"/>
      <c r="K300" s="112"/>
      <c r="L300" s="37"/>
      <c r="M300" s="37"/>
      <c r="N300" s="37"/>
      <c r="O300" s="130"/>
      <c r="P300" s="132"/>
      <c r="Q300" s="262"/>
      <c r="R300" s="92"/>
    </row>
    <row r="301" spans="3:18" x14ac:dyDescent="0.25">
      <c r="C301" s="264"/>
      <c r="D301" s="157"/>
      <c r="E301" s="44"/>
      <c r="F301" s="127"/>
      <c r="G301" s="1"/>
      <c r="H301" s="161"/>
      <c r="I301" s="37"/>
      <c r="J301" s="135"/>
      <c r="K301" s="112"/>
      <c r="L301" s="37"/>
      <c r="M301" s="37"/>
      <c r="N301" s="37"/>
      <c r="O301" s="130"/>
      <c r="P301" s="132"/>
      <c r="Q301" s="262"/>
      <c r="R301" s="92"/>
    </row>
    <row r="302" spans="3:18" x14ac:dyDescent="0.25">
      <c r="C302" s="264"/>
      <c r="D302" s="157"/>
      <c r="E302" s="44"/>
      <c r="F302" s="127"/>
      <c r="G302" s="1"/>
      <c r="H302" s="161"/>
      <c r="I302" s="37"/>
      <c r="J302" s="135"/>
      <c r="K302" s="112"/>
      <c r="L302" s="37"/>
      <c r="M302" s="37"/>
      <c r="N302" s="37"/>
      <c r="O302" s="130"/>
      <c r="P302" s="132"/>
      <c r="Q302" s="262"/>
      <c r="R302" s="92"/>
    </row>
    <row r="303" spans="3:18" x14ac:dyDescent="0.25">
      <c r="C303" s="264"/>
      <c r="D303" s="157"/>
      <c r="E303" s="44"/>
      <c r="F303" s="127"/>
      <c r="G303" s="1"/>
      <c r="H303" s="161"/>
      <c r="I303" s="37"/>
      <c r="J303" s="135"/>
      <c r="K303" s="112"/>
      <c r="L303" s="37"/>
      <c r="M303" s="37"/>
      <c r="N303" s="37"/>
      <c r="O303" s="130"/>
      <c r="P303" s="132"/>
      <c r="Q303" s="262"/>
      <c r="R303" s="92"/>
    </row>
    <row r="304" spans="3:18" x14ac:dyDescent="0.25">
      <c r="C304" s="264"/>
      <c r="D304" s="157"/>
      <c r="E304" s="44"/>
      <c r="F304" s="127"/>
      <c r="G304" s="1"/>
      <c r="H304" s="161"/>
      <c r="I304" s="37"/>
      <c r="J304" s="135"/>
      <c r="K304" s="112"/>
      <c r="L304" s="37"/>
      <c r="M304" s="37"/>
      <c r="N304" s="37"/>
      <c r="O304" s="130"/>
      <c r="P304" s="132"/>
      <c r="Q304" s="262"/>
      <c r="R304" s="92"/>
    </row>
    <row r="305" spans="3:18" x14ac:dyDescent="0.25">
      <c r="C305" s="264"/>
      <c r="D305" s="157"/>
      <c r="E305" s="44"/>
      <c r="F305" s="127"/>
      <c r="G305" s="1"/>
      <c r="H305" s="161"/>
      <c r="I305" s="37"/>
      <c r="J305" s="135"/>
      <c r="K305" s="112"/>
      <c r="L305" s="37"/>
      <c r="M305" s="37"/>
      <c r="N305" s="37"/>
      <c r="O305" s="130"/>
      <c r="P305" s="132"/>
      <c r="Q305" s="262"/>
      <c r="R305" s="92"/>
    </row>
    <row r="306" spans="3:18" x14ac:dyDescent="0.25">
      <c r="C306" s="264"/>
      <c r="D306" s="157"/>
      <c r="E306" s="44"/>
      <c r="F306" s="127"/>
      <c r="G306" s="1"/>
      <c r="H306" s="161"/>
      <c r="I306" s="37"/>
      <c r="J306" s="135"/>
      <c r="K306" s="112"/>
      <c r="L306" s="37"/>
      <c r="M306" s="37"/>
      <c r="N306" s="37"/>
      <c r="O306" s="130"/>
      <c r="P306" s="132"/>
      <c r="Q306" s="262"/>
      <c r="R306" s="92"/>
    </row>
    <row r="307" spans="3:18" x14ac:dyDescent="0.25">
      <c r="C307" s="264"/>
      <c r="D307" s="157"/>
      <c r="E307" s="44"/>
      <c r="F307" s="127"/>
      <c r="G307" s="1"/>
      <c r="H307" s="161"/>
      <c r="I307" s="37"/>
      <c r="J307" s="135"/>
      <c r="K307" s="112"/>
      <c r="L307" s="37"/>
      <c r="M307" s="37"/>
      <c r="N307" s="37"/>
      <c r="O307" s="130"/>
      <c r="P307" s="132"/>
      <c r="Q307" s="262"/>
      <c r="R307" s="92"/>
    </row>
    <row r="308" spans="3:18" x14ac:dyDescent="0.25">
      <c r="C308" s="264"/>
      <c r="D308" s="157"/>
      <c r="E308" s="44"/>
      <c r="F308" s="127"/>
      <c r="G308" s="1"/>
      <c r="H308" s="161"/>
      <c r="I308" s="37"/>
      <c r="J308" s="135"/>
      <c r="K308" s="112"/>
      <c r="L308" s="37"/>
      <c r="M308" s="37"/>
      <c r="N308" s="37"/>
      <c r="O308" s="130"/>
      <c r="P308" s="132"/>
      <c r="Q308" s="262"/>
      <c r="R308" s="92"/>
    </row>
    <row r="309" spans="3:18" x14ac:dyDescent="0.25">
      <c r="C309" s="264"/>
      <c r="D309" s="157"/>
      <c r="E309" s="44"/>
      <c r="F309" s="127"/>
      <c r="G309" s="1"/>
      <c r="H309" s="161"/>
      <c r="I309" s="37"/>
      <c r="J309" s="135"/>
      <c r="K309" s="112"/>
      <c r="L309" s="37"/>
      <c r="M309" s="37"/>
      <c r="N309" s="37"/>
      <c r="O309" s="130"/>
      <c r="P309" s="132"/>
      <c r="Q309" s="262"/>
      <c r="R309" s="92"/>
    </row>
    <row r="310" spans="3:18" x14ac:dyDescent="0.25">
      <c r="C310" s="264"/>
      <c r="D310" s="157"/>
      <c r="E310" s="44"/>
      <c r="F310" s="127"/>
      <c r="G310" s="1"/>
      <c r="H310" s="161"/>
      <c r="I310" s="37"/>
      <c r="J310" s="135"/>
      <c r="K310" s="112"/>
      <c r="L310" s="37"/>
      <c r="M310" s="37"/>
      <c r="N310" s="37"/>
      <c r="O310" s="130"/>
      <c r="P310" s="132"/>
      <c r="Q310" s="262"/>
      <c r="R310" s="92"/>
    </row>
    <row r="311" spans="3:18" x14ac:dyDescent="0.25">
      <c r="C311" s="264"/>
      <c r="D311" s="157"/>
      <c r="E311" s="44"/>
      <c r="F311" s="127"/>
      <c r="G311" s="1"/>
      <c r="H311" s="161"/>
      <c r="I311" s="37"/>
      <c r="J311" s="135"/>
      <c r="K311" s="112"/>
      <c r="L311" s="37"/>
      <c r="M311" s="37"/>
      <c r="N311" s="37"/>
      <c r="O311" s="130"/>
      <c r="P311" s="132"/>
      <c r="Q311" s="262"/>
      <c r="R311" s="92"/>
    </row>
    <row r="312" spans="3:18" x14ac:dyDescent="0.25">
      <c r="C312" s="264"/>
      <c r="D312" s="157"/>
      <c r="E312" s="44"/>
      <c r="F312" s="127"/>
      <c r="G312" s="1"/>
      <c r="H312" s="161"/>
      <c r="I312" s="37"/>
      <c r="J312" s="135"/>
      <c r="K312" s="112"/>
      <c r="L312" s="37"/>
      <c r="M312" s="37"/>
      <c r="N312" s="37"/>
      <c r="O312" s="130"/>
      <c r="P312" s="132"/>
      <c r="Q312" s="262"/>
      <c r="R312" s="92"/>
    </row>
    <row r="313" spans="3:18" x14ac:dyDescent="0.25">
      <c r="C313" s="264"/>
      <c r="D313" s="157"/>
      <c r="E313" s="44"/>
      <c r="F313" s="127"/>
      <c r="G313" s="1"/>
      <c r="H313" s="161"/>
      <c r="I313" s="37"/>
      <c r="J313" s="135"/>
      <c r="K313" s="112"/>
      <c r="L313" s="37"/>
      <c r="M313" s="37"/>
      <c r="N313" s="37"/>
      <c r="O313" s="130"/>
      <c r="P313" s="132"/>
      <c r="Q313" s="262"/>
      <c r="R313" s="92"/>
    </row>
    <row r="314" spans="3:18" x14ac:dyDescent="0.25">
      <c r="C314" s="264"/>
      <c r="D314" s="157"/>
      <c r="E314" s="44"/>
      <c r="F314" s="127"/>
      <c r="G314" s="1"/>
      <c r="H314" s="161"/>
      <c r="I314" s="37"/>
      <c r="J314" s="135"/>
      <c r="K314" s="112"/>
      <c r="L314" s="37"/>
      <c r="M314" s="37"/>
      <c r="N314" s="37"/>
      <c r="O314" s="130"/>
      <c r="P314" s="132"/>
      <c r="Q314" s="262"/>
      <c r="R314" s="92"/>
    </row>
    <row r="315" spans="3:18" x14ac:dyDescent="0.25">
      <c r="C315" s="264"/>
      <c r="D315" s="157"/>
      <c r="E315" s="44"/>
      <c r="F315" s="127"/>
      <c r="G315" s="1"/>
      <c r="H315" s="161"/>
      <c r="I315" s="37"/>
      <c r="J315" s="135"/>
      <c r="K315" s="112"/>
      <c r="L315" s="37"/>
      <c r="M315" s="37"/>
      <c r="N315" s="37"/>
      <c r="O315" s="130"/>
      <c r="P315" s="132"/>
      <c r="Q315" s="262"/>
      <c r="R315" s="92"/>
    </row>
    <row r="316" spans="3:18" x14ac:dyDescent="0.25">
      <c r="C316" s="264"/>
      <c r="D316" s="157"/>
      <c r="E316" s="44"/>
      <c r="F316" s="127"/>
      <c r="G316" s="1"/>
      <c r="H316" s="161"/>
      <c r="I316" s="37"/>
      <c r="J316" s="135"/>
      <c r="K316" s="112"/>
      <c r="L316" s="37"/>
      <c r="M316" s="37"/>
      <c r="N316" s="37"/>
      <c r="O316" s="130"/>
      <c r="P316" s="132"/>
      <c r="Q316" s="262"/>
      <c r="R316" s="92"/>
    </row>
    <row r="317" spans="3:18" x14ac:dyDescent="0.25">
      <c r="C317" s="264"/>
      <c r="D317" s="157"/>
      <c r="E317" s="44"/>
      <c r="F317" s="127"/>
      <c r="G317" s="1"/>
      <c r="H317" s="161"/>
      <c r="I317" s="37"/>
      <c r="J317" s="135"/>
      <c r="K317" s="112"/>
      <c r="L317" s="37"/>
      <c r="M317" s="37"/>
      <c r="N317" s="37"/>
      <c r="O317" s="130"/>
      <c r="P317" s="132"/>
      <c r="Q317" s="262"/>
      <c r="R317" s="92"/>
    </row>
    <row r="318" spans="3:18" x14ac:dyDescent="0.25">
      <c r="C318" s="264"/>
      <c r="D318" s="157"/>
      <c r="E318" s="44"/>
      <c r="F318" s="127"/>
      <c r="G318" s="1"/>
      <c r="H318" s="161"/>
      <c r="I318" s="37"/>
      <c r="J318" s="135"/>
      <c r="K318" s="112"/>
      <c r="L318" s="37"/>
      <c r="M318" s="37"/>
      <c r="N318" s="37"/>
      <c r="O318" s="130"/>
      <c r="P318" s="132"/>
      <c r="Q318" s="262"/>
      <c r="R318" s="92"/>
    </row>
    <row r="319" spans="3:18" x14ac:dyDescent="0.25">
      <c r="C319" s="264"/>
      <c r="D319" s="157"/>
      <c r="E319" s="44"/>
      <c r="F319" s="127"/>
      <c r="G319" s="1"/>
      <c r="H319" s="161"/>
      <c r="I319" s="37"/>
      <c r="J319" s="135"/>
      <c r="K319" s="112"/>
      <c r="L319" s="37"/>
      <c r="M319" s="37"/>
      <c r="N319" s="37"/>
      <c r="O319" s="130"/>
      <c r="P319" s="132"/>
      <c r="Q319" s="262"/>
      <c r="R319" s="92"/>
    </row>
    <row r="320" spans="3:18" x14ac:dyDescent="0.25">
      <c r="C320" s="264"/>
      <c r="D320" s="157"/>
      <c r="E320" s="44"/>
      <c r="F320" s="127"/>
      <c r="G320" s="1"/>
      <c r="H320" s="161"/>
      <c r="I320" s="37"/>
      <c r="J320" s="135"/>
      <c r="K320" s="112"/>
      <c r="L320" s="37"/>
      <c r="M320" s="37"/>
      <c r="N320" s="37"/>
      <c r="O320" s="130"/>
      <c r="P320" s="132"/>
      <c r="Q320" s="262"/>
      <c r="R320" s="92"/>
    </row>
    <row r="321" spans="3:18" x14ac:dyDescent="0.25">
      <c r="C321" s="264"/>
      <c r="D321" s="157"/>
      <c r="E321" s="44"/>
      <c r="F321" s="127"/>
      <c r="G321" s="1"/>
      <c r="H321" s="161"/>
      <c r="I321" s="37"/>
      <c r="J321" s="135"/>
      <c r="K321" s="112"/>
      <c r="L321" s="37"/>
      <c r="M321" s="37"/>
      <c r="N321" s="37"/>
      <c r="O321" s="130"/>
      <c r="P321" s="132"/>
      <c r="Q321" s="262"/>
      <c r="R321" s="92"/>
    </row>
    <row r="322" spans="3:18" x14ac:dyDescent="0.25">
      <c r="C322" s="264"/>
      <c r="D322" s="157"/>
      <c r="E322" s="44"/>
      <c r="F322" s="127"/>
      <c r="G322" s="1"/>
      <c r="H322" s="161"/>
      <c r="I322" s="37"/>
      <c r="J322" s="135"/>
      <c r="K322" s="112"/>
      <c r="L322" s="37"/>
      <c r="M322" s="37"/>
      <c r="N322" s="37"/>
      <c r="O322" s="130"/>
      <c r="P322" s="132"/>
      <c r="Q322" s="262"/>
      <c r="R322" s="92"/>
    </row>
    <row r="323" spans="3:18" x14ac:dyDescent="0.25">
      <c r="C323" s="264"/>
      <c r="D323" s="157"/>
      <c r="E323" s="44"/>
      <c r="F323" s="127"/>
      <c r="G323" s="1"/>
      <c r="H323" s="161"/>
      <c r="I323" s="37"/>
      <c r="J323" s="135"/>
      <c r="K323" s="112"/>
      <c r="L323" s="37"/>
      <c r="M323" s="37"/>
      <c r="N323" s="37"/>
      <c r="O323" s="130"/>
      <c r="P323" s="132"/>
      <c r="Q323" s="262"/>
      <c r="R323" s="92"/>
    </row>
    <row r="324" spans="3:18" x14ac:dyDescent="0.25">
      <c r="C324" s="264"/>
      <c r="D324" s="157"/>
      <c r="E324" s="44"/>
      <c r="F324" s="127"/>
      <c r="G324" s="1"/>
      <c r="H324" s="161"/>
      <c r="I324" s="37"/>
      <c r="J324" s="135"/>
      <c r="K324" s="112"/>
      <c r="L324" s="37"/>
      <c r="M324" s="37"/>
      <c r="N324" s="37"/>
      <c r="O324" s="130"/>
      <c r="P324" s="132"/>
      <c r="Q324" s="262"/>
      <c r="R324" s="92"/>
    </row>
    <row r="325" spans="3:18" x14ac:dyDescent="0.25">
      <c r="C325" s="264"/>
      <c r="D325" s="157"/>
      <c r="E325" s="44"/>
      <c r="F325" s="127"/>
      <c r="G325" s="1"/>
      <c r="H325" s="161"/>
      <c r="I325" s="37"/>
      <c r="J325" s="135"/>
      <c r="K325" s="112"/>
      <c r="L325" s="37"/>
      <c r="M325" s="37"/>
      <c r="N325" s="37"/>
      <c r="O325" s="130"/>
      <c r="P325" s="132"/>
      <c r="Q325" s="262"/>
      <c r="R325" s="92"/>
    </row>
    <row r="326" spans="3:18" x14ac:dyDescent="0.25">
      <c r="C326" s="264"/>
      <c r="D326" s="157"/>
      <c r="E326" s="44"/>
      <c r="F326" s="127"/>
      <c r="G326" s="1"/>
      <c r="H326" s="161"/>
      <c r="I326" s="37"/>
      <c r="J326" s="135"/>
      <c r="K326" s="112"/>
      <c r="L326" s="37"/>
      <c r="M326" s="37"/>
      <c r="N326" s="37"/>
      <c r="O326" s="130"/>
      <c r="P326" s="132"/>
      <c r="Q326" s="262"/>
      <c r="R326" s="92"/>
    </row>
    <row r="327" spans="3:18" x14ac:dyDescent="0.25">
      <c r="C327" s="264"/>
      <c r="D327" s="157"/>
      <c r="E327" s="44"/>
      <c r="F327" s="127"/>
      <c r="G327" s="1"/>
      <c r="H327" s="161"/>
      <c r="I327" s="37"/>
      <c r="J327" s="135"/>
      <c r="K327" s="112"/>
      <c r="L327" s="37"/>
      <c r="M327" s="37"/>
      <c r="N327" s="37"/>
      <c r="O327" s="130"/>
      <c r="P327" s="132"/>
      <c r="Q327" s="262"/>
      <c r="R327" s="92"/>
    </row>
    <row r="328" spans="3:18" x14ac:dyDescent="0.25">
      <c r="C328" s="264"/>
      <c r="D328" s="157"/>
      <c r="E328" s="44"/>
      <c r="F328" s="127"/>
      <c r="G328" s="1"/>
      <c r="H328" s="161"/>
      <c r="I328" s="37"/>
      <c r="J328" s="135"/>
      <c r="K328" s="112"/>
      <c r="L328" s="37"/>
      <c r="M328" s="37"/>
      <c r="N328" s="37"/>
      <c r="O328" s="130"/>
      <c r="P328" s="132"/>
      <c r="Q328" s="262"/>
      <c r="R328" s="92"/>
    </row>
    <row r="329" spans="3:18" x14ac:dyDescent="0.25">
      <c r="C329" s="264"/>
      <c r="D329" s="157"/>
      <c r="E329" s="44"/>
      <c r="F329" s="127"/>
      <c r="G329" s="1"/>
      <c r="H329" s="161"/>
      <c r="I329" s="37"/>
      <c r="J329" s="135"/>
      <c r="K329" s="112"/>
      <c r="L329" s="37"/>
      <c r="M329" s="37"/>
      <c r="N329" s="37"/>
      <c r="O329" s="130"/>
      <c r="P329" s="132"/>
      <c r="Q329" s="262"/>
      <c r="R329" s="92"/>
    </row>
    <row r="330" spans="3:18" x14ac:dyDescent="0.25">
      <c r="C330" s="264"/>
      <c r="D330" s="157"/>
      <c r="E330" s="44"/>
      <c r="F330" s="127"/>
      <c r="G330" s="1"/>
      <c r="H330" s="161"/>
      <c r="I330" s="37"/>
      <c r="J330" s="135"/>
      <c r="K330" s="112"/>
      <c r="L330" s="37"/>
      <c r="M330" s="37"/>
      <c r="N330" s="37"/>
      <c r="O330" s="130"/>
      <c r="P330" s="132"/>
      <c r="Q330" s="262"/>
      <c r="R330" s="92"/>
    </row>
    <row r="331" spans="3:18" x14ac:dyDescent="0.25">
      <c r="C331" s="264"/>
      <c r="D331" s="157"/>
      <c r="E331" s="44"/>
      <c r="F331" s="127"/>
      <c r="G331" s="1"/>
      <c r="H331" s="161"/>
      <c r="I331" s="37"/>
      <c r="J331" s="135"/>
      <c r="K331" s="112"/>
      <c r="L331" s="37"/>
      <c r="M331" s="37"/>
      <c r="N331" s="37"/>
      <c r="O331" s="130"/>
      <c r="P331" s="132"/>
      <c r="Q331" s="262"/>
      <c r="R331" s="92"/>
    </row>
    <row r="332" spans="3:18" x14ac:dyDescent="0.25">
      <c r="C332" s="264"/>
      <c r="D332" s="157"/>
      <c r="E332" s="44"/>
      <c r="F332" s="127"/>
      <c r="G332" s="1"/>
      <c r="H332" s="161"/>
      <c r="I332" s="37"/>
      <c r="J332" s="135"/>
      <c r="K332" s="112"/>
      <c r="L332" s="37"/>
      <c r="M332" s="37"/>
      <c r="N332" s="37"/>
      <c r="O332" s="130"/>
      <c r="P332" s="132"/>
      <c r="Q332" s="262"/>
      <c r="R332" s="92"/>
    </row>
    <row r="333" spans="3:18" x14ac:dyDescent="0.25">
      <c r="C333" s="264"/>
      <c r="D333" s="157"/>
      <c r="E333" s="44"/>
      <c r="F333" s="127"/>
      <c r="G333" s="1"/>
      <c r="H333" s="161"/>
      <c r="I333" s="37"/>
      <c r="J333" s="135"/>
      <c r="K333" s="112"/>
      <c r="L333" s="37"/>
      <c r="M333" s="37"/>
      <c r="N333" s="37"/>
      <c r="O333" s="130"/>
      <c r="P333" s="132"/>
      <c r="Q333" s="262"/>
      <c r="R333" s="92"/>
    </row>
    <row r="334" spans="3:18" x14ac:dyDescent="0.25">
      <c r="C334" s="264"/>
      <c r="D334" s="157"/>
      <c r="E334" s="44"/>
      <c r="F334" s="127"/>
      <c r="G334" s="1"/>
      <c r="H334" s="161"/>
      <c r="I334" s="37"/>
      <c r="J334" s="135"/>
      <c r="K334" s="112"/>
      <c r="L334" s="37"/>
      <c r="M334" s="37"/>
      <c r="N334" s="37"/>
      <c r="O334" s="130"/>
      <c r="P334" s="132"/>
      <c r="Q334" s="262"/>
      <c r="R334" s="92"/>
    </row>
    <row r="335" spans="3:18" x14ac:dyDescent="0.25">
      <c r="C335" s="264"/>
      <c r="D335" s="157"/>
      <c r="E335" s="44"/>
      <c r="F335" s="127"/>
      <c r="G335" s="1"/>
      <c r="H335" s="161"/>
      <c r="I335" s="37"/>
      <c r="J335" s="135"/>
      <c r="K335" s="112"/>
      <c r="L335" s="37"/>
      <c r="M335" s="37"/>
      <c r="N335" s="37"/>
      <c r="O335" s="130"/>
      <c r="P335" s="132"/>
      <c r="Q335" s="262"/>
      <c r="R335" s="92"/>
    </row>
    <row r="336" spans="3:18" x14ac:dyDescent="0.25">
      <c r="C336" s="264"/>
      <c r="D336" s="157"/>
      <c r="E336" s="44"/>
      <c r="F336" s="127"/>
      <c r="G336" s="1"/>
      <c r="H336" s="161"/>
      <c r="I336" s="37"/>
      <c r="J336" s="135"/>
      <c r="K336" s="112"/>
      <c r="L336" s="37"/>
      <c r="M336" s="37"/>
      <c r="N336" s="37"/>
      <c r="O336" s="130"/>
      <c r="P336" s="132"/>
      <c r="Q336" s="262"/>
      <c r="R336" s="92"/>
    </row>
    <row r="337" spans="3:18" x14ac:dyDescent="0.25">
      <c r="C337" s="264"/>
      <c r="D337" s="157"/>
      <c r="E337" s="44"/>
      <c r="F337" s="127"/>
      <c r="G337" s="1"/>
      <c r="H337" s="161"/>
      <c r="I337" s="37"/>
      <c r="J337" s="135"/>
      <c r="K337" s="112"/>
      <c r="L337" s="37"/>
      <c r="M337" s="37"/>
      <c r="N337" s="37"/>
      <c r="O337" s="130"/>
      <c r="P337" s="132"/>
      <c r="Q337" s="262"/>
      <c r="R337" s="92"/>
    </row>
    <row r="338" spans="3:18" x14ac:dyDescent="0.25">
      <c r="C338" s="264"/>
      <c r="D338" s="157"/>
      <c r="E338" s="44"/>
      <c r="F338" s="127"/>
      <c r="G338" s="1"/>
      <c r="H338" s="161"/>
      <c r="I338" s="37"/>
      <c r="J338" s="135"/>
      <c r="K338" s="112"/>
      <c r="L338" s="37"/>
      <c r="M338" s="37"/>
      <c r="N338" s="37"/>
      <c r="O338" s="130"/>
      <c r="P338" s="132"/>
      <c r="Q338" s="262"/>
      <c r="R338" s="92"/>
    </row>
    <row r="339" spans="3:18" x14ac:dyDescent="0.25">
      <c r="C339" s="264"/>
      <c r="D339" s="157"/>
      <c r="E339" s="44"/>
      <c r="F339" s="127"/>
      <c r="G339" s="1"/>
      <c r="H339" s="161"/>
      <c r="I339" s="37"/>
      <c r="J339" s="135"/>
      <c r="K339" s="112"/>
      <c r="L339" s="37"/>
      <c r="M339" s="37"/>
      <c r="N339" s="37"/>
      <c r="O339" s="130"/>
      <c r="P339" s="132"/>
      <c r="Q339" s="262"/>
      <c r="R339" s="92"/>
    </row>
    <row r="340" spans="3:18" x14ac:dyDescent="0.25">
      <c r="C340" s="264"/>
      <c r="D340" s="157"/>
      <c r="E340" s="44"/>
      <c r="F340" s="127"/>
      <c r="G340" s="1"/>
      <c r="H340" s="161"/>
      <c r="I340" s="37"/>
      <c r="J340" s="135"/>
      <c r="K340" s="112"/>
      <c r="L340" s="37"/>
      <c r="M340" s="37"/>
      <c r="N340" s="37"/>
      <c r="O340" s="130"/>
      <c r="P340" s="132"/>
      <c r="Q340" s="262"/>
      <c r="R340" s="92"/>
    </row>
    <row r="341" spans="3:18" x14ac:dyDescent="0.25">
      <c r="C341" s="264"/>
      <c r="D341" s="157"/>
      <c r="E341" s="44"/>
      <c r="F341" s="127"/>
      <c r="G341" s="1"/>
      <c r="H341" s="161"/>
      <c r="I341" s="37"/>
      <c r="J341" s="135"/>
      <c r="K341" s="112"/>
      <c r="L341" s="37"/>
      <c r="M341" s="37"/>
      <c r="N341" s="37"/>
      <c r="O341" s="130"/>
      <c r="P341" s="132"/>
      <c r="Q341" s="262"/>
      <c r="R341" s="92"/>
    </row>
    <row r="342" spans="3:18" x14ac:dyDescent="0.25">
      <c r="C342" s="264"/>
      <c r="D342" s="157"/>
      <c r="E342" s="44"/>
      <c r="F342" s="127"/>
      <c r="G342" s="1"/>
      <c r="H342" s="161"/>
      <c r="I342" s="37"/>
      <c r="J342" s="135"/>
      <c r="K342" s="112"/>
      <c r="L342" s="37"/>
      <c r="M342" s="37"/>
      <c r="N342" s="37"/>
      <c r="O342" s="130"/>
      <c r="P342" s="132"/>
      <c r="Q342" s="262"/>
      <c r="R342" s="92"/>
    </row>
    <row r="343" spans="3:18" x14ac:dyDescent="0.25">
      <c r="C343" s="264"/>
      <c r="D343" s="157"/>
      <c r="E343" s="44"/>
      <c r="F343" s="127"/>
      <c r="G343" s="1"/>
      <c r="H343" s="161"/>
      <c r="I343" s="37"/>
      <c r="J343" s="135"/>
      <c r="K343" s="112"/>
      <c r="L343" s="37"/>
      <c r="M343" s="37"/>
      <c r="N343" s="37"/>
      <c r="O343" s="130"/>
      <c r="P343" s="132"/>
      <c r="Q343" s="262"/>
      <c r="R343" s="92"/>
    </row>
    <row r="344" spans="3:18" x14ac:dyDescent="0.25">
      <c r="C344" s="264"/>
      <c r="D344" s="157"/>
      <c r="E344" s="44"/>
      <c r="F344" s="127"/>
      <c r="G344" s="1"/>
      <c r="H344" s="161"/>
      <c r="I344" s="37"/>
      <c r="J344" s="135"/>
      <c r="K344" s="112"/>
      <c r="L344" s="37"/>
      <c r="M344" s="37"/>
      <c r="N344" s="37"/>
      <c r="O344" s="130"/>
      <c r="P344" s="132"/>
      <c r="Q344" s="262"/>
      <c r="R344" s="92"/>
    </row>
    <row r="345" spans="3:18" x14ac:dyDescent="0.25">
      <c r="C345" s="264"/>
      <c r="D345" s="157"/>
      <c r="E345" s="44"/>
      <c r="F345" s="127"/>
      <c r="G345" s="1"/>
      <c r="H345" s="161"/>
      <c r="I345" s="37"/>
      <c r="J345" s="135"/>
      <c r="K345" s="112"/>
      <c r="L345" s="37"/>
      <c r="M345" s="37"/>
      <c r="N345" s="37"/>
      <c r="O345" s="130"/>
      <c r="P345" s="132"/>
      <c r="Q345" s="262"/>
      <c r="R345" s="92"/>
    </row>
    <row r="346" spans="3:18" x14ac:dyDescent="0.25">
      <c r="C346" s="264"/>
      <c r="D346" s="157"/>
      <c r="E346" s="44"/>
      <c r="F346" s="127"/>
      <c r="G346" s="1"/>
      <c r="H346" s="161"/>
      <c r="I346" s="37"/>
      <c r="J346" s="135"/>
      <c r="K346" s="112"/>
      <c r="L346" s="37"/>
      <c r="M346" s="37"/>
      <c r="N346" s="37"/>
      <c r="O346" s="130"/>
      <c r="P346" s="132"/>
      <c r="Q346" s="262"/>
      <c r="R346" s="92"/>
    </row>
    <row r="347" spans="3:18" x14ac:dyDescent="0.25">
      <c r="C347" s="264"/>
      <c r="D347" s="157"/>
      <c r="E347" s="44"/>
      <c r="F347" s="127"/>
      <c r="G347" s="1"/>
      <c r="H347" s="161"/>
      <c r="I347" s="37"/>
      <c r="J347" s="135"/>
      <c r="K347" s="112"/>
      <c r="L347" s="37"/>
      <c r="M347" s="37"/>
      <c r="N347" s="37"/>
      <c r="O347" s="130"/>
      <c r="P347" s="132"/>
      <c r="Q347" s="262"/>
      <c r="R347" s="92"/>
    </row>
    <row r="348" spans="3:18" x14ac:dyDescent="0.25">
      <c r="C348" s="264"/>
      <c r="D348" s="157"/>
      <c r="E348" s="44"/>
      <c r="F348" s="127"/>
      <c r="G348" s="1"/>
      <c r="H348" s="161"/>
      <c r="I348" s="37"/>
      <c r="J348" s="135"/>
      <c r="K348" s="112"/>
      <c r="L348" s="37"/>
      <c r="M348" s="37"/>
      <c r="N348" s="37"/>
      <c r="O348" s="130"/>
      <c r="P348" s="132"/>
      <c r="Q348" s="262"/>
      <c r="R348" s="92"/>
    </row>
    <row r="349" spans="3:18" x14ac:dyDescent="0.25">
      <c r="C349" s="264"/>
      <c r="D349" s="157"/>
      <c r="E349" s="44"/>
      <c r="F349" s="127"/>
      <c r="G349" s="1"/>
      <c r="H349" s="161"/>
      <c r="I349" s="37"/>
      <c r="J349" s="135"/>
      <c r="K349" s="112"/>
      <c r="L349" s="37"/>
      <c r="M349" s="37"/>
      <c r="N349" s="37"/>
      <c r="O349" s="130"/>
      <c r="P349" s="132"/>
      <c r="Q349" s="262"/>
      <c r="R349" s="92"/>
    </row>
    <row r="350" spans="3:18" x14ac:dyDescent="0.25">
      <c r="C350" s="264"/>
      <c r="D350" s="157"/>
      <c r="E350" s="44"/>
      <c r="F350" s="127"/>
      <c r="G350" s="1"/>
      <c r="H350" s="161"/>
      <c r="I350" s="37"/>
      <c r="J350" s="135"/>
      <c r="K350" s="112"/>
      <c r="L350" s="37"/>
      <c r="M350" s="37"/>
      <c r="N350" s="37"/>
      <c r="O350" s="130"/>
      <c r="P350" s="132"/>
      <c r="Q350" s="262"/>
      <c r="R350" s="92"/>
    </row>
    <row r="351" spans="3:18" x14ac:dyDescent="0.25">
      <c r="C351" s="264"/>
      <c r="D351" s="157"/>
      <c r="E351" s="44"/>
      <c r="F351" s="127"/>
      <c r="G351" s="1"/>
      <c r="H351" s="161"/>
      <c r="I351" s="37"/>
      <c r="J351" s="135"/>
      <c r="K351" s="112"/>
      <c r="L351" s="37"/>
      <c r="M351" s="37"/>
      <c r="N351" s="37"/>
      <c r="O351" s="130"/>
      <c r="P351" s="132"/>
      <c r="Q351" s="262"/>
      <c r="R351" s="92"/>
    </row>
    <row r="352" spans="3:18" x14ac:dyDescent="0.25">
      <c r="C352" s="264"/>
      <c r="D352" s="157"/>
      <c r="E352" s="44"/>
      <c r="F352" s="127"/>
      <c r="G352" s="1"/>
      <c r="H352" s="161"/>
      <c r="I352" s="37"/>
      <c r="J352" s="135"/>
      <c r="K352" s="112"/>
      <c r="L352" s="37"/>
      <c r="M352" s="37"/>
      <c r="N352" s="37"/>
      <c r="O352" s="130"/>
      <c r="P352" s="132"/>
      <c r="Q352" s="262"/>
      <c r="R352" s="92"/>
    </row>
    <row r="353" spans="3:18" x14ac:dyDescent="0.25">
      <c r="C353" s="264"/>
      <c r="D353" s="157"/>
      <c r="E353" s="44"/>
      <c r="F353" s="127"/>
      <c r="G353" s="1"/>
      <c r="H353" s="161"/>
      <c r="I353" s="37"/>
      <c r="J353" s="135"/>
      <c r="K353" s="112"/>
      <c r="L353" s="37"/>
      <c r="M353" s="37"/>
      <c r="N353" s="37"/>
      <c r="O353" s="130"/>
      <c r="P353" s="132"/>
      <c r="Q353" s="262"/>
      <c r="R353" s="92"/>
    </row>
    <row r="354" spans="3:18" x14ac:dyDescent="0.25">
      <c r="C354" s="264"/>
      <c r="D354" s="157"/>
      <c r="E354" s="44"/>
      <c r="F354" s="127"/>
      <c r="G354" s="1"/>
      <c r="H354" s="161"/>
      <c r="I354" s="37"/>
      <c r="J354" s="135"/>
      <c r="K354" s="112"/>
      <c r="L354" s="37"/>
      <c r="M354" s="37"/>
      <c r="N354" s="37"/>
      <c r="O354" s="130"/>
      <c r="P354" s="132"/>
      <c r="Q354" s="262"/>
      <c r="R354" s="92"/>
    </row>
    <row r="355" spans="3:18" x14ac:dyDescent="0.25">
      <c r="C355" s="264"/>
      <c r="D355" s="157"/>
      <c r="E355" s="44"/>
      <c r="F355" s="127"/>
      <c r="G355" s="1"/>
      <c r="H355" s="161"/>
      <c r="I355" s="37"/>
      <c r="J355" s="135"/>
      <c r="K355" s="112"/>
      <c r="L355" s="37"/>
      <c r="M355" s="37"/>
      <c r="N355" s="37"/>
      <c r="O355" s="130"/>
      <c r="P355" s="132"/>
      <c r="Q355" s="262"/>
      <c r="R355" s="92"/>
    </row>
    <row r="356" spans="3:18" x14ac:dyDescent="0.25">
      <c r="C356" s="264"/>
      <c r="D356" s="157"/>
      <c r="E356" s="44"/>
      <c r="F356" s="127"/>
      <c r="G356" s="1"/>
      <c r="H356" s="161"/>
      <c r="I356" s="37"/>
      <c r="J356" s="135"/>
      <c r="K356" s="112"/>
      <c r="L356" s="37"/>
      <c r="M356" s="37"/>
      <c r="N356" s="37"/>
      <c r="O356" s="130"/>
      <c r="P356" s="132"/>
      <c r="Q356" s="262"/>
      <c r="R356" s="92"/>
    </row>
    <row r="357" spans="3:18" x14ac:dyDescent="0.25">
      <c r="C357" s="264"/>
      <c r="D357" s="157"/>
      <c r="E357" s="44"/>
      <c r="F357" s="127"/>
      <c r="G357" s="1"/>
      <c r="H357" s="161"/>
      <c r="I357" s="37"/>
      <c r="J357" s="135"/>
      <c r="K357" s="112"/>
      <c r="L357" s="37"/>
      <c r="M357" s="37"/>
      <c r="N357" s="37"/>
      <c r="O357" s="130"/>
      <c r="P357" s="132"/>
      <c r="Q357" s="262"/>
      <c r="R357" s="92"/>
    </row>
    <row r="358" spans="3:18" x14ac:dyDescent="0.25">
      <c r="C358" s="264"/>
      <c r="D358" s="157"/>
      <c r="E358" s="44"/>
      <c r="F358" s="127"/>
      <c r="G358" s="1"/>
      <c r="H358" s="161"/>
      <c r="I358" s="37"/>
      <c r="J358" s="135"/>
      <c r="K358" s="112"/>
      <c r="L358" s="37"/>
      <c r="M358" s="37"/>
      <c r="N358" s="37"/>
      <c r="O358" s="130"/>
      <c r="P358" s="132"/>
      <c r="Q358" s="262"/>
      <c r="R358" s="92"/>
    </row>
    <row r="359" spans="3:18" x14ac:dyDescent="0.25">
      <c r="C359" s="264"/>
      <c r="D359" s="157"/>
      <c r="E359" s="44"/>
      <c r="F359" s="127"/>
      <c r="G359" s="1"/>
      <c r="H359" s="161"/>
      <c r="I359" s="37"/>
      <c r="J359" s="135"/>
      <c r="K359" s="112"/>
      <c r="L359" s="37"/>
      <c r="M359" s="37"/>
      <c r="N359" s="37"/>
      <c r="O359" s="130"/>
      <c r="P359" s="132"/>
      <c r="Q359" s="262"/>
      <c r="R359" s="92"/>
    </row>
    <row r="360" spans="3:18" x14ac:dyDescent="0.25">
      <c r="C360" s="264"/>
      <c r="D360" s="157"/>
      <c r="E360" s="44"/>
      <c r="F360" s="127"/>
      <c r="G360" s="1"/>
      <c r="H360" s="161"/>
      <c r="I360" s="37"/>
      <c r="J360" s="135"/>
      <c r="K360" s="112"/>
      <c r="L360" s="37"/>
      <c r="M360" s="37"/>
      <c r="N360" s="37"/>
      <c r="O360" s="130"/>
      <c r="P360" s="132"/>
      <c r="Q360" s="262"/>
      <c r="R360" s="92"/>
    </row>
    <row r="361" spans="3:18" x14ac:dyDescent="0.25">
      <c r="C361" s="264"/>
      <c r="D361" s="157"/>
      <c r="E361" s="44"/>
      <c r="F361" s="127"/>
      <c r="G361" s="1"/>
      <c r="H361" s="161"/>
      <c r="I361" s="37"/>
      <c r="J361" s="135"/>
      <c r="K361" s="112"/>
      <c r="L361" s="37"/>
      <c r="M361" s="37"/>
      <c r="N361" s="37"/>
      <c r="O361" s="130"/>
      <c r="P361" s="132"/>
      <c r="Q361" s="262"/>
      <c r="R361" s="92"/>
    </row>
    <row r="362" spans="3:18" x14ac:dyDescent="0.25">
      <c r="C362" s="264"/>
      <c r="D362" s="157"/>
      <c r="E362" s="44"/>
      <c r="F362" s="127"/>
      <c r="G362" s="1"/>
      <c r="H362" s="161"/>
      <c r="I362" s="37"/>
      <c r="J362" s="135"/>
      <c r="K362" s="112"/>
      <c r="L362" s="37"/>
      <c r="M362" s="37"/>
      <c r="N362" s="37"/>
      <c r="O362" s="130"/>
      <c r="P362" s="132"/>
      <c r="Q362" s="262"/>
      <c r="R362" s="92"/>
    </row>
    <row r="363" spans="3:18" x14ac:dyDescent="0.25">
      <c r="C363" s="264"/>
      <c r="D363" s="157"/>
      <c r="E363" s="44"/>
      <c r="F363" s="127"/>
      <c r="G363" s="1"/>
      <c r="H363" s="161"/>
      <c r="I363" s="37"/>
      <c r="J363" s="135"/>
      <c r="K363" s="112"/>
      <c r="L363" s="37"/>
      <c r="M363" s="37"/>
      <c r="N363" s="37"/>
      <c r="O363" s="130"/>
      <c r="P363" s="132"/>
      <c r="Q363" s="262"/>
      <c r="R363" s="92"/>
    </row>
    <row r="364" spans="3:18" x14ac:dyDescent="0.25">
      <c r="C364" s="264"/>
      <c r="D364" s="157"/>
      <c r="E364" s="44"/>
      <c r="F364" s="127"/>
      <c r="G364" s="1"/>
      <c r="H364" s="161"/>
      <c r="I364" s="37"/>
      <c r="J364" s="135"/>
      <c r="K364" s="112"/>
      <c r="L364" s="37"/>
      <c r="M364" s="37"/>
      <c r="N364" s="37"/>
      <c r="O364" s="130"/>
      <c r="P364" s="132"/>
      <c r="Q364" s="262"/>
      <c r="R364" s="92"/>
    </row>
    <row r="365" spans="3:18" x14ac:dyDescent="0.25">
      <c r="C365" s="264"/>
      <c r="D365" s="157"/>
      <c r="E365" s="44"/>
      <c r="F365" s="127"/>
      <c r="G365" s="1"/>
      <c r="H365" s="161"/>
      <c r="I365" s="37"/>
      <c r="J365" s="135"/>
      <c r="K365" s="112"/>
      <c r="L365" s="37"/>
      <c r="M365" s="37"/>
      <c r="N365" s="37"/>
      <c r="O365" s="130"/>
      <c r="P365" s="132"/>
      <c r="Q365" s="262"/>
      <c r="R365" s="92"/>
    </row>
    <row r="366" spans="3:18" x14ac:dyDescent="0.25">
      <c r="C366" s="264"/>
      <c r="D366" s="157"/>
      <c r="E366" s="44"/>
      <c r="F366" s="127"/>
      <c r="G366" s="1"/>
      <c r="H366" s="161"/>
      <c r="I366" s="37"/>
      <c r="J366" s="135"/>
      <c r="K366" s="112"/>
      <c r="L366" s="37"/>
      <c r="M366" s="37"/>
      <c r="N366" s="37"/>
      <c r="O366" s="130"/>
      <c r="P366" s="132"/>
      <c r="Q366" s="262"/>
      <c r="R366" s="92"/>
    </row>
    <row r="367" spans="3:18" x14ac:dyDescent="0.25">
      <c r="C367" s="264"/>
      <c r="D367" s="157"/>
      <c r="E367" s="44"/>
      <c r="F367" s="127"/>
      <c r="G367" s="1"/>
      <c r="H367" s="161"/>
      <c r="I367" s="37"/>
      <c r="J367" s="135"/>
      <c r="K367" s="112"/>
      <c r="L367" s="37"/>
      <c r="M367" s="37"/>
      <c r="N367" s="37"/>
      <c r="O367" s="130"/>
      <c r="P367" s="132"/>
      <c r="Q367" s="262"/>
      <c r="R367" s="92"/>
    </row>
    <row r="368" spans="3:18" x14ac:dyDescent="0.25">
      <c r="C368" s="264"/>
      <c r="D368" s="157"/>
      <c r="E368" s="44"/>
      <c r="F368" s="127"/>
      <c r="G368" s="1"/>
      <c r="H368" s="161"/>
      <c r="I368" s="37"/>
      <c r="J368" s="135"/>
      <c r="K368" s="112"/>
      <c r="L368" s="37"/>
      <c r="M368" s="37"/>
      <c r="N368" s="37"/>
      <c r="O368" s="130"/>
      <c r="P368" s="132"/>
      <c r="Q368" s="262"/>
      <c r="R368" s="92"/>
    </row>
    <row r="369" spans="3:18" x14ac:dyDescent="0.25">
      <c r="C369" s="264"/>
      <c r="D369" s="157"/>
      <c r="E369" s="44"/>
      <c r="F369" s="127"/>
      <c r="G369" s="1"/>
      <c r="H369" s="161"/>
      <c r="I369" s="37"/>
      <c r="J369" s="135"/>
      <c r="K369" s="112"/>
      <c r="L369" s="37"/>
      <c r="M369" s="37"/>
      <c r="N369" s="37"/>
      <c r="O369" s="130"/>
      <c r="P369" s="132"/>
      <c r="Q369" s="262"/>
      <c r="R369" s="92"/>
    </row>
    <row r="370" spans="3:18" x14ac:dyDescent="0.25">
      <c r="C370" s="264"/>
      <c r="D370" s="157"/>
      <c r="E370" s="44"/>
      <c r="F370" s="127"/>
      <c r="G370" s="1"/>
      <c r="H370" s="161"/>
      <c r="I370" s="37"/>
      <c r="J370" s="135"/>
      <c r="K370" s="112"/>
      <c r="L370" s="37"/>
      <c r="M370" s="37"/>
      <c r="N370" s="37"/>
      <c r="O370" s="130"/>
      <c r="P370" s="132"/>
      <c r="Q370" s="262"/>
      <c r="R370" s="92"/>
    </row>
    <row r="371" spans="3:18" x14ac:dyDescent="0.25">
      <c r="C371" s="264"/>
      <c r="D371" s="157"/>
      <c r="E371" s="44"/>
      <c r="F371" s="127"/>
      <c r="G371" s="1"/>
      <c r="H371" s="161"/>
      <c r="I371" s="37"/>
      <c r="J371" s="135"/>
      <c r="K371" s="112"/>
      <c r="L371" s="37"/>
      <c r="M371" s="37"/>
      <c r="N371" s="37"/>
      <c r="O371" s="130"/>
      <c r="P371" s="132"/>
      <c r="Q371" s="262"/>
      <c r="R371" s="92"/>
    </row>
    <row r="372" spans="3:18" x14ac:dyDescent="0.25">
      <c r="C372" s="264"/>
      <c r="D372" s="157"/>
      <c r="E372" s="44"/>
      <c r="F372" s="127"/>
      <c r="G372" s="1"/>
      <c r="H372" s="161"/>
      <c r="I372" s="37"/>
      <c r="J372" s="135"/>
      <c r="K372" s="112"/>
      <c r="L372" s="37"/>
      <c r="M372" s="37"/>
      <c r="N372" s="37"/>
      <c r="O372" s="130"/>
      <c r="P372" s="132"/>
      <c r="Q372" s="262"/>
      <c r="R372" s="92"/>
    </row>
    <row r="373" spans="3:18" x14ac:dyDescent="0.25">
      <c r="C373" s="264"/>
      <c r="D373" s="157"/>
      <c r="E373" s="44"/>
      <c r="F373" s="127"/>
      <c r="G373" s="1"/>
      <c r="H373" s="161"/>
      <c r="I373" s="37"/>
      <c r="J373" s="135"/>
      <c r="K373" s="112"/>
      <c r="L373" s="37"/>
      <c r="M373" s="37"/>
      <c r="N373" s="37"/>
      <c r="O373" s="130"/>
      <c r="P373" s="132"/>
      <c r="Q373" s="262"/>
      <c r="R373" s="92"/>
    </row>
    <row r="374" spans="3:18" x14ac:dyDescent="0.25">
      <c r="C374" s="264"/>
      <c r="D374" s="157"/>
      <c r="E374" s="44"/>
      <c r="F374" s="127"/>
      <c r="G374" s="1"/>
      <c r="H374" s="161"/>
      <c r="I374" s="37"/>
      <c r="J374" s="135"/>
      <c r="K374" s="112"/>
      <c r="L374" s="37"/>
      <c r="M374" s="37"/>
      <c r="N374" s="37"/>
      <c r="O374" s="130"/>
      <c r="P374" s="132"/>
      <c r="Q374" s="262"/>
      <c r="R374" s="92"/>
    </row>
    <row r="375" spans="3:18" x14ac:dyDescent="0.25">
      <c r="C375" s="264"/>
      <c r="D375" s="157"/>
      <c r="E375" s="44"/>
      <c r="F375" s="127"/>
      <c r="G375" s="1"/>
      <c r="H375" s="161"/>
      <c r="I375" s="37"/>
      <c r="J375" s="135"/>
      <c r="K375" s="112"/>
      <c r="L375" s="37"/>
      <c r="M375" s="37"/>
      <c r="N375" s="37"/>
      <c r="O375" s="130"/>
      <c r="P375" s="132"/>
      <c r="Q375" s="262"/>
      <c r="R375" s="92"/>
    </row>
    <row r="376" spans="3:18" x14ac:dyDescent="0.25">
      <c r="C376" s="264"/>
      <c r="D376" s="157"/>
      <c r="E376" s="44"/>
      <c r="F376" s="127"/>
      <c r="G376" s="1"/>
      <c r="H376" s="161"/>
      <c r="I376" s="37"/>
      <c r="J376" s="135"/>
      <c r="K376" s="112"/>
      <c r="L376" s="37"/>
      <c r="M376" s="37"/>
      <c r="N376" s="37"/>
      <c r="O376" s="130"/>
      <c r="P376" s="132"/>
      <c r="Q376" s="262"/>
      <c r="R376" s="92"/>
    </row>
    <row r="377" spans="3:18" x14ac:dyDescent="0.25">
      <c r="C377" s="264"/>
      <c r="D377" s="157"/>
      <c r="E377" s="44"/>
      <c r="F377" s="127"/>
      <c r="G377" s="1"/>
      <c r="H377" s="161"/>
      <c r="I377" s="37"/>
      <c r="J377" s="135"/>
      <c r="K377" s="112"/>
      <c r="L377" s="37"/>
      <c r="M377" s="37"/>
      <c r="N377" s="37"/>
      <c r="O377" s="130"/>
      <c r="P377" s="132"/>
      <c r="Q377" s="262"/>
      <c r="R377" s="92"/>
    </row>
    <row r="378" spans="3:18" x14ac:dyDescent="0.25">
      <c r="C378" s="264"/>
      <c r="D378" s="157"/>
      <c r="E378" s="44"/>
      <c r="F378" s="127"/>
      <c r="G378" s="1"/>
      <c r="H378" s="161"/>
      <c r="I378" s="37"/>
      <c r="J378" s="135"/>
      <c r="K378" s="112"/>
      <c r="L378" s="37"/>
      <c r="M378" s="37"/>
      <c r="N378" s="37"/>
      <c r="O378" s="130"/>
      <c r="P378" s="132"/>
      <c r="Q378" s="262"/>
      <c r="R378" s="92"/>
    </row>
    <row r="379" spans="3:18" x14ac:dyDescent="0.25">
      <c r="C379" s="264"/>
      <c r="D379" s="157"/>
      <c r="E379" s="44"/>
      <c r="F379" s="127"/>
      <c r="G379" s="1"/>
      <c r="H379" s="161"/>
      <c r="I379" s="37"/>
      <c r="J379" s="135"/>
      <c r="K379" s="112"/>
      <c r="L379" s="37"/>
      <c r="M379" s="37"/>
      <c r="N379" s="37"/>
      <c r="O379" s="130"/>
      <c r="P379" s="132"/>
      <c r="Q379" s="262"/>
      <c r="R379" s="92"/>
    </row>
    <row r="380" spans="3:18" x14ac:dyDescent="0.25">
      <c r="C380" s="264"/>
      <c r="D380" s="157"/>
      <c r="E380" s="44"/>
      <c r="F380" s="127"/>
      <c r="G380" s="1"/>
      <c r="H380" s="161"/>
      <c r="I380" s="37"/>
      <c r="J380" s="135"/>
      <c r="K380" s="112"/>
      <c r="L380" s="37"/>
      <c r="M380" s="37"/>
      <c r="N380" s="37"/>
      <c r="O380" s="130"/>
      <c r="P380" s="132"/>
      <c r="Q380" s="262"/>
      <c r="R380" s="92"/>
    </row>
    <row r="381" spans="3:18" x14ac:dyDescent="0.25">
      <c r="C381" s="264"/>
      <c r="D381" s="157"/>
      <c r="E381" s="44"/>
      <c r="F381" s="127"/>
      <c r="G381" s="1"/>
      <c r="H381" s="161"/>
      <c r="I381" s="37"/>
      <c r="J381" s="135"/>
      <c r="K381" s="112"/>
      <c r="L381" s="37"/>
      <c r="M381" s="37"/>
      <c r="N381" s="37"/>
      <c r="O381" s="130"/>
      <c r="P381" s="132"/>
      <c r="Q381" s="262"/>
      <c r="R381" s="92"/>
    </row>
    <row r="382" spans="3:18" x14ac:dyDescent="0.25">
      <c r="C382" s="264"/>
      <c r="D382" s="157"/>
      <c r="E382" s="44"/>
      <c r="F382" s="127"/>
      <c r="G382" s="1"/>
      <c r="H382" s="161"/>
      <c r="I382" s="37"/>
      <c r="J382" s="135"/>
      <c r="K382" s="112"/>
      <c r="L382" s="37"/>
      <c r="M382" s="37"/>
      <c r="N382" s="37"/>
      <c r="O382" s="130"/>
      <c r="P382" s="132"/>
      <c r="Q382" s="262"/>
      <c r="R382" s="92"/>
    </row>
    <row r="383" spans="3:18" x14ac:dyDescent="0.25">
      <c r="C383" s="264"/>
      <c r="D383" s="157"/>
      <c r="E383" s="44"/>
      <c r="F383" s="127"/>
      <c r="G383" s="1"/>
      <c r="H383" s="161"/>
      <c r="I383" s="37"/>
      <c r="J383" s="135"/>
      <c r="K383" s="112"/>
      <c r="L383" s="37"/>
      <c r="M383" s="37"/>
      <c r="N383" s="37"/>
      <c r="O383" s="130"/>
      <c r="P383" s="132"/>
      <c r="Q383" s="262"/>
      <c r="R383" s="92"/>
    </row>
    <row r="384" spans="3:18" x14ac:dyDescent="0.25">
      <c r="C384" s="264"/>
      <c r="D384" s="157"/>
      <c r="E384" s="44"/>
      <c r="F384" s="127"/>
      <c r="G384" s="1"/>
      <c r="H384" s="161"/>
      <c r="I384" s="37"/>
      <c r="J384" s="135"/>
      <c r="K384" s="112"/>
      <c r="L384" s="37"/>
      <c r="M384" s="37"/>
      <c r="N384" s="37"/>
      <c r="O384" s="130"/>
      <c r="P384" s="132"/>
      <c r="Q384" s="262"/>
      <c r="R384" s="92"/>
    </row>
    <row r="385" spans="3:18" x14ac:dyDescent="0.25">
      <c r="C385" s="264"/>
      <c r="D385" s="157"/>
      <c r="E385" s="44"/>
      <c r="F385" s="127"/>
      <c r="G385" s="1"/>
      <c r="H385" s="161"/>
      <c r="I385" s="37"/>
      <c r="J385" s="135"/>
      <c r="K385" s="112"/>
      <c r="L385" s="37"/>
      <c r="M385" s="37"/>
      <c r="N385" s="37"/>
      <c r="O385" s="130"/>
      <c r="P385" s="132"/>
      <c r="Q385" s="262"/>
      <c r="R385" s="92"/>
    </row>
    <row r="386" spans="3:18" x14ac:dyDescent="0.25">
      <c r="C386" s="264"/>
      <c r="D386" s="157"/>
      <c r="E386" s="44"/>
      <c r="F386" s="127"/>
      <c r="G386" s="1"/>
      <c r="H386" s="161"/>
      <c r="I386" s="37"/>
      <c r="J386" s="135"/>
      <c r="K386" s="112"/>
      <c r="L386" s="37"/>
      <c r="M386" s="37"/>
      <c r="N386" s="37"/>
      <c r="O386" s="130"/>
      <c r="P386" s="132"/>
      <c r="Q386" s="262"/>
      <c r="R386" s="92"/>
    </row>
    <row r="387" spans="3:18" x14ac:dyDescent="0.25">
      <c r="C387" s="264"/>
      <c r="D387" s="157"/>
      <c r="E387" s="44"/>
      <c r="F387" s="127"/>
      <c r="G387" s="1"/>
      <c r="H387" s="161"/>
      <c r="I387" s="37"/>
      <c r="J387" s="135"/>
      <c r="K387" s="112"/>
      <c r="L387" s="37"/>
      <c r="M387" s="37"/>
      <c r="N387" s="37"/>
      <c r="O387" s="130"/>
      <c r="P387" s="132"/>
      <c r="Q387" s="262"/>
      <c r="R387" s="92"/>
    </row>
    <row r="388" spans="3:18" x14ac:dyDescent="0.25">
      <c r="C388" s="264"/>
      <c r="D388" s="157"/>
      <c r="E388" s="44"/>
      <c r="F388" s="127"/>
      <c r="G388" s="1"/>
      <c r="H388" s="161"/>
      <c r="I388" s="37"/>
      <c r="J388" s="135"/>
      <c r="K388" s="112"/>
      <c r="L388" s="37"/>
      <c r="M388" s="37"/>
      <c r="N388" s="37"/>
      <c r="O388" s="130"/>
      <c r="P388" s="132"/>
      <c r="Q388" s="262"/>
      <c r="R388" s="92"/>
    </row>
    <row r="389" spans="3:18" x14ac:dyDescent="0.25">
      <c r="C389" s="264"/>
      <c r="D389" s="157"/>
      <c r="E389" s="44"/>
      <c r="F389" s="127"/>
      <c r="G389" s="1"/>
      <c r="H389" s="161"/>
      <c r="I389" s="37"/>
      <c r="J389" s="135"/>
      <c r="K389" s="112"/>
      <c r="L389" s="37"/>
      <c r="M389" s="37"/>
      <c r="N389" s="37"/>
      <c r="O389" s="130"/>
      <c r="P389" s="132"/>
      <c r="Q389" s="262"/>
      <c r="R389" s="92"/>
    </row>
    <row r="390" spans="3:18" x14ac:dyDescent="0.25">
      <c r="C390" s="264"/>
      <c r="D390" s="157"/>
      <c r="E390" s="44"/>
      <c r="F390" s="127"/>
      <c r="G390" s="1"/>
      <c r="H390" s="161"/>
      <c r="I390" s="37"/>
      <c r="J390" s="135"/>
      <c r="K390" s="112"/>
      <c r="L390" s="37"/>
      <c r="M390" s="37"/>
      <c r="N390" s="37"/>
      <c r="O390" s="130"/>
      <c r="P390" s="132"/>
      <c r="Q390" s="262"/>
      <c r="R390" s="92"/>
    </row>
    <row r="391" spans="3:18" x14ac:dyDescent="0.25">
      <c r="C391" s="264"/>
      <c r="D391" s="157"/>
      <c r="E391" s="44"/>
      <c r="F391" s="127"/>
      <c r="G391" s="1"/>
      <c r="H391" s="161"/>
      <c r="I391" s="37"/>
      <c r="J391" s="135"/>
      <c r="K391" s="112"/>
      <c r="L391" s="37"/>
      <c r="M391" s="37"/>
      <c r="N391" s="37"/>
      <c r="O391" s="130"/>
      <c r="P391" s="132"/>
      <c r="Q391" s="262"/>
      <c r="R391" s="92"/>
    </row>
    <row r="392" spans="3:18" x14ac:dyDescent="0.25">
      <c r="C392" s="264"/>
      <c r="D392" s="157"/>
      <c r="E392" s="44"/>
      <c r="F392" s="127"/>
      <c r="G392" s="1"/>
      <c r="H392" s="161"/>
      <c r="I392" s="37"/>
      <c r="J392" s="135"/>
      <c r="K392" s="112"/>
      <c r="L392" s="37"/>
      <c r="M392" s="37"/>
      <c r="N392" s="37"/>
      <c r="O392" s="130"/>
      <c r="P392" s="132"/>
      <c r="Q392" s="262"/>
      <c r="R392" s="92"/>
    </row>
    <row r="393" spans="3:18" x14ac:dyDescent="0.25">
      <c r="C393" s="264"/>
      <c r="D393" s="157"/>
      <c r="E393" s="44"/>
      <c r="F393" s="127"/>
      <c r="G393" s="1"/>
      <c r="H393" s="161"/>
      <c r="I393" s="37"/>
      <c r="J393" s="135"/>
      <c r="K393" s="112"/>
      <c r="L393" s="37"/>
      <c r="M393" s="37"/>
      <c r="N393" s="37"/>
      <c r="O393" s="130"/>
      <c r="P393" s="132"/>
      <c r="Q393" s="262"/>
      <c r="R393" s="92"/>
    </row>
    <row r="394" spans="3:18" x14ac:dyDescent="0.25">
      <c r="C394" s="264"/>
      <c r="D394" s="157"/>
      <c r="E394" s="44"/>
      <c r="F394" s="127"/>
      <c r="G394" s="1"/>
      <c r="H394" s="161"/>
      <c r="I394" s="37"/>
      <c r="J394" s="135"/>
      <c r="K394" s="112"/>
      <c r="L394" s="37"/>
      <c r="M394" s="37"/>
      <c r="N394" s="37"/>
      <c r="O394" s="130"/>
      <c r="P394" s="132"/>
      <c r="Q394" s="262"/>
      <c r="R394" s="92"/>
    </row>
    <row r="395" spans="3:18" x14ac:dyDescent="0.25">
      <c r="C395" s="264"/>
      <c r="D395" s="157"/>
      <c r="E395" s="44"/>
      <c r="F395" s="127"/>
      <c r="G395" s="1"/>
      <c r="H395" s="161"/>
      <c r="I395" s="37"/>
      <c r="J395" s="135"/>
      <c r="K395" s="112"/>
      <c r="L395" s="37"/>
      <c r="M395" s="37"/>
      <c r="N395" s="37"/>
      <c r="O395" s="130"/>
      <c r="P395" s="132"/>
      <c r="Q395" s="262"/>
      <c r="R395" s="92"/>
    </row>
    <row r="396" spans="3:18" x14ac:dyDescent="0.25">
      <c r="C396" s="264"/>
      <c r="D396" s="157"/>
      <c r="E396" s="44"/>
      <c r="F396" s="127"/>
      <c r="G396" s="1"/>
      <c r="H396" s="161"/>
      <c r="I396" s="37"/>
      <c r="J396" s="135"/>
      <c r="K396" s="112"/>
      <c r="L396" s="37"/>
      <c r="M396" s="37"/>
      <c r="N396" s="37"/>
      <c r="O396" s="130"/>
      <c r="P396" s="132"/>
      <c r="Q396" s="262"/>
      <c r="R396" s="92"/>
    </row>
    <row r="397" spans="3:18" x14ac:dyDescent="0.25">
      <c r="C397" s="264"/>
      <c r="D397" s="157"/>
      <c r="E397" s="44"/>
      <c r="F397" s="127"/>
      <c r="G397" s="1"/>
      <c r="H397" s="161"/>
      <c r="I397" s="37"/>
      <c r="J397" s="135"/>
      <c r="K397" s="112"/>
      <c r="L397" s="37"/>
      <c r="M397" s="37"/>
      <c r="N397" s="37"/>
      <c r="O397" s="130"/>
      <c r="P397" s="132"/>
      <c r="Q397" s="262"/>
      <c r="R397" s="92"/>
    </row>
    <row r="398" spans="3:18" x14ac:dyDescent="0.25">
      <c r="C398" s="264"/>
      <c r="D398" s="157"/>
      <c r="E398" s="44"/>
      <c r="F398" s="127"/>
      <c r="G398" s="1"/>
      <c r="H398" s="161"/>
      <c r="I398" s="37"/>
      <c r="J398" s="135"/>
      <c r="K398" s="112"/>
      <c r="L398" s="37"/>
      <c r="M398" s="37"/>
      <c r="N398" s="37"/>
      <c r="O398" s="130"/>
      <c r="P398" s="132"/>
      <c r="Q398" s="262"/>
      <c r="R398" s="92"/>
    </row>
    <row r="399" spans="3:18" x14ac:dyDescent="0.25">
      <c r="C399" s="264"/>
      <c r="D399" s="157"/>
      <c r="E399" s="44"/>
      <c r="F399" s="127"/>
      <c r="G399" s="1"/>
      <c r="H399" s="161"/>
      <c r="I399" s="37"/>
      <c r="J399" s="135"/>
      <c r="K399" s="112"/>
      <c r="L399" s="37"/>
      <c r="M399" s="37"/>
      <c r="N399" s="37"/>
      <c r="O399" s="130"/>
      <c r="P399" s="132"/>
      <c r="Q399" s="262"/>
      <c r="R399" s="92"/>
    </row>
    <row r="400" spans="3:18" x14ac:dyDescent="0.25">
      <c r="C400" s="264"/>
      <c r="D400" s="157"/>
      <c r="E400" s="44"/>
      <c r="F400" s="127"/>
      <c r="G400" s="1"/>
      <c r="H400" s="161"/>
      <c r="I400" s="37"/>
      <c r="J400" s="135"/>
      <c r="K400" s="112"/>
      <c r="L400" s="37"/>
      <c r="M400" s="37"/>
      <c r="N400" s="37"/>
      <c r="O400" s="130"/>
      <c r="P400" s="132"/>
      <c r="Q400" s="262"/>
      <c r="R400" s="92"/>
    </row>
    <row r="401" spans="3:18" x14ac:dyDescent="0.25">
      <c r="C401" s="264"/>
      <c r="D401" s="157"/>
      <c r="E401" s="44"/>
      <c r="F401" s="127"/>
      <c r="G401" s="1"/>
      <c r="H401" s="161"/>
      <c r="I401" s="37"/>
      <c r="J401" s="135"/>
      <c r="K401" s="112"/>
      <c r="L401" s="37"/>
      <c r="M401" s="281"/>
      <c r="N401" s="37"/>
      <c r="O401" s="130"/>
      <c r="P401" s="132"/>
      <c r="Q401" s="262"/>
      <c r="R401" s="92"/>
    </row>
    <row r="402" spans="3:18" x14ac:dyDescent="0.25">
      <c r="C402" s="264"/>
      <c r="D402" s="157"/>
      <c r="E402" s="44"/>
      <c r="F402" s="127"/>
      <c r="G402" s="1"/>
      <c r="H402" s="161"/>
      <c r="I402" s="37"/>
      <c r="J402" s="135"/>
      <c r="K402" s="112"/>
      <c r="L402" s="37"/>
      <c r="M402" s="281"/>
      <c r="N402" s="37"/>
      <c r="O402" s="130"/>
      <c r="P402" s="132"/>
      <c r="Q402" s="262"/>
      <c r="R402" s="92"/>
    </row>
    <row r="403" spans="3:18" x14ac:dyDescent="0.25">
      <c r="C403" s="264"/>
      <c r="D403" s="157"/>
      <c r="E403" s="44"/>
      <c r="F403" s="127"/>
      <c r="G403" s="1"/>
      <c r="H403" s="161"/>
      <c r="I403" s="37"/>
      <c r="J403" s="135"/>
      <c r="K403" s="112"/>
      <c r="L403" s="37"/>
      <c r="M403" s="281"/>
      <c r="N403" s="37"/>
      <c r="O403" s="130"/>
      <c r="P403" s="132"/>
      <c r="Q403" s="262"/>
      <c r="R403" s="92"/>
    </row>
    <row r="404" spans="3:18" x14ac:dyDescent="0.25">
      <c r="C404" s="264"/>
      <c r="D404" s="157"/>
      <c r="E404" s="44"/>
      <c r="F404" s="127"/>
      <c r="G404" s="1"/>
      <c r="H404" s="161"/>
      <c r="I404" s="37"/>
      <c r="J404" s="135"/>
      <c r="K404" s="112"/>
      <c r="L404" s="37"/>
      <c r="M404" s="281"/>
      <c r="N404" s="37"/>
      <c r="O404" s="130"/>
      <c r="P404" s="132"/>
      <c r="Q404" s="262"/>
      <c r="R404" s="92"/>
    </row>
    <row r="405" spans="3:18" x14ac:dyDescent="0.25">
      <c r="C405" s="264"/>
      <c r="D405" s="157"/>
      <c r="E405" s="44"/>
      <c r="F405" s="127"/>
      <c r="G405" s="1"/>
      <c r="H405" s="161"/>
      <c r="I405" s="37"/>
      <c r="J405" s="135"/>
      <c r="K405" s="112"/>
      <c r="L405" s="37"/>
      <c r="M405" s="281"/>
      <c r="N405" s="37"/>
      <c r="O405" s="130"/>
      <c r="P405" s="132"/>
      <c r="Q405" s="262"/>
      <c r="R405" s="92"/>
    </row>
    <row r="406" spans="3:18" x14ac:dyDescent="0.25">
      <c r="C406" s="264"/>
      <c r="D406" s="157"/>
      <c r="E406" s="44"/>
      <c r="F406" s="127"/>
      <c r="G406" s="1"/>
      <c r="H406" s="161"/>
      <c r="I406" s="37"/>
      <c r="J406" s="135"/>
      <c r="K406" s="112"/>
      <c r="L406" s="37"/>
      <c r="M406" s="281"/>
      <c r="N406" s="37"/>
      <c r="O406" s="130"/>
      <c r="P406" s="132"/>
      <c r="Q406" s="262"/>
      <c r="R406" s="92"/>
    </row>
    <row r="407" spans="3:18" x14ac:dyDescent="0.25">
      <c r="C407" s="264"/>
      <c r="D407" s="157"/>
      <c r="E407" s="44"/>
      <c r="F407" s="127"/>
      <c r="G407" s="1"/>
      <c r="H407" s="161"/>
      <c r="I407" s="37"/>
      <c r="J407" s="135"/>
      <c r="K407" s="112"/>
      <c r="L407" s="37"/>
      <c r="M407" s="281"/>
      <c r="N407" s="37"/>
      <c r="O407" s="130"/>
      <c r="P407" s="132"/>
      <c r="Q407" s="262"/>
      <c r="R407" s="92"/>
    </row>
    <row r="408" spans="3:18" x14ac:dyDescent="0.25">
      <c r="C408" s="264"/>
      <c r="D408" s="157"/>
      <c r="E408" s="44"/>
      <c r="F408" s="127"/>
      <c r="G408" s="1"/>
      <c r="H408" s="161"/>
      <c r="I408" s="37"/>
      <c r="J408" s="135"/>
      <c r="K408" s="112"/>
      <c r="L408" s="37"/>
      <c r="M408" s="281"/>
      <c r="N408" s="37"/>
      <c r="O408" s="130"/>
      <c r="P408" s="132"/>
      <c r="Q408" s="262"/>
      <c r="R408" s="92"/>
    </row>
    <row r="409" spans="3:18" x14ac:dyDescent="0.25">
      <c r="C409" s="264"/>
      <c r="D409" s="157"/>
      <c r="E409" s="44"/>
      <c r="F409" s="127"/>
      <c r="G409" s="1"/>
      <c r="H409" s="161"/>
      <c r="I409" s="37"/>
      <c r="J409" s="135"/>
      <c r="K409" s="112"/>
      <c r="L409" s="37"/>
      <c r="M409" s="281"/>
      <c r="N409" s="37"/>
      <c r="O409" s="130"/>
      <c r="P409" s="132"/>
      <c r="Q409" s="262"/>
      <c r="R409" s="92"/>
    </row>
    <row r="410" spans="3:18" x14ac:dyDescent="0.25">
      <c r="C410" s="264"/>
      <c r="D410" s="157"/>
      <c r="E410" s="44"/>
      <c r="F410" s="127"/>
      <c r="G410" s="1"/>
      <c r="H410" s="161"/>
      <c r="I410" s="37"/>
      <c r="J410" s="135"/>
      <c r="K410" s="112"/>
      <c r="L410" s="37"/>
      <c r="M410" s="281"/>
      <c r="N410" s="37"/>
      <c r="O410" s="130"/>
      <c r="P410" s="132"/>
      <c r="Q410" s="262"/>
      <c r="R410" s="92"/>
    </row>
    <row r="411" spans="3:18" x14ac:dyDescent="0.25">
      <c r="C411" s="264"/>
      <c r="D411" s="157"/>
      <c r="E411" s="44"/>
      <c r="F411" s="127"/>
      <c r="G411" s="1"/>
      <c r="H411" s="161"/>
      <c r="I411" s="37"/>
      <c r="J411" s="135"/>
      <c r="K411" s="112"/>
      <c r="L411" s="37"/>
      <c r="M411" s="281"/>
      <c r="N411" s="37"/>
      <c r="O411" s="130"/>
      <c r="P411" s="132"/>
      <c r="Q411" s="262"/>
      <c r="R411" s="92"/>
    </row>
    <row r="412" spans="3:18" x14ac:dyDescent="0.25">
      <c r="C412" s="264"/>
      <c r="D412" s="157"/>
      <c r="E412" s="44"/>
      <c r="F412" s="127"/>
      <c r="G412" s="1"/>
      <c r="H412" s="161"/>
      <c r="I412" s="37"/>
      <c r="J412" s="135"/>
      <c r="K412" s="112"/>
      <c r="L412" s="37"/>
      <c r="M412" s="281"/>
      <c r="N412" s="37"/>
      <c r="O412" s="130"/>
      <c r="P412" s="132"/>
      <c r="Q412" s="262"/>
      <c r="R412" s="92"/>
    </row>
    <row r="413" spans="3:18" x14ac:dyDescent="0.25">
      <c r="C413" s="264"/>
      <c r="D413" s="157"/>
      <c r="E413" s="44"/>
      <c r="F413" s="127"/>
      <c r="G413" s="1"/>
      <c r="H413" s="161"/>
      <c r="I413" s="37"/>
      <c r="J413" s="135"/>
      <c r="K413" s="112"/>
      <c r="L413" s="37"/>
      <c r="M413" s="281"/>
      <c r="N413" s="37"/>
      <c r="O413" s="130"/>
      <c r="P413" s="132"/>
      <c r="Q413" s="262"/>
      <c r="R413" s="92"/>
    </row>
    <row r="414" spans="3:18" x14ac:dyDescent="0.25">
      <c r="C414" s="264"/>
      <c r="D414" s="157"/>
      <c r="E414" s="44"/>
      <c r="F414" s="127"/>
      <c r="G414" s="1"/>
      <c r="H414" s="161"/>
      <c r="I414" s="37"/>
      <c r="J414" s="135"/>
      <c r="K414" s="112"/>
      <c r="L414" s="37"/>
      <c r="M414" s="281"/>
      <c r="N414" s="37"/>
      <c r="O414" s="130"/>
      <c r="P414" s="132"/>
      <c r="Q414" s="262"/>
      <c r="R414" s="92"/>
    </row>
    <row r="415" spans="3:18" x14ac:dyDescent="0.25">
      <c r="C415" s="264"/>
      <c r="D415" s="157"/>
      <c r="E415" s="44"/>
      <c r="F415" s="127"/>
      <c r="G415" s="1"/>
      <c r="H415" s="161"/>
      <c r="I415" s="37"/>
      <c r="J415" s="135"/>
      <c r="K415" s="112"/>
      <c r="L415" s="37"/>
      <c r="M415" s="281"/>
      <c r="N415" s="37"/>
      <c r="O415" s="130"/>
      <c r="P415" s="132"/>
      <c r="Q415" s="262"/>
      <c r="R415" s="92"/>
    </row>
    <row r="416" spans="3:18" x14ac:dyDescent="0.25">
      <c r="C416" s="264"/>
      <c r="D416" s="157"/>
      <c r="E416" s="44"/>
      <c r="F416" s="127"/>
      <c r="G416" s="1"/>
      <c r="H416" s="161"/>
      <c r="I416" s="37"/>
      <c r="J416" s="135"/>
      <c r="K416" s="112"/>
      <c r="L416" s="37"/>
      <c r="M416" s="281"/>
      <c r="N416" s="37"/>
      <c r="O416" s="130"/>
      <c r="P416" s="132"/>
      <c r="Q416" s="262"/>
      <c r="R416" s="92"/>
    </row>
    <row r="417" spans="3:18" x14ac:dyDescent="0.25">
      <c r="C417" s="264"/>
      <c r="D417" s="157"/>
      <c r="E417" s="44"/>
      <c r="F417" s="127"/>
      <c r="G417" s="1"/>
      <c r="H417" s="161"/>
      <c r="I417" s="37"/>
      <c r="J417" s="135"/>
      <c r="K417" s="112"/>
      <c r="L417" s="37"/>
      <c r="M417" s="281"/>
      <c r="N417" s="37"/>
      <c r="O417" s="130"/>
      <c r="P417" s="132"/>
      <c r="Q417" s="262"/>
      <c r="R417" s="92"/>
    </row>
    <row r="418" spans="3:18" x14ac:dyDescent="0.25">
      <c r="C418" s="264"/>
      <c r="D418" s="157"/>
      <c r="E418" s="44"/>
      <c r="F418" s="127"/>
      <c r="G418" s="1"/>
      <c r="H418" s="161"/>
      <c r="I418" s="37"/>
      <c r="J418" s="135"/>
      <c r="K418" s="112"/>
      <c r="L418" s="37"/>
      <c r="M418" s="281"/>
      <c r="N418" s="37"/>
      <c r="O418" s="130"/>
      <c r="P418" s="132"/>
      <c r="Q418" s="262"/>
      <c r="R418" s="92"/>
    </row>
    <row r="419" spans="3:18" x14ac:dyDescent="0.25">
      <c r="C419" s="264"/>
      <c r="D419" s="157"/>
      <c r="E419" s="44"/>
      <c r="F419" s="127"/>
      <c r="G419" s="1"/>
      <c r="H419" s="161"/>
      <c r="I419" s="37"/>
      <c r="J419" s="135"/>
      <c r="K419" s="112"/>
      <c r="L419" s="37"/>
      <c r="M419" s="281"/>
      <c r="N419" s="37"/>
      <c r="O419" s="130"/>
      <c r="P419" s="132"/>
      <c r="Q419" s="262"/>
      <c r="R419" s="92"/>
    </row>
    <row r="420" spans="3:18" x14ac:dyDescent="0.25">
      <c r="C420" s="264"/>
      <c r="D420" s="157"/>
      <c r="E420" s="44"/>
      <c r="F420" s="127"/>
      <c r="G420" s="1"/>
      <c r="H420" s="161"/>
      <c r="I420" s="37"/>
      <c r="J420" s="135"/>
      <c r="K420" s="112"/>
      <c r="L420" s="37"/>
      <c r="M420" s="281"/>
      <c r="N420" s="37"/>
      <c r="O420" s="130"/>
      <c r="P420" s="132"/>
      <c r="Q420" s="262"/>
      <c r="R420" s="92"/>
    </row>
    <row r="421" spans="3:18" x14ac:dyDescent="0.25">
      <c r="C421" s="264"/>
      <c r="D421" s="157"/>
      <c r="E421" s="44"/>
      <c r="F421" s="127"/>
      <c r="G421" s="1"/>
      <c r="H421" s="161"/>
      <c r="I421" s="37"/>
      <c r="J421" s="135"/>
      <c r="K421" s="112"/>
      <c r="L421" s="37"/>
      <c r="M421" s="281"/>
      <c r="N421" s="37"/>
      <c r="O421" s="130"/>
      <c r="P421" s="132"/>
      <c r="Q421" s="262"/>
      <c r="R421" s="92"/>
    </row>
    <row r="422" spans="3:18" x14ac:dyDescent="0.25">
      <c r="C422" s="264"/>
      <c r="D422" s="157"/>
      <c r="E422" s="44"/>
      <c r="F422" s="127"/>
      <c r="G422" s="1"/>
      <c r="H422" s="161"/>
      <c r="I422" s="37"/>
      <c r="J422" s="135"/>
      <c r="K422" s="112"/>
      <c r="L422" s="37"/>
      <c r="M422" s="37"/>
      <c r="N422" s="37"/>
      <c r="O422" s="130"/>
      <c r="P422" s="132"/>
      <c r="Q422" s="262"/>
      <c r="R422" s="92"/>
    </row>
    <row r="423" spans="3:18" x14ac:dyDescent="0.25">
      <c r="C423" s="264"/>
      <c r="D423" s="157"/>
      <c r="E423" s="44"/>
      <c r="F423" s="127"/>
      <c r="G423" s="1"/>
      <c r="H423" s="161"/>
      <c r="I423" s="37"/>
      <c r="J423" s="135"/>
      <c r="K423" s="112"/>
      <c r="L423" s="37"/>
      <c r="M423" s="37"/>
      <c r="N423" s="37"/>
      <c r="O423" s="130"/>
      <c r="P423" s="132"/>
      <c r="Q423" s="262"/>
      <c r="R423" s="92"/>
    </row>
    <row r="424" spans="3:18" x14ac:dyDescent="0.25">
      <c r="C424" s="264"/>
      <c r="D424" s="157"/>
      <c r="E424" s="44"/>
      <c r="F424" s="127"/>
      <c r="G424" s="1"/>
      <c r="H424" s="161"/>
      <c r="I424" s="37"/>
      <c r="J424" s="135"/>
      <c r="K424" s="112"/>
      <c r="L424" s="37"/>
      <c r="M424" s="37"/>
      <c r="N424" s="37"/>
      <c r="O424" s="130"/>
      <c r="P424" s="132"/>
      <c r="Q424" s="262"/>
      <c r="R424" s="92"/>
    </row>
    <row r="425" spans="3:18" x14ac:dyDescent="0.25">
      <c r="C425" s="264"/>
      <c r="D425" s="157"/>
      <c r="E425" s="44"/>
      <c r="F425" s="127"/>
      <c r="G425" s="1"/>
      <c r="H425" s="161"/>
      <c r="I425" s="37"/>
      <c r="J425" s="135"/>
      <c r="K425" s="112"/>
      <c r="L425" s="37"/>
      <c r="M425" s="37"/>
      <c r="N425" s="37"/>
      <c r="O425" s="130"/>
      <c r="P425" s="132"/>
      <c r="Q425" s="262"/>
      <c r="R425" s="92"/>
    </row>
    <row r="426" spans="3:18" x14ac:dyDescent="0.25">
      <c r="C426" s="264"/>
      <c r="D426" s="157"/>
      <c r="E426" s="44"/>
      <c r="F426" s="127"/>
      <c r="G426" s="1"/>
      <c r="H426" s="161"/>
      <c r="I426" s="37"/>
      <c r="J426" s="135"/>
      <c r="K426" s="112"/>
      <c r="L426" s="37"/>
      <c r="M426" s="37"/>
      <c r="N426" s="37"/>
      <c r="O426" s="130"/>
      <c r="P426" s="132"/>
      <c r="Q426" s="262"/>
      <c r="R426" s="92"/>
    </row>
    <row r="427" spans="3:18" x14ac:dyDescent="0.25">
      <c r="C427" s="264"/>
      <c r="D427" s="157"/>
      <c r="E427" s="44"/>
      <c r="F427" s="127"/>
      <c r="G427" s="1"/>
      <c r="H427" s="161"/>
      <c r="I427" s="37"/>
      <c r="J427" s="135"/>
      <c r="K427" s="112"/>
      <c r="L427" s="37"/>
      <c r="M427" s="37"/>
      <c r="N427" s="37"/>
      <c r="O427" s="130"/>
      <c r="P427" s="132"/>
      <c r="Q427" s="262"/>
      <c r="R427" s="92"/>
    </row>
    <row r="428" spans="3:18" x14ac:dyDescent="0.25">
      <c r="C428" s="264"/>
      <c r="D428" s="157"/>
      <c r="E428" s="44"/>
      <c r="F428" s="127"/>
      <c r="G428" s="1"/>
      <c r="H428" s="161"/>
      <c r="I428" s="37"/>
      <c r="J428" s="135"/>
      <c r="K428" s="112"/>
      <c r="L428" s="37"/>
      <c r="M428" s="37"/>
      <c r="N428" s="37"/>
      <c r="O428" s="130"/>
      <c r="P428" s="132"/>
      <c r="Q428" s="262"/>
      <c r="R428" s="92"/>
    </row>
    <row r="429" spans="3:18" x14ac:dyDescent="0.25">
      <c r="C429" s="264"/>
      <c r="D429" s="157"/>
      <c r="E429" s="44"/>
      <c r="F429" s="127"/>
      <c r="G429" s="1"/>
      <c r="H429" s="161"/>
      <c r="I429" s="37"/>
      <c r="J429" s="135"/>
      <c r="K429" s="112"/>
      <c r="L429" s="37"/>
      <c r="M429" s="37"/>
      <c r="N429" s="37"/>
      <c r="O429" s="130"/>
      <c r="P429" s="132"/>
      <c r="Q429" s="262"/>
      <c r="R429" s="92"/>
    </row>
    <row r="430" spans="3:18" x14ac:dyDescent="0.25">
      <c r="C430" s="264"/>
      <c r="D430" s="157"/>
      <c r="E430" s="44"/>
      <c r="F430" s="127"/>
      <c r="G430" s="1"/>
      <c r="H430" s="161"/>
      <c r="I430" s="37"/>
      <c r="J430" s="135"/>
      <c r="K430" s="112"/>
      <c r="L430" s="37"/>
      <c r="M430" s="37"/>
      <c r="N430" s="37"/>
      <c r="O430" s="130"/>
      <c r="P430" s="132"/>
      <c r="Q430" s="262"/>
      <c r="R430" s="92"/>
    </row>
    <row r="431" spans="3:18" x14ac:dyDescent="0.25">
      <c r="C431" s="264"/>
      <c r="D431" s="157"/>
      <c r="E431" s="44"/>
      <c r="F431" s="127"/>
      <c r="G431" s="1"/>
      <c r="H431" s="161"/>
      <c r="I431" s="37"/>
      <c r="J431" s="135"/>
      <c r="K431" s="112"/>
      <c r="L431" s="37"/>
      <c r="M431" s="37"/>
      <c r="N431" s="37"/>
      <c r="O431" s="130"/>
      <c r="P431" s="132"/>
      <c r="Q431" s="262"/>
      <c r="R431" s="92"/>
    </row>
    <row r="432" spans="3:18" x14ac:dyDescent="0.25">
      <c r="C432" s="264"/>
      <c r="D432" s="157"/>
      <c r="E432" s="44"/>
      <c r="F432" s="127"/>
      <c r="G432" s="1"/>
      <c r="H432" s="161"/>
      <c r="I432" s="37"/>
      <c r="J432" s="135"/>
      <c r="K432" s="112"/>
      <c r="L432" s="37"/>
      <c r="M432" s="37"/>
      <c r="N432" s="37"/>
      <c r="O432" s="130"/>
      <c r="P432" s="132"/>
      <c r="Q432" s="262"/>
      <c r="R432" s="92"/>
    </row>
    <row r="433" spans="3:18" x14ac:dyDescent="0.25">
      <c r="C433" s="264"/>
      <c r="D433" s="157"/>
      <c r="E433" s="44"/>
      <c r="F433" s="127"/>
      <c r="G433" s="1"/>
      <c r="H433" s="161"/>
      <c r="I433" s="37"/>
      <c r="J433" s="135"/>
      <c r="K433" s="112"/>
      <c r="L433" s="37"/>
      <c r="M433" s="37"/>
      <c r="N433" s="37"/>
      <c r="O433" s="130"/>
      <c r="P433" s="132"/>
      <c r="Q433" s="262"/>
      <c r="R433" s="92"/>
    </row>
    <row r="434" spans="3:18" x14ac:dyDescent="0.25">
      <c r="C434" s="264"/>
      <c r="D434" s="157"/>
      <c r="E434" s="44"/>
      <c r="F434" s="127"/>
      <c r="G434" s="1"/>
      <c r="H434" s="161"/>
      <c r="I434" s="37"/>
      <c r="J434" s="135"/>
      <c r="K434" s="112"/>
      <c r="L434" s="37"/>
      <c r="M434" s="37"/>
      <c r="N434" s="37"/>
      <c r="O434" s="130"/>
      <c r="P434" s="132"/>
      <c r="Q434" s="262"/>
      <c r="R434" s="92"/>
    </row>
    <row r="435" spans="3:18" x14ac:dyDescent="0.25">
      <c r="C435" s="264"/>
      <c r="D435" s="157"/>
      <c r="E435" s="44"/>
      <c r="F435" s="127"/>
      <c r="G435" s="1"/>
      <c r="H435" s="161"/>
      <c r="I435" s="37"/>
      <c r="J435" s="135"/>
      <c r="K435" s="112"/>
      <c r="L435" s="37"/>
      <c r="M435" s="37"/>
      <c r="N435" s="37"/>
      <c r="O435" s="130"/>
      <c r="P435" s="132"/>
      <c r="Q435" s="262"/>
      <c r="R435" s="92"/>
    </row>
    <row r="436" spans="3:18" x14ac:dyDescent="0.25">
      <c r="C436" s="264"/>
      <c r="D436" s="157"/>
      <c r="E436" s="44"/>
      <c r="F436" s="127"/>
      <c r="G436" s="1"/>
      <c r="H436" s="161"/>
      <c r="I436" s="37"/>
      <c r="J436" s="135"/>
      <c r="K436" s="112"/>
      <c r="L436" s="37"/>
      <c r="M436" s="37"/>
      <c r="N436" s="37"/>
      <c r="O436" s="130"/>
      <c r="P436" s="132"/>
      <c r="Q436" s="262"/>
      <c r="R436" s="92"/>
    </row>
    <row r="437" spans="3:18" x14ac:dyDescent="0.25">
      <c r="C437" s="264"/>
      <c r="D437" s="157"/>
      <c r="E437" s="44"/>
      <c r="F437" s="127"/>
      <c r="G437" s="1"/>
      <c r="H437" s="161"/>
      <c r="I437" s="37"/>
      <c r="J437" s="135"/>
      <c r="K437" s="112"/>
      <c r="L437" s="37"/>
      <c r="M437" s="37"/>
      <c r="N437" s="37"/>
      <c r="O437" s="130"/>
      <c r="P437" s="132"/>
      <c r="Q437" s="262"/>
      <c r="R437" s="92"/>
    </row>
    <row r="438" spans="3:18" x14ac:dyDescent="0.25">
      <c r="C438" s="264"/>
      <c r="D438" s="157"/>
      <c r="E438" s="44"/>
      <c r="F438" s="127"/>
      <c r="G438" s="1"/>
      <c r="H438" s="161"/>
      <c r="I438" s="37"/>
      <c r="J438" s="135"/>
      <c r="K438" s="112"/>
      <c r="L438" s="37"/>
      <c r="M438" s="37"/>
      <c r="N438" s="37"/>
      <c r="O438" s="130"/>
      <c r="P438" s="132"/>
      <c r="Q438" s="262"/>
      <c r="R438" s="92"/>
    </row>
    <row r="439" spans="3:18" x14ac:dyDescent="0.25">
      <c r="C439" s="264"/>
      <c r="D439" s="157"/>
      <c r="E439" s="44"/>
      <c r="F439" s="127"/>
      <c r="G439" s="1"/>
      <c r="H439" s="161"/>
      <c r="I439" s="37"/>
      <c r="J439" s="135"/>
      <c r="K439" s="112"/>
      <c r="L439" s="37"/>
      <c r="M439" s="37"/>
      <c r="N439" s="37"/>
      <c r="O439" s="130"/>
      <c r="P439" s="132"/>
      <c r="Q439" s="262"/>
      <c r="R439" s="92"/>
    </row>
    <row r="440" spans="3:18" x14ac:dyDescent="0.25">
      <c r="C440" s="264"/>
      <c r="D440" s="157"/>
      <c r="E440" s="44"/>
      <c r="F440" s="127"/>
      <c r="G440" s="1"/>
      <c r="H440" s="161"/>
      <c r="I440" s="37"/>
      <c r="J440" s="135"/>
      <c r="K440" s="112"/>
      <c r="L440" s="37"/>
      <c r="M440" s="37"/>
      <c r="N440" s="37"/>
      <c r="O440" s="130"/>
      <c r="P440" s="132"/>
      <c r="Q440" s="262"/>
      <c r="R440" s="92"/>
    </row>
    <row r="441" spans="3:18" x14ac:dyDescent="0.25">
      <c r="C441" s="264"/>
      <c r="D441" s="157"/>
      <c r="E441" s="44"/>
      <c r="F441" s="127"/>
      <c r="G441" s="1"/>
      <c r="H441" s="161"/>
      <c r="I441" s="37"/>
      <c r="J441" s="135"/>
      <c r="K441" s="112"/>
      <c r="L441" s="37"/>
      <c r="M441" s="37"/>
      <c r="N441" s="37"/>
      <c r="O441" s="130"/>
      <c r="P441" s="132"/>
      <c r="Q441" s="262"/>
      <c r="R441" s="92"/>
    </row>
    <row r="442" spans="3:18" x14ac:dyDescent="0.25">
      <c r="C442" s="264"/>
      <c r="D442" s="157"/>
      <c r="E442" s="44"/>
      <c r="F442" s="127"/>
      <c r="G442" s="1"/>
      <c r="H442" s="161"/>
      <c r="I442" s="37"/>
      <c r="J442" s="135"/>
      <c r="K442" s="112"/>
      <c r="L442" s="37"/>
      <c r="M442" s="37"/>
      <c r="N442" s="37"/>
      <c r="O442" s="130"/>
      <c r="P442" s="132"/>
      <c r="Q442" s="262"/>
      <c r="R442" s="92"/>
    </row>
    <row r="443" spans="3:18" x14ac:dyDescent="0.25">
      <c r="C443" s="264"/>
      <c r="D443" s="157"/>
      <c r="E443" s="44"/>
      <c r="F443" s="127"/>
      <c r="G443" s="1"/>
      <c r="H443" s="161"/>
      <c r="I443" s="37"/>
      <c r="J443" s="135"/>
      <c r="K443" s="112"/>
      <c r="L443" s="37"/>
      <c r="M443" s="37"/>
      <c r="N443" s="37"/>
      <c r="O443" s="130"/>
      <c r="P443" s="132"/>
      <c r="Q443" s="262"/>
      <c r="R443" s="92"/>
    </row>
    <row r="444" spans="3:18" x14ac:dyDescent="0.25">
      <c r="C444" s="264"/>
      <c r="D444" s="157"/>
      <c r="E444" s="44"/>
      <c r="F444" s="127"/>
      <c r="G444" s="1"/>
      <c r="H444" s="161"/>
      <c r="I444" s="37"/>
      <c r="J444" s="135"/>
      <c r="K444" s="112"/>
      <c r="L444" s="37"/>
      <c r="M444" s="37"/>
      <c r="N444" s="37"/>
      <c r="O444" s="130"/>
      <c r="P444" s="132"/>
      <c r="Q444" s="262"/>
      <c r="R444" s="92"/>
    </row>
    <row r="445" spans="3:18" x14ac:dyDescent="0.25">
      <c r="C445" s="264"/>
      <c r="D445" s="157"/>
      <c r="E445" s="44"/>
      <c r="F445" s="127"/>
      <c r="G445" s="1"/>
      <c r="H445" s="161"/>
      <c r="I445" s="37"/>
      <c r="J445" s="135"/>
      <c r="K445" s="112"/>
      <c r="L445" s="37"/>
      <c r="M445" s="37"/>
      <c r="N445" s="37"/>
      <c r="O445" s="130"/>
      <c r="P445" s="132"/>
      <c r="Q445" s="262"/>
      <c r="R445" s="92"/>
    </row>
    <row r="446" spans="3:18" x14ac:dyDescent="0.25">
      <c r="C446" s="264"/>
      <c r="D446" s="157"/>
      <c r="E446" s="44"/>
      <c r="F446" s="127"/>
      <c r="G446" s="1"/>
      <c r="H446" s="161"/>
      <c r="I446" s="37"/>
      <c r="J446" s="135"/>
      <c r="K446" s="112"/>
      <c r="L446" s="37"/>
      <c r="M446" s="37"/>
      <c r="N446" s="37"/>
      <c r="O446" s="130"/>
      <c r="P446" s="132"/>
      <c r="Q446" s="262"/>
      <c r="R446" s="92"/>
    </row>
    <row r="447" spans="3:18" x14ac:dyDescent="0.25">
      <c r="C447" s="264"/>
      <c r="D447" s="157"/>
      <c r="E447" s="44"/>
      <c r="F447" s="127"/>
      <c r="G447" s="1"/>
      <c r="H447" s="161"/>
      <c r="I447" s="37"/>
      <c r="J447" s="135"/>
      <c r="K447" s="112"/>
      <c r="L447" s="37"/>
      <c r="M447" s="37"/>
      <c r="N447" s="37"/>
      <c r="O447" s="130"/>
      <c r="P447" s="132"/>
      <c r="Q447" s="262"/>
      <c r="R447" s="92"/>
    </row>
    <row r="448" spans="3:18" x14ac:dyDescent="0.25">
      <c r="C448" s="264"/>
      <c r="D448" s="157"/>
      <c r="E448" s="44"/>
      <c r="F448" s="127"/>
      <c r="G448" s="1"/>
      <c r="H448" s="161"/>
      <c r="I448" s="37"/>
      <c r="J448" s="135"/>
      <c r="K448" s="112"/>
      <c r="L448" s="37"/>
      <c r="M448" s="37"/>
      <c r="N448" s="37"/>
      <c r="O448" s="130"/>
      <c r="P448" s="132"/>
      <c r="Q448" s="262"/>
      <c r="R448" s="92"/>
    </row>
    <row r="449" spans="3:18" x14ac:dyDescent="0.25">
      <c r="C449" s="264"/>
      <c r="D449" s="157"/>
      <c r="E449" s="44"/>
      <c r="F449" s="127"/>
      <c r="G449" s="1"/>
      <c r="H449" s="161"/>
      <c r="I449" s="37"/>
      <c r="J449" s="135"/>
      <c r="K449" s="112"/>
      <c r="L449" s="37"/>
      <c r="M449" s="37"/>
      <c r="N449" s="37"/>
      <c r="O449" s="130"/>
      <c r="P449" s="132"/>
      <c r="Q449" s="262"/>
      <c r="R449" s="92"/>
    </row>
    <row r="450" spans="3:18" x14ac:dyDescent="0.25">
      <c r="C450" s="264"/>
      <c r="D450" s="157"/>
      <c r="E450" s="44"/>
      <c r="F450" s="127"/>
      <c r="G450" s="1"/>
      <c r="H450" s="161"/>
      <c r="I450" s="37"/>
      <c r="J450" s="135"/>
      <c r="K450" s="112"/>
      <c r="L450" s="37"/>
      <c r="M450" s="37"/>
      <c r="N450" s="37"/>
      <c r="O450" s="130"/>
      <c r="P450" s="132"/>
      <c r="Q450" s="262"/>
      <c r="R450" s="92"/>
    </row>
    <row r="451" spans="3:18" x14ac:dyDescent="0.25">
      <c r="C451" s="264"/>
      <c r="D451" s="157"/>
      <c r="E451" s="44"/>
      <c r="F451" s="127"/>
      <c r="G451" s="1"/>
      <c r="H451" s="161"/>
      <c r="I451" s="37"/>
      <c r="J451" s="135"/>
      <c r="K451" s="112"/>
      <c r="L451" s="37"/>
      <c r="M451" s="37"/>
      <c r="N451" s="37"/>
      <c r="O451" s="130"/>
      <c r="P451" s="132"/>
      <c r="Q451" s="262"/>
      <c r="R451" s="92"/>
    </row>
    <row r="452" spans="3:18" x14ac:dyDescent="0.25">
      <c r="C452" s="264"/>
      <c r="D452" s="157"/>
      <c r="E452" s="44"/>
      <c r="F452" s="127"/>
      <c r="G452" s="1"/>
      <c r="H452" s="161"/>
      <c r="I452" s="37"/>
      <c r="J452" s="135"/>
      <c r="K452" s="112"/>
      <c r="L452" s="37"/>
      <c r="M452" s="37"/>
      <c r="N452" s="37"/>
      <c r="O452" s="130"/>
      <c r="P452" s="132"/>
      <c r="Q452" s="262"/>
      <c r="R452" s="92"/>
    </row>
    <row r="453" spans="3:18" x14ac:dyDescent="0.25">
      <c r="C453" s="264"/>
      <c r="D453" s="157"/>
      <c r="E453" s="44"/>
      <c r="F453" s="127"/>
      <c r="G453" s="1"/>
      <c r="H453" s="161"/>
      <c r="I453" s="37"/>
      <c r="J453" s="135"/>
      <c r="K453" s="112"/>
      <c r="L453" s="37"/>
      <c r="M453" s="37"/>
      <c r="N453" s="37"/>
      <c r="O453" s="130"/>
      <c r="P453" s="132"/>
      <c r="Q453" s="262"/>
      <c r="R453" s="92"/>
    </row>
    <row r="454" spans="3:18" x14ac:dyDescent="0.25">
      <c r="C454" s="264"/>
      <c r="D454" s="157"/>
      <c r="E454" s="44"/>
      <c r="F454" s="127"/>
      <c r="G454" s="1"/>
      <c r="H454" s="161"/>
      <c r="I454" s="37"/>
      <c r="J454" s="135"/>
      <c r="K454" s="112"/>
      <c r="L454" s="37"/>
      <c r="M454" s="37"/>
      <c r="N454" s="37"/>
      <c r="O454" s="130"/>
      <c r="P454" s="132"/>
      <c r="Q454" s="262"/>
      <c r="R454" s="92"/>
    </row>
    <row r="455" spans="3:18" x14ac:dyDescent="0.25">
      <c r="C455" s="264"/>
      <c r="D455" s="157"/>
      <c r="E455" s="44"/>
      <c r="F455" s="127"/>
      <c r="G455" s="1"/>
      <c r="H455" s="161"/>
      <c r="I455" s="37"/>
      <c r="J455" s="135"/>
      <c r="K455" s="112"/>
      <c r="L455" s="37"/>
      <c r="M455" s="37"/>
      <c r="N455" s="37"/>
      <c r="O455" s="130"/>
      <c r="P455" s="132"/>
      <c r="Q455" s="262"/>
      <c r="R455" s="92"/>
    </row>
    <row r="456" spans="3:18" x14ac:dyDescent="0.25">
      <c r="C456" s="264"/>
      <c r="D456" s="157"/>
      <c r="E456" s="44"/>
      <c r="F456" s="127"/>
      <c r="G456" s="1"/>
      <c r="H456" s="161"/>
      <c r="I456" s="37"/>
      <c r="J456" s="135"/>
      <c r="K456" s="112"/>
      <c r="L456" s="37"/>
      <c r="M456" s="37"/>
      <c r="N456" s="37"/>
      <c r="O456" s="130"/>
      <c r="P456" s="132"/>
      <c r="Q456" s="262"/>
      <c r="R456" s="92"/>
    </row>
    <row r="457" spans="3:18" x14ac:dyDescent="0.25">
      <c r="C457" s="264"/>
      <c r="D457" s="157"/>
      <c r="E457" s="44"/>
      <c r="F457" s="127"/>
      <c r="G457" s="1"/>
      <c r="H457" s="161"/>
      <c r="I457" s="37"/>
      <c r="J457" s="135"/>
      <c r="K457" s="112"/>
      <c r="L457" s="37"/>
      <c r="M457" s="37"/>
      <c r="N457" s="37"/>
      <c r="O457" s="130"/>
      <c r="P457" s="132"/>
      <c r="Q457" s="262"/>
      <c r="R457" s="92"/>
    </row>
    <row r="458" spans="3:18" x14ac:dyDescent="0.25">
      <c r="C458" s="264"/>
      <c r="D458" s="157"/>
      <c r="E458" s="44"/>
      <c r="F458" s="127"/>
      <c r="G458" s="1"/>
      <c r="H458" s="161"/>
      <c r="I458" s="37"/>
      <c r="J458" s="135"/>
      <c r="K458" s="112"/>
      <c r="L458" s="37"/>
      <c r="M458" s="37"/>
      <c r="N458" s="37"/>
      <c r="O458" s="130"/>
      <c r="P458" s="132"/>
      <c r="Q458" s="262"/>
      <c r="R458" s="92"/>
    </row>
    <row r="459" spans="3:18" x14ac:dyDescent="0.25">
      <c r="C459" s="264"/>
      <c r="D459" s="157"/>
      <c r="E459" s="44"/>
      <c r="F459" s="127"/>
      <c r="G459" s="1"/>
      <c r="H459" s="161"/>
      <c r="I459" s="37"/>
      <c r="J459" s="135"/>
      <c r="K459" s="112"/>
      <c r="L459" s="37"/>
      <c r="M459" s="37"/>
      <c r="N459" s="37"/>
      <c r="O459" s="130"/>
      <c r="P459" s="132"/>
      <c r="Q459" s="262"/>
      <c r="R459" s="92"/>
    </row>
    <row r="460" spans="3:18" x14ac:dyDescent="0.25">
      <c r="C460" s="264"/>
      <c r="D460" s="157"/>
      <c r="E460" s="44"/>
      <c r="F460" s="127"/>
      <c r="G460" s="1"/>
      <c r="H460" s="161"/>
      <c r="I460" s="37"/>
      <c r="J460" s="135"/>
      <c r="K460" s="112"/>
      <c r="L460" s="37"/>
      <c r="M460" s="37"/>
      <c r="N460" s="37"/>
      <c r="O460" s="130"/>
      <c r="P460" s="132"/>
      <c r="Q460" s="262"/>
      <c r="R460" s="92"/>
    </row>
    <row r="461" spans="3:18" x14ac:dyDescent="0.25">
      <c r="C461" s="264"/>
      <c r="D461" s="157"/>
      <c r="E461" s="44"/>
      <c r="F461" s="127"/>
      <c r="G461" s="1"/>
      <c r="H461" s="161"/>
      <c r="I461" s="37"/>
      <c r="J461" s="135"/>
      <c r="K461" s="112"/>
      <c r="L461" s="37"/>
      <c r="M461" s="37"/>
      <c r="N461" s="37"/>
      <c r="O461" s="130"/>
      <c r="P461" s="132"/>
      <c r="Q461" s="262"/>
      <c r="R461" s="92"/>
    </row>
    <row r="462" spans="3:18" x14ac:dyDescent="0.25">
      <c r="C462" s="264"/>
      <c r="D462" s="157"/>
      <c r="E462" s="44"/>
      <c r="F462" s="127"/>
      <c r="G462" s="1"/>
      <c r="H462" s="161"/>
      <c r="I462" s="37"/>
      <c r="J462" s="135"/>
      <c r="K462" s="112"/>
      <c r="L462" s="37"/>
      <c r="M462" s="37"/>
      <c r="N462" s="37"/>
      <c r="O462" s="130"/>
      <c r="P462" s="132"/>
      <c r="Q462" s="262"/>
      <c r="R462" s="92"/>
    </row>
    <row r="463" spans="3:18" x14ac:dyDescent="0.25">
      <c r="C463" s="264"/>
      <c r="D463" s="157"/>
      <c r="E463" s="44"/>
      <c r="F463" s="127"/>
      <c r="G463" s="1"/>
      <c r="H463" s="161"/>
      <c r="I463" s="37"/>
      <c r="J463" s="135"/>
      <c r="K463" s="112"/>
      <c r="L463" s="37"/>
      <c r="M463" s="37"/>
      <c r="N463" s="37"/>
      <c r="O463" s="130"/>
      <c r="P463" s="132"/>
      <c r="Q463" s="262"/>
      <c r="R463" s="92"/>
    </row>
    <row r="464" spans="3:18" x14ac:dyDescent="0.25">
      <c r="C464" s="264"/>
      <c r="D464" s="157"/>
      <c r="E464" s="44"/>
      <c r="F464" s="127"/>
      <c r="G464" s="1"/>
      <c r="H464" s="161"/>
      <c r="I464" s="37"/>
      <c r="J464" s="135"/>
      <c r="K464" s="112"/>
      <c r="L464" s="37"/>
      <c r="M464" s="37"/>
      <c r="N464" s="37"/>
      <c r="O464" s="130"/>
      <c r="P464" s="132"/>
      <c r="Q464" s="262"/>
      <c r="R464" s="92"/>
    </row>
    <row r="465" spans="3:18" x14ac:dyDescent="0.25">
      <c r="C465" s="264"/>
      <c r="D465" s="157"/>
      <c r="E465" s="44"/>
      <c r="F465" s="127"/>
      <c r="G465" s="1"/>
      <c r="H465" s="161"/>
      <c r="I465" s="37"/>
      <c r="J465" s="135"/>
      <c r="K465" s="112"/>
      <c r="L465" s="37"/>
      <c r="M465" s="37"/>
      <c r="N465" s="37"/>
      <c r="O465" s="130"/>
      <c r="P465" s="132"/>
      <c r="Q465" s="262"/>
      <c r="R465" s="92"/>
    </row>
    <row r="466" spans="3:18" x14ac:dyDescent="0.25">
      <c r="C466" s="264"/>
      <c r="D466" s="157"/>
      <c r="E466" s="44"/>
      <c r="F466" s="127"/>
      <c r="G466" s="1"/>
      <c r="H466" s="161"/>
      <c r="I466" s="37"/>
      <c r="J466" s="135"/>
      <c r="K466" s="112"/>
      <c r="L466" s="37"/>
      <c r="M466" s="37"/>
      <c r="N466" s="37"/>
      <c r="O466" s="130"/>
      <c r="P466" s="132"/>
      <c r="Q466" s="262"/>
      <c r="R466" s="92"/>
    </row>
    <row r="467" spans="3:18" x14ac:dyDescent="0.25">
      <c r="C467" s="264"/>
      <c r="D467" s="157"/>
      <c r="E467" s="44"/>
      <c r="F467" s="127"/>
      <c r="G467" s="1"/>
      <c r="H467" s="161"/>
      <c r="I467" s="37"/>
      <c r="J467" s="135"/>
      <c r="K467" s="112"/>
      <c r="L467" s="37"/>
      <c r="M467" s="37"/>
      <c r="N467" s="37"/>
      <c r="O467" s="130"/>
      <c r="P467" s="132"/>
      <c r="Q467" s="262"/>
      <c r="R467" s="92"/>
    </row>
    <row r="468" spans="3:18" x14ac:dyDescent="0.25">
      <c r="C468" s="264"/>
      <c r="D468" s="157"/>
      <c r="E468" s="44"/>
      <c r="F468" s="127"/>
      <c r="G468" s="1"/>
      <c r="H468" s="161"/>
      <c r="I468" s="37"/>
      <c r="J468" s="135"/>
      <c r="K468" s="112"/>
      <c r="L468" s="37"/>
      <c r="M468" s="37"/>
      <c r="N468" s="37"/>
      <c r="O468" s="130"/>
      <c r="P468" s="132"/>
      <c r="Q468" s="262"/>
      <c r="R468" s="92"/>
    </row>
    <row r="469" spans="3:18" x14ac:dyDescent="0.25">
      <c r="C469" s="264"/>
      <c r="D469" s="157"/>
      <c r="E469" s="44"/>
      <c r="F469" s="127"/>
      <c r="G469" s="1"/>
      <c r="H469" s="161"/>
      <c r="I469" s="37"/>
      <c r="J469" s="135"/>
      <c r="K469" s="112"/>
      <c r="L469" s="37"/>
      <c r="M469" s="37"/>
      <c r="N469" s="37"/>
      <c r="O469" s="130"/>
      <c r="P469" s="132"/>
      <c r="Q469" s="262"/>
      <c r="R469" s="92"/>
    </row>
    <row r="470" spans="3:18" x14ac:dyDescent="0.25">
      <c r="C470" s="264"/>
      <c r="D470" s="157"/>
      <c r="E470" s="44"/>
      <c r="F470" s="127"/>
      <c r="G470" s="1"/>
      <c r="H470" s="161"/>
      <c r="I470" s="37"/>
      <c r="J470" s="135"/>
      <c r="K470" s="112"/>
      <c r="L470" s="37"/>
      <c r="M470" s="37"/>
      <c r="N470" s="37"/>
      <c r="O470" s="130"/>
      <c r="P470" s="132"/>
      <c r="Q470" s="262"/>
      <c r="R470" s="92"/>
    </row>
    <row r="471" spans="3:18" x14ac:dyDescent="0.25">
      <c r="C471" s="264"/>
      <c r="D471" s="157"/>
      <c r="E471" s="44"/>
      <c r="F471" s="127"/>
      <c r="G471" s="1"/>
      <c r="H471" s="161"/>
      <c r="I471" s="37"/>
      <c r="J471" s="135"/>
      <c r="K471" s="112"/>
      <c r="L471" s="37"/>
      <c r="M471" s="37"/>
      <c r="N471" s="37"/>
      <c r="O471" s="130"/>
      <c r="P471" s="132"/>
      <c r="Q471" s="262"/>
      <c r="R471" s="92"/>
    </row>
    <row r="472" spans="3:18" x14ac:dyDescent="0.25">
      <c r="C472" s="264"/>
      <c r="D472" s="157"/>
      <c r="E472" s="44"/>
      <c r="F472" s="127"/>
      <c r="G472" s="1"/>
      <c r="H472" s="161"/>
      <c r="I472" s="37"/>
      <c r="J472" s="135"/>
      <c r="K472" s="112"/>
      <c r="L472" s="37"/>
      <c r="M472" s="37"/>
      <c r="N472" s="37"/>
      <c r="O472" s="130"/>
      <c r="P472" s="132"/>
      <c r="Q472" s="262"/>
      <c r="R472" s="92"/>
    </row>
    <row r="473" spans="3:18" x14ac:dyDescent="0.25">
      <c r="C473" s="264"/>
      <c r="D473" s="157"/>
      <c r="E473" s="44"/>
      <c r="F473" s="127"/>
      <c r="G473" s="1"/>
      <c r="H473" s="161"/>
      <c r="I473" s="37"/>
      <c r="J473" s="135"/>
      <c r="K473" s="112"/>
      <c r="L473" s="37"/>
      <c r="M473" s="37"/>
      <c r="N473" s="37"/>
      <c r="O473" s="130"/>
      <c r="P473" s="132"/>
      <c r="Q473" s="262"/>
      <c r="R473" s="92"/>
    </row>
    <row r="474" spans="3:18" x14ac:dyDescent="0.25">
      <c r="C474" s="264"/>
      <c r="D474" s="157"/>
      <c r="E474" s="44"/>
      <c r="F474" s="127"/>
      <c r="G474" s="1"/>
      <c r="H474" s="161"/>
      <c r="I474" s="37"/>
      <c r="J474" s="135"/>
      <c r="K474" s="112"/>
      <c r="L474" s="37"/>
      <c r="M474" s="37"/>
      <c r="N474" s="37"/>
      <c r="O474" s="130"/>
      <c r="P474" s="132"/>
      <c r="Q474" s="262"/>
      <c r="R474" s="92"/>
    </row>
    <row r="475" spans="3:18" x14ac:dyDescent="0.25">
      <c r="C475" s="264"/>
      <c r="D475" s="157"/>
      <c r="E475" s="44"/>
      <c r="F475" s="127"/>
      <c r="G475" s="1"/>
      <c r="H475" s="161"/>
      <c r="I475" s="37"/>
      <c r="J475" s="135"/>
      <c r="K475" s="112"/>
      <c r="L475" s="37"/>
      <c r="M475" s="37"/>
      <c r="N475" s="37"/>
      <c r="O475" s="130"/>
      <c r="P475" s="132"/>
      <c r="Q475" s="262"/>
      <c r="R475" s="92"/>
    </row>
    <row r="476" spans="3:18" x14ac:dyDescent="0.25">
      <c r="C476" s="264"/>
      <c r="D476" s="157"/>
      <c r="E476" s="44"/>
      <c r="F476" s="127"/>
      <c r="G476" s="1"/>
      <c r="H476" s="161"/>
      <c r="I476" s="37"/>
      <c r="J476" s="135"/>
      <c r="K476" s="112"/>
      <c r="L476" s="37"/>
      <c r="M476" s="37"/>
      <c r="N476" s="37"/>
      <c r="O476" s="130"/>
      <c r="P476" s="132"/>
      <c r="Q476" s="262"/>
      <c r="R476" s="92"/>
    </row>
    <row r="477" spans="3:18" x14ac:dyDescent="0.25">
      <c r="C477" s="264"/>
      <c r="D477" s="157"/>
      <c r="E477" s="44"/>
      <c r="F477" s="127"/>
      <c r="G477" s="1"/>
      <c r="H477" s="161"/>
      <c r="I477" s="37"/>
      <c r="J477" s="135"/>
      <c r="K477" s="112"/>
      <c r="L477" s="37"/>
      <c r="M477" s="37"/>
      <c r="N477" s="37"/>
      <c r="O477" s="130"/>
      <c r="P477" s="132"/>
      <c r="Q477" s="262"/>
      <c r="R477" s="92"/>
    </row>
    <row r="478" spans="3:18" x14ac:dyDescent="0.25">
      <c r="C478" s="264"/>
      <c r="D478" s="157"/>
      <c r="E478" s="44"/>
      <c r="F478" s="127"/>
      <c r="G478" s="1"/>
      <c r="H478" s="161"/>
      <c r="I478" s="37"/>
      <c r="J478" s="135"/>
      <c r="K478" s="112"/>
      <c r="L478" s="37"/>
      <c r="M478" s="37"/>
      <c r="N478" s="37"/>
      <c r="O478" s="130"/>
      <c r="P478" s="132"/>
      <c r="Q478" s="262"/>
      <c r="R478" s="92"/>
    </row>
    <row r="479" spans="3:18" x14ac:dyDescent="0.25">
      <c r="C479" s="264"/>
      <c r="D479" s="157"/>
      <c r="E479" s="44"/>
      <c r="F479" s="127"/>
      <c r="G479" s="1"/>
      <c r="H479" s="161"/>
      <c r="I479" s="37"/>
      <c r="J479" s="135"/>
      <c r="K479" s="112"/>
      <c r="L479" s="37"/>
      <c r="M479" s="37"/>
      <c r="N479" s="37"/>
      <c r="O479" s="130"/>
      <c r="P479" s="132"/>
      <c r="Q479" s="262"/>
      <c r="R479" s="92"/>
    </row>
    <row r="480" spans="3:18" x14ac:dyDescent="0.25">
      <c r="C480" s="264"/>
      <c r="D480" s="157"/>
      <c r="E480" s="44"/>
      <c r="F480" s="127"/>
      <c r="G480" s="1"/>
      <c r="H480" s="161"/>
      <c r="I480" s="37"/>
      <c r="J480" s="135"/>
      <c r="K480" s="112"/>
      <c r="L480" s="37"/>
      <c r="M480" s="37"/>
      <c r="N480" s="37"/>
      <c r="O480" s="130"/>
      <c r="P480" s="132"/>
      <c r="Q480" s="262"/>
      <c r="R480" s="92"/>
    </row>
    <row r="481" spans="3:18" x14ac:dyDescent="0.25">
      <c r="C481" s="264"/>
      <c r="D481" s="157"/>
      <c r="E481" s="44"/>
      <c r="F481" s="127"/>
      <c r="G481" s="1"/>
      <c r="H481" s="161"/>
      <c r="I481" s="37"/>
      <c r="J481" s="135"/>
      <c r="K481" s="112"/>
      <c r="L481" s="37"/>
      <c r="M481" s="37"/>
      <c r="N481" s="37"/>
      <c r="O481" s="130"/>
      <c r="P481" s="132"/>
      <c r="Q481" s="262"/>
      <c r="R481" s="92"/>
    </row>
    <row r="482" spans="3:18" x14ac:dyDescent="0.25">
      <c r="C482" s="264"/>
      <c r="D482" s="157"/>
      <c r="E482" s="44"/>
      <c r="F482" s="127"/>
      <c r="G482" s="1"/>
      <c r="H482" s="161"/>
      <c r="I482" s="37"/>
      <c r="J482" s="135"/>
      <c r="K482" s="112"/>
      <c r="L482" s="37"/>
      <c r="M482" s="37"/>
      <c r="N482" s="37"/>
      <c r="O482" s="130"/>
      <c r="P482" s="132"/>
      <c r="Q482" s="262"/>
      <c r="R482" s="92"/>
    </row>
    <row r="483" spans="3:18" x14ac:dyDescent="0.25">
      <c r="C483" s="264"/>
      <c r="D483" s="157"/>
      <c r="E483" s="44"/>
      <c r="F483" s="127"/>
      <c r="G483" s="1"/>
      <c r="H483" s="161"/>
      <c r="I483" s="37"/>
      <c r="J483" s="135"/>
      <c r="K483" s="112"/>
      <c r="L483" s="37"/>
      <c r="M483" s="37"/>
      <c r="N483" s="37"/>
      <c r="O483" s="130"/>
      <c r="P483" s="132"/>
      <c r="Q483" s="262"/>
      <c r="R483" s="92"/>
    </row>
    <row r="484" spans="3:18" x14ac:dyDescent="0.25">
      <c r="C484" s="264"/>
      <c r="D484" s="157"/>
      <c r="E484" s="44"/>
      <c r="F484" s="127"/>
      <c r="G484" s="1"/>
      <c r="H484" s="161"/>
      <c r="I484" s="37"/>
      <c r="J484" s="135"/>
      <c r="K484" s="112"/>
      <c r="L484" s="37"/>
      <c r="M484" s="37"/>
      <c r="N484" s="37"/>
      <c r="O484" s="130"/>
      <c r="P484" s="132"/>
      <c r="Q484" s="262"/>
      <c r="R484" s="92"/>
    </row>
    <row r="485" spans="3:18" x14ac:dyDescent="0.25">
      <c r="C485" s="264"/>
      <c r="D485" s="157"/>
      <c r="E485" s="44"/>
      <c r="F485" s="127"/>
      <c r="G485" s="1"/>
      <c r="H485" s="161"/>
      <c r="I485" s="37"/>
      <c r="J485" s="135"/>
      <c r="K485" s="112"/>
      <c r="L485" s="37"/>
      <c r="M485" s="37"/>
      <c r="N485" s="37"/>
      <c r="O485" s="130"/>
      <c r="P485" s="132"/>
      <c r="Q485" s="262"/>
      <c r="R485" s="92"/>
    </row>
    <row r="486" spans="3:18" x14ac:dyDescent="0.25">
      <c r="C486" s="264"/>
      <c r="D486" s="157"/>
      <c r="E486" s="44"/>
      <c r="F486" s="127"/>
      <c r="G486" s="1"/>
      <c r="H486" s="161"/>
      <c r="I486" s="37"/>
      <c r="J486" s="135"/>
      <c r="K486" s="112"/>
      <c r="L486" s="37"/>
      <c r="M486" s="37"/>
      <c r="N486" s="37"/>
      <c r="O486" s="130"/>
      <c r="P486" s="132"/>
      <c r="Q486" s="262"/>
      <c r="R486" s="92"/>
    </row>
    <row r="487" spans="3:18" x14ac:dyDescent="0.25">
      <c r="C487" s="264"/>
      <c r="D487" s="157"/>
      <c r="E487" s="44"/>
      <c r="F487" s="127"/>
      <c r="G487" s="1"/>
      <c r="H487" s="161"/>
      <c r="I487" s="37"/>
      <c r="J487" s="135"/>
      <c r="K487" s="112"/>
      <c r="L487" s="37"/>
      <c r="M487" s="37"/>
      <c r="N487" s="37"/>
      <c r="O487" s="130"/>
      <c r="P487" s="132"/>
      <c r="Q487" s="262"/>
      <c r="R487" s="92"/>
    </row>
    <row r="488" spans="3:18" x14ac:dyDescent="0.25">
      <c r="C488" s="264"/>
      <c r="D488" s="157"/>
      <c r="E488" s="44"/>
      <c r="F488" s="127"/>
      <c r="G488" s="1"/>
      <c r="H488" s="161"/>
      <c r="I488" s="37"/>
      <c r="J488" s="135"/>
      <c r="K488" s="112"/>
      <c r="L488" s="37"/>
      <c r="M488" s="37"/>
      <c r="N488" s="37"/>
      <c r="O488" s="130"/>
      <c r="P488" s="132"/>
      <c r="Q488" s="262"/>
      <c r="R488" s="92"/>
    </row>
    <row r="489" spans="3:18" x14ac:dyDescent="0.25">
      <c r="C489" s="264"/>
      <c r="D489" s="157"/>
      <c r="E489" s="44"/>
      <c r="F489" s="127"/>
      <c r="G489" s="1"/>
      <c r="H489" s="161"/>
      <c r="I489" s="37"/>
      <c r="J489" s="135"/>
      <c r="K489" s="112"/>
      <c r="L489" s="37"/>
      <c r="M489" s="37"/>
      <c r="N489" s="37"/>
      <c r="O489" s="130"/>
      <c r="P489" s="132"/>
      <c r="Q489" s="262"/>
      <c r="R489" s="92"/>
    </row>
    <row r="490" spans="3:18" x14ac:dyDescent="0.25">
      <c r="C490" s="264"/>
      <c r="D490" s="157"/>
      <c r="E490" s="44"/>
      <c r="F490" s="127"/>
      <c r="G490" s="1"/>
      <c r="H490" s="161"/>
      <c r="I490" s="37"/>
      <c r="J490" s="135"/>
      <c r="K490" s="112"/>
      <c r="L490" s="37"/>
      <c r="M490" s="37"/>
      <c r="N490" s="37"/>
      <c r="O490" s="130"/>
      <c r="P490" s="132"/>
      <c r="Q490" s="262"/>
      <c r="R490" s="92"/>
    </row>
    <row r="491" spans="3:18" x14ac:dyDescent="0.25">
      <c r="C491" s="264"/>
      <c r="D491" s="157"/>
      <c r="E491" s="44"/>
      <c r="F491" s="127"/>
      <c r="G491" s="1"/>
      <c r="H491" s="161"/>
      <c r="I491" s="37"/>
      <c r="J491" s="135"/>
      <c r="K491" s="112"/>
      <c r="L491" s="37"/>
      <c r="M491" s="37"/>
      <c r="N491" s="37"/>
      <c r="O491" s="130"/>
      <c r="P491" s="132"/>
      <c r="Q491" s="262"/>
      <c r="R491" s="92"/>
    </row>
    <row r="492" spans="3:18" x14ac:dyDescent="0.25">
      <c r="C492" s="264"/>
      <c r="D492" s="157"/>
      <c r="E492" s="44"/>
      <c r="F492" s="127"/>
      <c r="G492" s="1"/>
      <c r="H492" s="161"/>
      <c r="I492" s="37"/>
      <c r="J492" s="135"/>
      <c r="K492" s="112"/>
      <c r="L492" s="37"/>
      <c r="M492" s="37"/>
      <c r="N492" s="37"/>
      <c r="O492" s="130"/>
      <c r="P492" s="132"/>
      <c r="Q492" s="262"/>
      <c r="R492" s="92"/>
    </row>
    <row r="493" spans="3:18" x14ac:dyDescent="0.25">
      <c r="C493" s="264"/>
      <c r="D493" s="157"/>
      <c r="E493" s="44"/>
      <c r="F493" s="127"/>
      <c r="G493" s="1"/>
      <c r="H493" s="161"/>
      <c r="I493" s="37"/>
      <c r="J493" s="135"/>
      <c r="K493" s="112"/>
      <c r="L493" s="37"/>
      <c r="M493" s="37"/>
      <c r="N493" s="37"/>
      <c r="O493" s="130"/>
      <c r="P493" s="132"/>
      <c r="Q493" s="262"/>
      <c r="R493" s="92"/>
    </row>
    <row r="494" spans="3:18" x14ac:dyDescent="0.25">
      <c r="C494" s="264"/>
      <c r="D494" s="157"/>
      <c r="E494" s="44"/>
      <c r="F494" s="127"/>
      <c r="G494" s="1"/>
      <c r="H494" s="161"/>
      <c r="I494" s="37"/>
      <c r="J494" s="135"/>
      <c r="K494" s="112"/>
      <c r="L494" s="37"/>
      <c r="M494" s="37"/>
      <c r="N494" s="37"/>
      <c r="O494" s="130"/>
      <c r="P494" s="132"/>
      <c r="Q494" s="262"/>
      <c r="R494" s="92"/>
    </row>
    <row r="495" spans="3:18" x14ac:dyDescent="0.25">
      <c r="C495" s="264"/>
      <c r="D495" s="157"/>
      <c r="E495" s="44"/>
      <c r="F495" s="127"/>
      <c r="G495" s="1"/>
      <c r="H495" s="161"/>
      <c r="I495" s="37"/>
      <c r="J495" s="135"/>
      <c r="K495" s="112"/>
      <c r="L495" s="37"/>
      <c r="M495" s="37"/>
      <c r="N495" s="37"/>
      <c r="O495" s="130"/>
      <c r="P495" s="132"/>
      <c r="Q495" s="262"/>
      <c r="R495" s="92"/>
    </row>
    <row r="496" spans="3:18" x14ac:dyDescent="0.25">
      <c r="C496" s="264"/>
      <c r="D496" s="157"/>
      <c r="E496" s="44"/>
      <c r="F496" s="127"/>
      <c r="G496" s="1"/>
      <c r="H496" s="161"/>
      <c r="I496" s="37"/>
      <c r="J496" s="135"/>
      <c r="K496" s="112"/>
      <c r="L496" s="37"/>
      <c r="M496" s="37"/>
      <c r="N496" s="37"/>
      <c r="O496" s="130"/>
      <c r="P496" s="132"/>
      <c r="Q496" s="262"/>
      <c r="R496" s="92"/>
    </row>
    <row r="497" spans="3:18" x14ac:dyDescent="0.25">
      <c r="C497" s="264"/>
      <c r="D497" s="157"/>
      <c r="E497" s="44"/>
      <c r="F497" s="127"/>
      <c r="G497" s="1"/>
      <c r="H497" s="161"/>
      <c r="I497" s="37"/>
      <c r="J497" s="135"/>
      <c r="K497" s="112"/>
      <c r="L497" s="37"/>
      <c r="M497" s="37"/>
      <c r="N497" s="37"/>
      <c r="O497" s="130"/>
      <c r="P497" s="132"/>
      <c r="Q497" s="262"/>
      <c r="R497" s="92"/>
    </row>
    <row r="498" spans="3:18" x14ac:dyDescent="0.25">
      <c r="C498" s="264"/>
      <c r="D498" s="157"/>
      <c r="E498" s="44"/>
      <c r="F498" s="127"/>
      <c r="G498" s="1"/>
      <c r="H498" s="161"/>
      <c r="I498" s="37"/>
      <c r="J498" s="135"/>
      <c r="K498" s="112"/>
      <c r="L498" s="37"/>
      <c r="M498" s="37"/>
      <c r="N498" s="37"/>
      <c r="O498" s="130"/>
      <c r="P498" s="132"/>
      <c r="Q498" s="262"/>
      <c r="R498" s="92"/>
    </row>
    <row r="499" spans="3:18" x14ac:dyDescent="0.25">
      <c r="C499" s="264"/>
      <c r="D499" s="157"/>
      <c r="E499" s="44"/>
      <c r="F499" s="127"/>
      <c r="G499" s="1"/>
      <c r="H499" s="161"/>
      <c r="I499" s="37"/>
      <c r="J499" s="135"/>
      <c r="K499" s="112"/>
      <c r="L499" s="37"/>
      <c r="M499" s="37"/>
      <c r="N499" s="37"/>
      <c r="O499" s="130"/>
      <c r="P499" s="132"/>
      <c r="Q499" s="262"/>
      <c r="R499" s="92"/>
    </row>
    <row r="500" spans="3:18" x14ac:dyDescent="0.25">
      <c r="C500" s="264"/>
      <c r="D500" s="157"/>
      <c r="E500" s="44"/>
      <c r="F500" s="127"/>
      <c r="G500" s="1"/>
      <c r="H500" s="161"/>
      <c r="I500" s="37"/>
      <c r="J500" s="135"/>
      <c r="K500" s="112"/>
      <c r="L500" s="37"/>
      <c r="M500" s="37"/>
      <c r="N500" s="37"/>
      <c r="O500" s="130"/>
      <c r="P500" s="132"/>
      <c r="Q500" s="262"/>
      <c r="R500" s="92"/>
    </row>
    <row r="501" spans="3:18" x14ac:dyDescent="0.25">
      <c r="C501" s="264"/>
      <c r="D501" s="157"/>
      <c r="E501" s="44"/>
      <c r="F501" s="127"/>
      <c r="G501" s="1"/>
      <c r="H501" s="161"/>
      <c r="I501" s="37"/>
      <c r="J501" s="135"/>
      <c r="K501" s="112"/>
      <c r="L501" s="37"/>
      <c r="M501" s="37"/>
      <c r="N501" s="37"/>
      <c r="O501" s="130"/>
      <c r="P501" s="132"/>
      <c r="Q501" s="262"/>
      <c r="R501" s="92"/>
    </row>
    <row r="502" spans="3:18" x14ac:dyDescent="0.25">
      <c r="C502" s="264"/>
      <c r="D502" s="157"/>
      <c r="E502" s="44"/>
      <c r="F502" s="127"/>
      <c r="G502" s="1"/>
      <c r="H502" s="161"/>
      <c r="I502" s="37"/>
      <c r="J502" s="135"/>
      <c r="K502" s="112"/>
      <c r="L502" s="37"/>
      <c r="M502" s="37"/>
      <c r="N502" s="37"/>
      <c r="O502" s="130"/>
      <c r="P502" s="132"/>
      <c r="Q502" s="262"/>
      <c r="R502" s="92"/>
    </row>
    <row r="503" spans="3:18" x14ac:dyDescent="0.25">
      <c r="C503" s="264"/>
      <c r="D503" s="157"/>
      <c r="E503" s="44"/>
      <c r="F503" s="127"/>
      <c r="G503" s="1"/>
      <c r="H503" s="161"/>
      <c r="I503" s="37"/>
      <c r="J503" s="135"/>
      <c r="K503" s="112"/>
      <c r="L503" s="37"/>
      <c r="M503" s="37"/>
      <c r="N503" s="37"/>
      <c r="O503" s="130"/>
      <c r="P503" s="132"/>
      <c r="Q503" s="262"/>
      <c r="R503" s="92"/>
    </row>
    <row r="504" spans="3:18" x14ac:dyDescent="0.25">
      <c r="C504" s="264"/>
      <c r="D504" s="157"/>
      <c r="E504" s="44"/>
      <c r="F504" s="127"/>
      <c r="G504" s="1"/>
      <c r="H504" s="161"/>
      <c r="I504" s="37"/>
      <c r="J504" s="135"/>
      <c r="K504" s="112"/>
      <c r="L504" s="37"/>
      <c r="M504" s="37"/>
      <c r="N504" s="37"/>
      <c r="O504" s="130"/>
      <c r="P504" s="132"/>
      <c r="Q504" s="262"/>
      <c r="R504" s="92"/>
    </row>
    <row r="505" spans="3:18" x14ac:dyDescent="0.25">
      <c r="C505" s="264"/>
      <c r="D505" s="157"/>
      <c r="E505" s="44"/>
      <c r="F505" s="127"/>
      <c r="G505" s="1"/>
      <c r="H505" s="161"/>
      <c r="I505" s="37"/>
      <c r="J505" s="135"/>
      <c r="K505" s="112"/>
      <c r="L505" s="37"/>
      <c r="M505" s="37"/>
      <c r="N505" s="37"/>
      <c r="O505" s="130"/>
      <c r="P505" s="132"/>
      <c r="Q505" s="262"/>
      <c r="R505" s="92"/>
    </row>
    <row r="506" spans="3:18" x14ac:dyDescent="0.25">
      <c r="C506" s="264"/>
      <c r="D506" s="157"/>
      <c r="E506" s="44"/>
      <c r="F506" s="127"/>
      <c r="G506" s="1"/>
      <c r="H506" s="161"/>
      <c r="I506" s="37"/>
      <c r="J506" s="135"/>
      <c r="K506" s="112"/>
      <c r="L506" s="37"/>
      <c r="M506" s="37"/>
      <c r="N506" s="37"/>
      <c r="O506" s="130"/>
      <c r="P506" s="132"/>
      <c r="Q506" s="262"/>
      <c r="R506" s="92"/>
    </row>
    <row r="507" spans="3:18" x14ac:dyDescent="0.25">
      <c r="C507" s="264"/>
      <c r="D507" s="157"/>
      <c r="E507" s="44"/>
      <c r="F507" s="127"/>
      <c r="G507" s="1"/>
      <c r="H507" s="161"/>
      <c r="I507" s="37"/>
      <c r="J507" s="135"/>
      <c r="K507" s="112"/>
      <c r="L507" s="37"/>
      <c r="M507" s="37"/>
      <c r="N507" s="37"/>
      <c r="O507" s="130"/>
      <c r="P507" s="132"/>
      <c r="Q507" s="262"/>
      <c r="R507" s="92"/>
    </row>
    <row r="508" spans="3:18" x14ac:dyDescent="0.25">
      <c r="C508" s="264"/>
      <c r="D508" s="157"/>
      <c r="E508" s="44"/>
      <c r="F508" s="127"/>
      <c r="G508" s="1"/>
      <c r="H508" s="161"/>
      <c r="I508" s="37"/>
      <c r="J508" s="135"/>
      <c r="K508" s="112"/>
      <c r="L508" s="37"/>
      <c r="M508" s="37"/>
      <c r="N508" s="37"/>
      <c r="O508" s="130"/>
      <c r="P508" s="132"/>
      <c r="Q508" s="262"/>
      <c r="R508" s="92"/>
    </row>
    <row r="509" spans="3:18" x14ac:dyDescent="0.25">
      <c r="C509" s="264"/>
      <c r="D509" s="157"/>
      <c r="E509" s="44"/>
      <c r="F509" s="127"/>
      <c r="G509" s="1"/>
      <c r="H509" s="161"/>
      <c r="I509" s="37"/>
      <c r="J509" s="135"/>
      <c r="K509" s="112"/>
      <c r="L509" s="37"/>
      <c r="M509" s="37"/>
      <c r="N509" s="37"/>
      <c r="O509" s="130"/>
      <c r="P509" s="132"/>
      <c r="Q509" s="262"/>
      <c r="R509" s="92"/>
    </row>
    <row r="510" spans="3:18" x14ac:dyDescent="0.25">
      <c r="C510" s="264"/>
      <c r="D510" s="157"/>
      <c r="E510" s="44"/>
      <c r="F510" s="127"/>
      <c r="G510" s="1"/>
      <c r="H510" s="161"/>
      <c r="I510" s="37"/>
      <c r="J510" s="135"/>
      <c r="K510" s="112"/>
      <c r="L510" s="37"/>
      <c r="M510" s="37"/>
      <c r="N510" s="37"/>
      <c r="O510" s="130"/>
      <c r="P510" s="132"/>
      <c r="Q510" s="262"/>
      <c r="R510" s="92"/>
    </row>
    <row r="511" spans="3:18" x14ac:dyDescent="0.25">
      <c r="C511" s="264"/>
      <c r="D511" s="157"/>
      <c r="E511" s="44"/>
      <c r="F511" s="127"/>
      <c r="G511" s="1"/>
      <c r="H511" s="161"/>
      <c r="I511" s="37"/>
      <c r="J511" s="135"/>
      <c r="K511" s="112"/>
      <c r="L511" s="37"/>
      <c r="M511" s="37"/>
      <c r="N511" s="37"/>
      <c r="O511" s="130"/>
      <c r="P511" s="132"/>
      <c r="Q511" s="262"/>
      <c r="R511" s="92"/>
    </row>
    <row r="512" spans="3:18" x14ac:dyDescent="0.25">
      <c r="C512" s="264"/>
      <c r="D512" s="157"/>
      <c r="E512" s="44"/>
      <c r="F512" s="127"/>
      <c r="G512" s="1"/>
      <c r="H512" s="161"/>
      <c r="I512" s="37"/>
      <c r="J512" s="135"/>
      <c r="K512" s="112"/>
      <c r="L512" s="37"/>
      <c r="M512" s="37"/>
      <c r="N512" s="37"/>
      <c r="O512" s="130"/>
      <c r="P512" s="132"/>
      <c r="Q512" s="262"/>
      <c r="R512" s="92"/>
    </row>
    <row r="513" spans="3:18" x14ac:dyDescent="0.25">
      <c r="C513" s="264"/>
      <c r="D513" s="157"/>
      <c r="E513" s="44"/>
      <c r="F513" s="127"/>
      <c r="G513" s="1"/>
      <c r="H513" s="161"/>
      <c r="I513" s="37"/>
      <c r="J513" s="135"/>
      <c r="K513" s="112"/>
      <c r="L513" s="37"/>
      <c r="M513" s="37"/>
      <c r="N513" s="37"/>
      <c r="O513" s="130"/>
      <c r="P513" s="132"/>
      <c r="Q513" s="262"/>
      <c r="R513" s="92"/>
    </row>
    <row r="514" spans="3:18" x14ac:dyDescent="0.25">
      <c r="C514" s="264"/>
      <c r="D514" s="157"/>
      <c r="E514" s="44"/>
      <c r="F514" s="127"/>
      <c r="G514" s="1"/>
      <c r="H514" s="161"/>
      <c r="I514" s="37"/>
      <c r="J514" s="135"/>
      <c r="K514" s="112"/>
      <c r="L514" s="37"/>
      <c r="M514" s="37"/>
      <c r="N514" s="37"/>
      <c r="O514" s="130"/>
      <c r="P514" s="132"/>
      <c r="Q514" s="262"/>
      <c r="R514" s="92"/>
    </row>
    <row r="515" spans="3:18" x14ac:dyDescent="0.25">
      <c r="C515" s="264"/>
      <c r="D515" s="157"/>
      <c r="E515" s="44"/>
      <c r="F515" s="127"/>
      <c r="G515" s="1"/>
      <c r="H515" s="161"/>
      <c r="I515" s="37"/>
      <c r="J515" s="135"/>
      <c r="K515" s="112"/>
      <c r="L515" s="37"/>
      <c r="M515" s="37"/>
      <c r="N515" s="37"/>
      <c r="O515" s="130"/>
      <c r="P515" s="132"/>
      <c r="Q515" s="262"/>
      <c r="R515" s="92"/>
    </row>
    <row r="516" spans="3:18" x14ac:dyDescent="0.25">
      <c r="C516" s="264"/>
      <c r="D516" s="157"/>
      <c r="E516" s="44"/>
      <c r="F516" s="127"/>
      <c r="G516" s="1"/>
      <c r="H516" s="161"/>
      <c r="I516" s="37"/>
      <c r="J516" s="135"/>
      <c r="K516" s="112"/>
      <c r="L516" s="37"/>
      <c r="M516" s="37"/>
      <c r="N516" s="37"/>
      <c r="O516" s="130"/>
      <c r="P516" s="132"/>
      <c r="Q516" s="262"/>
      <c r="R516" s="92"/>
    </row>
    <row r="517" spans="3:18" x14ac:dyDescent="0.25">
      <c r="C517" s="264"/>
      <c r="D517" s="157"/>
      <c r="E517" s="44"/>
      <c r="F517" s="127"/>
      <c r="G517" s="1"/>
      <c r="H517" s="161"/>
      <c r="I517" s="37"/>
      <c r="J517" s="135"/>
      <c r="K517" s="112"/>
      <c r="L517" s="37"/>
      <c r="M517" s="37"/>
      <c r="N517" s="37"/>
      <c r="O517" s="130"/>
      <c r="P517" s="132"/>
      <c r="Q517" s="262"/>
      <c r="R517" s="92"/>
    </row>
    <row r="518" spans="3:18" x14ac:dyDescent="0.25">
      <c r="C518" s="264"/>
      <c r="D518" s="157"/>
      <c r="E518" s="44"/>
      <c r="F518" s="127"/>
      <c r="G518" s="1"/>
      <c r="H518" s="161"/>
      <c r="I518" s="37"/>
      <c r="J518" s="135"/>
      <c r="K518" s="112"/>
      <c r="L518" s="37"/>
      <c r="M518" s="37"/>
      <c r="N518" s="37"/>
      <c r="O518" s="130"/>
      <c r="P518" s="132"/>
      <c r="Q518" s="262"/>
      <c r="R518" s="92"/>
    </row>
    <row r="519" spans="3:18" x14ac:dyDescent="0.25">
      <c r="C519" s="264"/>
      <c r="D519" s="157"/>
      <c r="E519" s="44"/>
      <c r="F519" s="127"/>
      <c r="G519" s="1"/>
      <c r="H519" s="161"/>
      <c r="I519" s="37"/>
      <c r="J519" s="135"/>
      <c r="K519" s="112"/>
      <c r="L519" s="37"/>
      <c r="M519" s="37"/>
      <c r="N519" s="37"/>
      <c r="O519" s="130"/>
      <c r="P519" s="132"/>
      <c r="Q519" s="262"/>
      <c r="R519" s="92"/>
    </row>
    <row r="520" spans="3:18" x14ac:dyDescent="0.25">
      <c r="C520" s="264"/>
      <c r="D520" s="157"/>
      <c r="E520" s="44"/>
      <c r="F520" s="127"/>
      <c r="G520" s="1"/>
      <c r="H520" s="161"/>
      <c r="I520" s="37"/>
      <c r="J520" s="135"/>
      <c r="K520" s="112"/>
      <c r="L520" s="37"/>
      <c r="M520" s="37"/>
      <c r="N520" s="37"/>
      <c r="O520" s="130"/>
      <c r="P520" s="132"/>
      <c r="Q520" s="262"/>
      <c r="R520" s="92"/>
    </row>
    <row r="521" spans="3:18" x14ac:dyDescent="0.25">
      <c r="C521" s="264"/>
      <c r="D521" s="157"/>
      <c r="E521" s="44"/>
      <c r="F521" s="127"/>
      <c r="G521" s="1"/>
      <c r="H521" s="161"/>
      <c r="I521" s="37"/>
      <c r="J521" s="135"/>
      <c r="K521" s="112"/>
      <c r="L521" s="37"/>
      <c r="M521" s="37"/>
      <c r="N521" s="37"/>
      <c r="O521" s="130"/>
      <c r="P521" s="132"/>
      <c r="Q521" s="262"/>
      <c r="R521" s="92"/>
    </row>
    <row r="522" spans="3:18" x14ac:dyDescent="0.25">
      <c r="C522" s="264"/>
      <c r="D522" s="157"/>
      <c r="E522" s="44"/>
      <c r="F522" s="127"/>
      <c r="G522" s="1"/>
      <c r="H522" s="161"/>
      <c r="I522" s="37"/>
      <c r="J522" s="135"/>
      <c r="K522" s="112"/>
      <c r="L522" s="37"/>
      <c r="M522" s="37"/>
      <c r="N522" s="37"/>
      <c r="O522" s="130"/>
      <c r="P522" s="132"/>
      <c r="Q522" s="262"/>
      <c r="R522" s="92"/>
    </row>
    <row r="523" spans="3:18" x14ac:dyDescent="0.25">
      <c r="C523" s="264"/>
      <c r="D523" s="157"/>
      <c r="E523" s="44"/>
      <c r="F523" s="127"/>
      <c r="G523" s="1"/>
      <c r="H523" s="161"/>
      <c r="I523" s="37"/>
      <c r="J523" s="135"/>
      <c r="K523" s="112"/>
      <c r="L523" s="37"/>
      <c r="M523" s="37"/>
      <c r="N523" s="37"/>
      <c r="O523" s="130"/>
      <c r="P523" s="132"/>
      <c r="Q523" s="262"/>
      <c r="R523" s="92"/>
    </row>
    <row r="524" spans="3:18" x14ac:dyDescent="0.25">
      <c r="C524" s="264"/>
      <c r="D524" s="157"/>
      <c r="E524" s="44"/>
      <c r="F524" s="127"/>
      <c r="G524" s="1"/>
      <c r="H524" s="161"/>
      <c r="I524" s="37"/>
      <c r="J524" s="135"/>
      <c r="K524" s="112"/>
      <c r="L524" s="37"/>
      <c r="M524" s="37"/>
      <c r="N524" s="37"/>
      <c r="O524" s="130"/>
      <c r="P524" s="132"/>
      <c r="Q524" s="262"/>
      <c r="R524" s="92"/>
    </row>
    <row r="525" spans="3:18" x14ac:dyDescent="0.25">
      <c r="C525" s="264"/>
      <c r="D525" s="157"/>
      <c r="E525" s="44"/>
      <c r="F525" s="127"/>
      <c r="G525" s="1"/>
      <c r="H525" s="161"/>
      <c r="I525" s="37"/>
      <c r="J525" s="135"/>
      <c r="K525" s="112"/>
      <c r="L525" s="37"/>
      <c r="M525" s="37"/>
      <c r="N525" s="37"/>
      <c r="O525" s="130"/>
      <c r="P525" s="132"/>
      <c r="Q525" s="262"/>
      <c r="R525" s="92"/>
    </row>
    <row r="526" spans="3:18" x14ac:dyDescent="0.25">
      <c r="C526" s="264"/>
      <c r="D526" s="157"/>
      <c r="E526" s="44"/>
      <c r="F526" s="127"/>
      <c r="G526" s="1"/>
      <c r="H526" s="161"/>
      <c r="I526" s="37"/>
      <c r="J526" s="135"/>
      <c r="K526" s="112"/>
      <c r="L526" s="37"/>
      <c r="M526" s="37"/>
      <c r="N526" s="37"/>
      <c r="O526" s="130"/>
      <c r="P526" s="132"/>
      <c r="Q526" s="262"/>
      <c r="R526" s="92"/>
    </row>
    <row r="527" spans="3:18" x14ac:dyDescent="0.25">
      <c r="C527" s="264"/>
      <c r="D527" s="157"/>
      <c r="E527" s="44"/>
      <c r="F527" s="127"/>
      <c r="G527" s="1"/>
      <c r="H527" s="161"/>
      <c r="I527" s="37"/>
      <c r="J527" s="135"/>
      <c r="K527" s="112"/>
      <c r="L527" s="37"/>
      <c r="M527" s="37"/>
      <c r="N527" s="37"/>
      <c r="O527" s="130"/>
      <c r="P527" s="132"/>
      <c r="Q527" s="262"/>
      <c r="R527" s="92"/>
    </row>
    <row r="528" spans="3:18" x14ac:dyDescent="0.25">
      <c r="C528" s="264"/>
      <c r="D528" s="157"/>
      <c r="E528" s="44"/>
      <c r="F528" s="127"/>
      <c r="G528" s="1"/>
      <c r="H528" s="161"/>
      <c r="I528" s="37"/>
      <c r="J528" s="135"/>
      <c r="K528" s="112"/>
      <c r="L528" s="37"/>
      <c r="M528" s="37"/>
      <c r="N528" s="37"/>
      <c r="O528" s="130"/>
      <c r="P528" s="132"/>
      <c r="Q528" s="262"/>
      <c r="R528" s="92"/>
    </row>
    <row r="529" spans="3:18" x14ac:dyDescent="0.25">
      <c r="C529" s="264"/>
      <c r="D529" s="157"/>
      <c r="E529" s="44"/>
      <c r="F529" s="127"/>
      <c r="G529" s="1"/>
      <c r="H529" s="161"/>
      <c r="I529" s="37"/>
      <c r="J529" s="135"/>
      <c r="K529" s="112"/>
      <c r="L529" s="37"/>
      <c r="M529" s="37"/>
      <c r="N529" s="37"/>
      <c r="O529" s="130"/>
      <c r="P529" s="132"/>
      <c r="Q529" s="262"/>
      <c r="R529" s="92"/>
    </row>
    <row r="530" spans="3:18" x14ac:dyDescent="0.25">
      <c r="C530" s="264"/>
      <c r="D530" s="157"/>
      <c r="E530" s="44"/>
      <c r="F530" s="127"/>
      <c r="G530" s="1"/>
      <c r="H530" s="161"/>
      <c r="I530" s="37"/>
      <c r="J530" s="135"/>
      <c r="K530" s="112"/>
      <c r="L530" s="37"/>
      <c r="M530" s="37"/>
      <c r="N530" s="37"/>
      <c r="O530" s="130"/>
      <c r="P530" s="132"/>
      <c r="Q530" s="262"/>
      <c r="R530" s="92"/>
    </row>
    <row r="531" spans="3:18" x14ac:dyDescent="0.25">
      <c r="C531" s="264"/>
      <c r="D531" s="157"/>
      <c r="E531" s="44"/>
      <c r="F531" s="127"/>
      <c r="G531" s="1"/>
      <c r="H531" s="161"/>
      <c r="I531" s="37"/>
      <c r="J531" s="135"/>
      <c r="K531" s="112"/>
      <c r="L531" s="37"/>
      <c r="M531" s="37"/>
      <c r="N531" s="37"/>
      <c r="O531" s="130"/>
      <c r="P531" s="132"/>
      <c r="Q531" s="262"/>
      <c r="R531" s="92"/>
    </row>
    <row r="532" spans="3:18" x14ac:dyDescent="0.25">
      <c r="C532" s="264"/>
      <c r="D532" s="157"/>
      <c r="E532" s="44"/>
      <c r="F532" s="127"/>
      <c r="G532" s="1"/>
      <c r="H532" s="161"/>
      <c r="I532" s="37"/>
      <c r="J532" s="135"/>
      <c r="K532" s="112"/>
      <c r="L532" s="37"/>
      <c r="M532" s="37"/>
      <c r="N532" s="37"/>
      <c r="O532" s="130"/>
      <c r="P532" s="132"/>
      <c r="Q532" s="262"/>
      <c r="R532" s="92"/>
    </row>
    <row r="533" spans="3:18" x14ac:dyDescent="0.25">
      <c r="C533" s="264"/>
      <c r="D533" s="157"/>
      <c r="E533" s="44"/>
      <c r="F533" s="127"/>
      <c r="G533" s="1"/>
      <c r="H533" s="161"/>
      <c r="I533" s="37"/>
      <c r="J533" s="135"/>
      <c r="K533" s="112"/>
      <c r="L533" s="37"/>
      <c r="M533" s="37"/>
      <c r="N533" s="37"/>
      <c r="O533" s="130"/>
      <c r="P533" s="132"/>
      <c r="Q533" s="262"/>
      <c r="R533" s="92"/>
    </row>
    <row r="534" spans="3:18" x14ac:dyDescent="0.25">
      <c r="C534" s="264"/>
      <c r="D534" s="157"/>
      <c r="E534" s="44"/>
      <c r="F534" s="127"/>
      <c r="G534" s="1"/>
      <c r="H534" s="161"/>
      <c r="I534" s="37"/>
      <c r="J534" s="135"/>
      <c r="K534" s="112"/>
      <c r="L534" s="37"/>
      <c r="M534" s="37"/>
      <c r="N534" s="37"/>
      <c r="O534" s="130"/>
      <c r="P534" s="132"/>
      <c r="Q534" s="262"/>
      <c r="R534" s="92"/>
    </row>
    <row r="535" spans="3:18" x14ac:dyDescent="0.25">
      <c r="C535" s="264"/>
      <c r="D535" s="157"/>
      <c r="E535" s="44"/>
      <c r="F535" s="127"/>
      <c r="G535" s="1"/>
      <c r="H535" s="161"/>
      <c r="I535" s="37"/>
      <c r="J535" s="135"/>
      <c r="K535" s="112"/>
      <c r="L535" s="37"/>
      <c r="M535" s="37"/>
      <c r="N535" s="37"/>
      <c r="O535" s="130"/>
      <c r="P535" s="132"/>
      <c r="Q535" s="262"/>
      <c r="R535" s="92"/>
    </row>
    <row r="536" spans="3:18" x14ac:dyDescent="0.25">
      <c r="C536" s="264"/>
      <c r="D536" s="157"/>
      <c r="E536" s="44"/>
      <c r="F536" s="127"/>
      <c r="G536" s="1"/>
      <c r="H536" s="161"/>
      <c r="I536" s="37"/>
      <c r="J536" s="135"/>
      <c r="K536" s="112"/>
      <c r="L536" s="37"/>
      <c r="M536" s="37"/>
      <c r="N536" s="37"/>
      <c r="O536" s="130"/>
      <c r="P536" s="132"/>
      <c r="Q536" s="262"/>
      <c r="R536" s="92"/>
    </row>
    <row r="537" spans="3:18" x14ac:dyDescent="0.25">
      <c r="C537" s="264"/>
      <c r="D537" s="157"/>
      <c r="E537" s="44"/>
      <c r="F537" s="127"/>
      <c r="G537" s="1"/>
      <c r="H537" s="161"/>
      <c r="I537" s="37"/>
      <c r="J537" s="135"/>
      <c r="K537" s="112"/>
      <c r="L537" s="37"/>
      <c r="M537" s="37"/>
      <c r="N537" s="37"/>
      <c r="O537" s="130"/>
      <c r="P537" s="132"/>
      <c r="Q537" s="262"/>
      <c r="R537" s="92"/>
    </row>
    <row r="538" spans="3:18" x14ac:dyDescent="0.25">
      <c r="C538" s="264"/>
      <c r="D538" s="157"/>
      <c r="E538" s="44"/>
      <c r="F538" s="127"/>
      <c r="G538" s="1"/>
      <c r="H538" s="161"/>
      <c r="I538" s="37"/>
      <c r="J538" s="135"/>
      <c r="K538" s="112"/>
      <c r="L538" s="37"/>
      <c r="M538" s="37"/>
      <c r="N538" s="37"/>
      <c r="O538" s="130"/>
      <c r="P538" s="132"/>
      <c r="Q538" s="262"/>
      <c r="R538" s="92"/>
    </row>
    <row r="539" spans="3:18" x14ac:dyDescent="0.25">
      <c r="C539" s="264"/>
      <c r="D539" s="157"/>
      <c r="E539" s="44"/>
      <c r="F539" s="127"/>
      <c r="G539" s="1"/>
      <c r="H539" s="161"/>
      <c r="I539" s="37"/>
      <c r="J539" s="135"/>
      <c r="K539" s="112"/>
      <c r="L539" s="37"/>
      <c r="M539" s="37"/>
      <c r="N539" s="37"/>
      <c r="O539" s="130"/>
      <c r="P539" s="132"/>
      <c r="Q539" s="262"/>
      <c r="R539" s="92"/>
    </row>
    <row r="540" spans="3:18" x14ac:dyDescent="0.25">
      <c r="C540" s="264"/>
      <c r="D540" s="157"/>
      <c r="E540" s="44"/>
      <c r="F540" s="127"/>
      <c r="G540" s="1"/>
      <c r="H540" s="161"/>
      <c r="I540" s="37"/>
      <c r="J540" s="135"/>
      <c r="K540" s="112"/>
      <c r="L540" s="37"/>
      <c r="M540" s="37"/>
      <c r="N540" s="37"/>
      <c r="O540" s="130"/>
      <c r="P540" s="132"/>
      <c r="Q540" s="262"/>
      <c r="R540" s="92"/>
    </row>
    <row r="541" spans="3:18" x14ac:dyDescent="0.25">
      <c r="C541" s="264"/>
      <c r="D541" s="157"/>
      <c r="E541" s="44"/>
      <c r="F541" s="127"/>
      <c r="G541" s="1"/>
      <c r="H541" s="161"/>
      <c r="I541" s="37"/>
      <c r="J541" s="135"/>
      <c r="K541" s="112"/>
      <c r="L541" s="37"/>
      <c r="M541" s="37"/>
      <c r="N541" s="37"/>
      <c r="O541" s="130"/>
      <c r="P541" s="132"/>
      <c r="Q541" s="262"/>
      <c r="R541" s="92"/>
    </row>
    <row r="542" spans="3:18" x14ac:dyDescent="0.25">
      <c r="C542" s="264"/>
      <c r="D542" s="157"/>
      <c r="E542" s="44"/>
      <c r="F542" s="127"/>
      <c r="G542" s="1"/>
      <c r="H542" s="161"/>
      <c r="I542" s="37"/>
      <c r="J542" s="135"/>
      <c r="K542" s="112"/>
      <c r="L542" s="37"/>
      <c r="M542" s="37"/>
      <c r="N542" s="37"/>
      <c r="O542" s="130"/>
      <c r="P542" s="132"/>
      <c r="Q542" s="262"/>
      <c r="R542" s="92"/>
    </row>
    <row r="543" spans="3:18" x14ac:dyDescent="0.25">
      <c r="C543" s="264"/>
      <c r="D543" s="157"/>
      <c r="E543" s="44"/>
      <c r="F543" s="127"/>
      <c r="G543" s="1"/>
      <c r="H543" s="161"/>
      <c r="I543" s="37"/>
      <c r="J543" s="135"/>
      <c r="K543" s="112"/>
      <c r="L543" s="37"/>
      <c r="M543" s="37"/>
      <c r="N543" s="37"/>
      <c r="O543" s="130"/>
      <c r="P543" s="132"/>
      <c r="Q543" s="262"/>
      <c r="R543" s="92"/>
    </row>
    <row r="544" spans="3:18" x14ac:dyDescent="0.25">
      <c r="C544" s="264"/>
      <c r="D544" s="157"/>
      <c r="E544" s="44"/>
      <c r="F544" s="127"/>
      <c r="G544" s="1"/>
      <c r="H544" s="161"/>
      <c r="I544" s="37"/>
      <c r="J544" s="135"/>
      <c r="K544" s="112"/>
      <c r="L544" s="37"/>
      <c r="M544" s="37"/>
      <c r="N544" s="37"/>
      <c r="O544" s="130"/>
      <c r="P544" s="132"/>
      <c r="Q544" s="262"/>
      <c r="R544" s="92"/>
    </row>
    <row r="545" spans="3:18" x14ac:dyDescent="0.25">
      <c r="C545" s="264"/>
      <c r="D545" s="157"/>
      <c r="E545" s="44"/>
      <c r="F545" s="127"/>
      <c r="G545" s="1"/>
      <c r="H545" s="161"/>
      <c r="I545" s="37"/>
      <c r="J545" s="135"/>
      <c r="K545" s="112"/>
      <c r="L545" s="37"/>
      <c r="M545" s="37"/>
      <c r="N545" s="37"/>
      <c r="O545" s="130"/>
      <c r="P545" s="132"/>
      <c r="Q545" s="262"/>
      <c r="R545" s="92"/>
    </row>
    <row r="546" spans="3:18" x14ac:dyDescent="0.25">
      <c r="C546" s="264"/>
      <c r="D546" s="157"/>
      <c r="E546" s="44"/>
      <c r="F546" s="127"/>
      <c r="G546" s="1"/>
      <c r="H546" s="161"/>
      <c r="I546" s="37"/>
      <c r="J546" s="135"/>
      <c r="K546" s="112"/>
      <c r="L546" s="37"/>
      <c r="M546" s="37"/>
      <c r="N546" s="37"/>
      <c r="O546" s="130"/>
      <c r="P546" s="132"/>
      <c r="Q546" s="262"/>
      <c r="R546" s="92"/>
    </row>
    <row r="547" spans="3:18" x14ac:dyDescent="0.25">
      <c r="C547" s="264"/>
      <c r="D547" s="157"/>
      <c r="E547" s="44"/>
      <c r="F547" s="127"/>
      <c r="G547" s="1"/>
      <c r="H547" s="161"/>
      <c r="I547" s="37"/>
      <c r="J547" s="135"/>
      <c r="K547" s="112"/>
      <c r="L547" s="37"/>
      <c r="M547" s="37"/>
      <c r="N547" s="37"/>
      <c r="O547" s="130"/>
      <c r="P547" s="132"/>
      <c r="Q547" s="262"/>
      <c r="R547" s="92"/>
    </row>
    <row r="548" spans="3:18" x14ac:dyDescent="0.25">
      <c r="C548" s="264"/>
      <c r="D548" s="157"/>
      <c r="E548" s="44"/>
      <c r="F548" s="127"/>
      <c r="G548" s="1"/>
      <c r="H548" s="161"/>
      <c r="I548" s="37"/>
      <c r="J548" s="135"/>
      <c r="K548" s="112"/>
      <c r="L548" s="37"/>
      <c r="M548" s="37"/>
      <c r="N548" s="37"/>
      <c r="O548" s="130"/>
      <c r="P548" s="132"/>
      <c r="Q548" s="262"/>
      <c r="R548" s="92"/>
    </row>
    <row r="549" spans="3:18" x14ac:dyDescent="0.25">
      <c r="C549" s="264"/>
      <c r="D549" s="157"/>
      <c r="E549" s="44"/>
      <c r="F549" s="127"/>
      <c r="G549" s="1"/>
      <c r="H549" s="161"/>
      <c r="I549" s="37"/>
      <c r="J549" s="135"/>
      <c r="K549" s="112"/>
      <c r="L549" s="37"/>
      <c r="M549" s="37"/>
      <c r="N549" s="37"/>
      <c r="O549" s="130"/>
      <c r="P549" s="132"/>
      <c r="Q549" s="262"/>
      <c r="R549" s="92"/>
    </row>
    <row r="550" spans="3:18" x14ac:dyDescent="0.25">
      <c r="C550" s="264"/>
      <c r="D550" s="157"/>
      <c r="E550" s="44"/>
      <c r="F550" s="127"/>
      <c r="G550" s="1"/>
      <c r="H550" s="161"/>
      <c r="I550" s="37"/>
      <c r="J550" s="135"/>
      <c r="K550" s="112"/>
      <c r="L550" s="37"/>
      <c r="M550" s="37"/>
      <c r="N550" s="37"/>
      <c r="O550" s="130"/>
      <c r="P550" s="132"/>
      <c r="Q550" s="262"/>
      <c r="R550" s="92"/>
    </row>
    <row r="551" spans="3:18" x14ac:dyDescent="0.25">
      <c r="C551" s="264"/>
      <c r="D551" s="157"/>
      <c r="E551" s="44"/>
      <c r="F551" s="127"/>
      <c r="G551" s="1"/>
      <c r="H551" s="161"/>
      <c r="I551" s="37"/>
      <c r="J551" s="135"/>
      <c r="K551" s="112"/>
      <c r="L551" s="37"/>
      <c r="M551" s="37"/>
      <c r="N551" s="37"/>
      <c r="O551" s="130"/>
      <c r="P551" s="132"/>
      <c r="Q551" s="262"/>
      <c r="R551" s="92"/>
    </row>
    <row r="552" spans="3:18" x14ac:dyDescent="0.25">
      <c r="C552" s="264"/>
      <c r="D552" s="157"/>
      <c r="E552" s="44"/>
      <c r="F552" s="127"/>
      <c r="G552" s="1"/>
      <c r="H552" s="161"/>
      <c r="I552" s="37"/>
      <c r="J552" s="135"/>
      <c r="K552" s="112"/>
      <c r="L552" s="37"/>
      <c r="M552" s="37"/>
      <c r="N552" s="37"/>
      <c r="O552" s="130"/>
      <c r="P552" s="132"/>
      <c r="Q552" s="262"/>
      <c r="R552" s="92"/>
    </row>
    <row r="553" spans="3:18" x14ac:dyDescent="0.25">
      <c r="C553" s="264"/>
      <c r="D553" s="157"/>
      <c r="E553" s="44"/>
      <c r="F553" s="127"/>
      <c r="G553" s="1"/>
      <c r="H553" s="161"/>
      <c r="I553" s="37"/>
      <c r="J553" s="135"/>
      <c r="K553" s="112"/>
      <c r="L553" s="37"/>
      <c r="M553" s="37"/>
      <c r="N553" s="37"/>
      <c r="O553" s="130"/>
      <c r="P553" s="132"/>
      <c r="Q553" s="262"/>
      <c r="R553" s="92"/>
    </row>
    <row r="554" spans="3:18" x14ac:dyDescent="0.25">
      <c r="C554" s="264"/>
      <c r="D554" s="157"/>
      <c r="E554" s="44"/>
      <c r="F554" s="127"/>
      <c r="G554" s="1"/>
      <c r="H554" s="161"/>
      <c r="I554" s="37"/>
      <c r="J554" s="135"/>
      <c r="K554" s="112"/>
      <c r="L554" s="37"/>
      <c r="M554" s="37"/>
      <c r="N554" s="37"/>
      <c r="O554" s="130"/>
      <c r="P554" s="132"/>
      <c r="Q554" s="262"/>
      <c r="R554" s="92"/>
    </row>
    <row r="555" spans="3:18" x14ac:dyDescent="0.25">
      <c r="C555" s="264"/>
      <c r="D555" s="157"/>
      <c r="E555" s="44"/>
      <c r="F555" s="127"/>
      <c r="G555" s="1"/>
      <c r="H555" s="161"/>
      <c r="I555" s="37"/>
      <c r="J555" s="135"/>
      <c r="K555" s="112"/>
      <c r="L555" s="37"/>
      <c r="M555" s="37"/>
      <c r="N555" s="37"/>
      <c r="O555" s="130"/>
      <c r="P555" s="132"/>
      <c r="Q555" s="262"/>
      <c r="R555" s="92"/>
    </row>
    <row r="556" spans="3:18" x14ac:dyDescent="0.25">
      <c r="C556" s="264"/>
      <c r="D556" s="157"/>
      <c r="E556" s="44"/>
      <c r="F556" s="127"/>
      <c r="G556" s="1"/>
      <c r="H556" s="161"/>
      <c r="I556" s="37"/>
      <c r="J556" s="135"/>
      <c r="K556" s="112"/>
      <c r="L556" s="37"/>
      <c r="M556" s="37"/>
      <c r="N556" s="37"/>
      <c r="O556" s="130"/>
      <c r="P556" s="132"/>
      <c r="Q556" s="262"/>
      <c r="R556" s="92"/>
    </row>
    <row r="557" spans="3:18" x14ac:dyDescent="0.25">
      <c r="C557" s="264"/>
      <c r="D557" s="157"/>
      <c r="E557" s="44"/>
      <c r="F557" s="127"/>
      <c r="G557" s="1"/>
      <c r="H557" s="161"/>
      <c r="I557" s="37"/>
      <c r="J557" s="135"/>
      <c r="K557" s="112"/>
      <c r="L557" s="37"/>
      <c r="M557" s="37"/>
      <c r="N557" s="37"/>
      <c r="O557" s="130"/>
      <c r="P557" s="132"/>
      <c r="Q557" s="262"/>
      <c r="R557" s="92"/>
    </row>
    <row r="558" spans="3:18" x14ac:dyDescent="0.25">
      <c r="C558" s="264"/>
      <c r="D558" s="157"/>
      <c r="E558" s="44"/>
      <c r="F558" s="127"/>
      <c r="G558" s="1"/>
      <c r="H558" s="161"/>
      <c r="I558" s="37"/>
      <c r="J558" s="135"/>
      <c r="K558" s="112"/>
      <c r="L558" s="37"/>
      <c r="M558" s="37"/>
      <c r="N558" s="37"/>
      <c r="O558" s="130"/>
      <c r="P558" s="132"/>
      <c r="Q558" s="262"/>
      <c r="R558" s="92"/>
    </row>
    <row r="559" spans="3:18" x14ac:dyDescent="0.25">
      <c r="C559" s="264"/>
      <c r="D559" s="157"/>
      <c r="E559" s="44"/>
      <c r="F559" s="127"/>
      <c r="G559" s="1"/>
      <c r="H559" s="161"/>
      <c r="I559" s="37"/>
      <c r="J559" s="135"/>
      <c r="K559" s="112"/>
      <c r="L559" s="37"/>
      <c r="M559" s="37"/>
      <c r="N559" s="37"/>
      <c r="O559" s="130"/>
      <c r="P559" s="132"/>
      <c r="Q559" s="262"/>
      <c r="R559" s="92"/>
    </row>
    <row r="560" spans="3:18" x14ac:dyDescent="0.25">
      <c r="C560" s="264"/>
      <c r="D560" s="157"/>
      <c r="E560" s="44"/>
      <c r="F560" s="127"/>
      <c r="G560" s="1"/>
      <c r="H560" s="161"/>
      <c r="I560" s="37"/>
      <c r="J560" s="135"/>
      <c r="K560" s="112"/>
      <c r="L560" s="37"/>
      <c r="M560" s="37"/>
      <c r="N560" s="37"/>
      <c r="O560" s="130"/>
      <c r="P560" s="132"/>
      <c r="Q560" s="262"/>
      <c r="R560" s="92"/>
    </row>
    <row r="561" spans="3:18" x14ac:dyDescent="0.25">
      <c r="C561" s="264"/>
      <c r="D561" s="157"/>
      <c r="E561" s="44"/>
      <c r="F561" s="127"/>
      <c r="G561" s="1"/>
      <c r="H561" s="161"/>
      <c r="I561" s="37"/>
      <c r="J561" s="135"/>
      <c r="K561" s="112"/>
      <c r="L561" s="37"/>
      <c r="M561" s="37"/>
      <c r="N561" s="37"/>
      <c r="O561" s="130"/>
      <c r="P561" s="132"/>
      <c r="Q561" s="262"/>
      <c r="R561" s="92"/>
    </row>
    <row r="562" spans="3:18" x14ac:dyDescent="0.25">
      <c r="C562" s="264"/>
      <c r="D562" s="157"/>
      <c r="E562" s="44"/>
      <c r="F562" s="127"/>
      <c r="G562" s="1"/>
      <c r="H562" s="161"/>
      <c r="I562" s="37"/>
      <c r="J562" s="135"/>
      <c r="K562" s="112"/>
      <c r="L562" s="37"/>
      <c r="M562" s="37"/>
      <c r="N562" s="37"/>
      <c r="O562" s="130"/>
      <c r="P562" s="132"/>
      <c r="Q562" s="262"/>
      <c r="R562" s="92"/>
    </row>
    <row r="563" spans="3:18" x14ac:dyDescent="0.25">
      <c r="C563" s="264"/>
      <c r="D563" s="157"/>
      <c r="E563" s="44"/>
      <c r="F563" s="127"/>
      <c r="G563" s="1"/>
      <c r="H563" s="161"/>
      <c r="I563" s="37"/>
      <c r="J563" s="135"/>
      <c r="K563" s="112"/>
      <c r="L563" s="37"/>
      <c r="M563" s="37"/>
      <c r="N563" s="37"/>
      <c r="O563" s="130"/>
      <c r="P563" s="132"/>
      <c r="Q563" s="262"/>
      <c r="R563" s="92"/>
    </row>
    <row r="564" spans="3:18" x14ac:dyDescent="0.25">
      <c r="C564" s="264"/>
      <c r="D564" s="157"/>
      <c r="E564" s="44"/>
      <c r="F564" s="127"/>
      <c r="G564" s="1"/>
      <c r="H564" s="161"/>
      <c r="I564" s="37"/>
      <c r="J564" s="135"/>
      <c r="K564" s="112"/>
      <c r="L564" s="37"/>
      <c r="M564" s="37"/>
      <c r="N564" s="37"/>
      <c r="O564" s="130"/>
      <c r="P564" s="132"/>
      <c r="Q564" s="262"/>
      <c r="R564" s="92"/>
    </row>
    <row r="565" spans="3:18" x14ac:dyDescent="0.25">
      <c r="C565" s="264"/>
      <c r="D565" s="157"/>
      <c r="E565" s="44"/>
      <c r="F565" s="127"/>
      <c r="G565" s="1"/>
      <c r="H565" s="161"/>
      <c r="I565" s="37"/>
      <c r="J565" s="135"/>
      <c r="K565" s="112"/>
      <c r="L565" s="37"/>
      <c r="M565" s="37"/>
      <c r="N565" s="37"/>
      <c r="O565" s="130"/>
      <c r="P565" s="132"/>
      <c r="Q565" s="262"/>
      <c r="R565" s="92"/>
    </row>
    <row r="566" spans="3:18" x14ac:dyDescent="0.25">
      <c r="C566" s="264"/>
      <c r="D566" s="157"/>
      <c r="E566" s="44"/>
      <c r="F566" s="127"/>
      <c r="G566" s="1"/>
      <c r="H566" s="161"/>
      <c r="I566" s="37"/>
      <c r="J566" s="135"/>
      <c r="K566" s="112"/>
      <c r="L566" s="37"/>
      <c r="M566" s="37"/>
      <c r="N566" s="37"/>
      <c r="O566" s="130"/>
      <c r="P566" s="132"/>
      <c r="Q566" s="262"/>
      <c r="R566" s="92"/>
    </row>
    <row r="567" spans="3:18" x14ac:dyDescent="0.25">
      <c r="C567" s="264"/>
      <c r="D567" s="157"/>
      <c r="E567" s="44"/>
      <c r="F567" s="127"/>
      <c r="G567" s="1"/>
      <c r="H567" s="161"/>
      <c r="I567" s="37"/>
      <c r="J567" s="135"/>
      <c r="K567" s="112"/>
      <c r="L567" s="37"/>
      <c r="M567" s="37"/>
      <c r="N567" s="37"/>
      <c r="O567" s="130"/>
      <c r="P567" s="132"/>
      <c r="Q567" s="262"/>
      <c r="R567" s="92"/>
    </row>
    <row r="568" spans="3:18" x14ac:dyDescent="0.25">
      <c r="C568" s="264"/>
      <c r="D568" s="157"/>
      <c r="E568" s="44"/>
      <c r="F568" s="127"/>
      <c r="G568" s="1"/>
      <c r="H568" s="161"/>
      <c r="I568" s="37"/>
      <c r="J568" s="135"/>
      <c r="K568" s="112"/>
      <c r="L568" s="37"/>
      <c r="M568" s="37"/>
      <c r="N568" s="37"/>
      <c r="O568" s="130"/>
      <c r="P568" s="132"/>
      <c r="Q568" s="262"/>
      <c r="R568" s="92"/>
    </row>
    <row r="569" spans="3:18" x14ac:dyDescent="0.25">
      <c r="C569" s="264"/>
      <c r="D569" s="157"/>
      <c r="E569" s="44"/>
      <c r="F569" s="127"/>
      <c r="G569" s="1"/>
      <c r="H569" s="161"/>
      <c r="I569" s="37"/>
      <c r="J569" s="135"/>
      <c r="K569" s="112"/>
      <c r="L569" s="37"/>
      <c r="M569" s="37"/>
      <c r="N569" s="37"/>
      <c r="O569" s="130"/>
      <c r="P569" s="132"/>
      <c r="Q569" s="262"/>
      <c r="R569" s="92"/>
    </row>
    <row r="570" spans="3:18" x14ac:dyDescent="0.25">
      <c r="C570" s="264"/>
      <c r="D570" s="157"/>
      <c r="E570" s="44"/>
      <c r="F570" s="127"/>
      <c r="G570" s="1"/>
      <c r="H570" s="161"/>
      <c r="I570" s="37"/>
      <c r="J570" s="135"/>
      <c r="K570" s="112"/>
      <c r="L570" s="37"/>
      <c r="M570" s="37"/>
      <c r="N570" s="37"/>
      <c r="O570" s="130"/>
      <c r="P570" s="132"/>
      <c r="Q570" s="262"/>
      <c r="R570" s="92"/>
    </row>
    <row r="571" spans="3:18" x14ac:dyDescent="0.25">
      <c r="C571" s="264"/>
      <c r="D571" s="157"/>
      <c r="E571" s="44"/>
      <c r="F571" s="127"/>
      <c r="G571" s="1"/>
      <c r="H571" s="161"/>
      <c r="I571" s="37"/>
      <c r="J571" s="135"/>
      <c r="K571" s="112"/>
      <c r="L571" s="37"/>
      <c r="M571" s="37"/>
      <c r="N571" s="37"/>
      <c r="O571" s="130"/>
      <c r="P571" s="132"/>
      <c r="Q571" s="262"/>
      <c r="R571" s="92"/>
    </row>
    <row r="572" spans="3:18" x14ac:dyDescent="0.25">
      <c r="C572" s="264"/>
      <c r="D572" s="157"/>
      <c r="E572" s="44"/>
      <c r="F572" s="127"/>
      <c r="G572" s="1"/>
      <c r="H572" s="161"/>
      <c r="I572" s="37"/>
      <c r="J572" s="135"/>
      <c r="K572" s="112"/>
      <c r="L572" s="37"/>
      <c r="M572" s="37"/>
      <c r="N572" s="37"/>
      <c r="O572" s="130"/>
      <c r="P572" s="132"/>
      <c r="Q572" s="262"/>
      <c r="R572" s="92"/>
    </row>
    <row r="573" spans="3:18" x14ac:dyDescent="0.25">
      <c r="C573" s="264"/>
      <c r="D573" s="157"/>
      <c r="E573" s="44"/>
      <c r="F573" s="127"/>
      <c r="G573" s="1"/>
      <c r="H573" s="161"/>
      <c r="I573" s="37"/>
      <c r="J573" s="135"/>
      <c r="K573" s="112"/>
      <c r="L573" s="37"/>
      <c r="M573" s="37"/>
      <c r="N573" s="37"/>
      <c r="O573" s="130"/>
      <c r="P573" s="132"/>
      <c r="Q573" s="262"/>
      <c r="R573" s="92"/>
    </row>
    <row r="574" spans="3:18" x14ac:dyDescent="0.25">
      <c r="C574" s="264"/>
      <c r="D574" s="157"/>
      <c r="E574" s="44"/>
      <c r="F574" s="127"/>
      <c r="G574" s="1"/>
      <c r="H574" s="161"/>
      <c r="I574" s="37"/>
      <c r="J574" s="135"/>
      <c r="K574" s="112"/>
      <c r="L574" s="37"/>
      <c r="M574" s="37"/>
      <c r="N574" s="37"/>
      <c r="O574" s="130"/>
      <c r="P574" s="132"/>
      <c r="Q574" s="262"/>
      <c r="R574" s="92"/>
    </row>
    <row r="575" spans="3:18" x14ac:dyDescent="0.25">
      <c r="C575" s="264"/>
      <c r="D575" s="157"/>
      <c r="E575" s="44"/>
      <c r="F575" s="127"/>
      <c r="G575" s="1"/>
      <c r="H575" s="161"/>
      <c r="I575" s="37"/>
      <c r="J575" s="135"/>
      <c r="K575" s="112"/>
      <c r="L575" s="37"/>
      <c r="M575" s="37"/>
      <c r="N575" s="37"/>
      <c r="O575" s="130"/>
      <c r="P575" s="132"/>
      <c r="Q575" s="262"/>
      <c r="R575" s="92"/>
    </row>
    <row r="576" spans="3:18" x14ac:dyDescent="0.25">
      <c r="C576" s="264"/>
      <c r="D576" s="157"/>
      <c r="E576" s="44"/>
      <c r="F576" s="127"/>
      <c r="G576" s="1"/>
      <c r="H576" s="161"/>
      <c r="I576" s="37"/>
      <c r="J576" s="135"/>
      <c r="K576" s="112"/>
      <c r="L576" s="37"/>
      <c r="M576" s="37"/>
      <c r="N576" s="37"/>
      <c r="O576" s="130"/>
      <c r="P576" s="132"/>
      <c r="Q576" s="262"/>
      <c r="R576" s="92"/>
    </row>
    <row r="577" spans="3:18" x14ac:dyDescent="0.25">
      <c r="C577" s="264"/>
      <c r="D577" s="157"/>
      <c r="E577" s="44"/>
      <c r="F577" s="127"/>
      <c r="G577" s="1"/>
      <c r="H577" s="161"/>
      <c r="I577" s="37"/>
      <c r="J577" s="135"/>
      <c r="K577" s="112"/>
      <c r="L577" s="37"/>
      <c r="M577" s="37"/>
      <c r="N577" s="37"/>
      <c r="O577" s="130"/>
      <c r="P577" s="132"/>
      <c r="Q577" s="262"/>
      <c r="R577" s="92"/>
    </row>
    <row r="578" spans="3:18" x14ac:dyDescent="0.25">
      <c r="C578" s="264"/>
      <c r="D578" s="157"/>
      <c r="E578" s="44"/>
      <c r="F578" s="127"/>
      <c r="G578" s="1"/>
      <c r="H578" s="161"/>
      <c r="I578" s="37"/>
      <c r="J578" s="135"/>
      <c r="K578" s="112"/>
      <c r="L578" s="37"/>
      <c r="M578" s="37"/>
      <c r="N578" s="37"/>
      <c r="O578" s="130"/>
      <c r="P578" s="132"/>
      <c r="Q578" s="262"/>
      <c r="R578" s="92"/>
    </row>
    <row r="579" spans="3:18" x14ac:dyDescent="0.25">
      <c r="C579" s="264"/>
      <c r="D579" s="157"/>
      <c r="E579" s="44"/>
      <c r="F579" s="127"/>
      <c r="G579" s="1"/>
      <c r="H579" s="161"/>
      <c r="I579" s="37"/>
      <c r="J579" s="135"/>
      <c r="K579" s="112"/>
      <c r="L579" s="37"/>
      <c r="M579" s="37"/>
      <c r="N579" s="37"/>
      <c r="O579" s="130"/>
      <c r="P579" s="132"/>
      <c r="Q579" s="262"/>
      <c r="R579" s="92"/>
    </row>
    <row r="580" spans="3:18" x14ac:dyDescent="0.25">
      <c r="C580" s="264"/>
      <c r="D580" s="157"/>
      <c r="E580" s="44"/>
      <c r="F580" s="127"/>
      <c r="G580" s="1"/>
      <c r="H580" s="161"/>
      <c r="I580" s="37"/>
      <c r="J580" s="135"/>
      <c r="K580" s="112"/>
      <c r="L580" s="37"/>
      <c r="M580" s="37"/>
      <c r="N580" s="37"/>
      <c r="O580" s="130"/>
      <c r="P580" s="132"/>
      <c r="Q580" s="262"/>
      <c r="R580" s="92"/>
    </row>
    <row r="581" spans="3:18" x14ac:dyDescent="0.25">
      <c r="C581" s="264"/>
      <c r="D581" s="157"/>
      <c r="E581" s="44"/>
      <c r="F581" s="127"/>
      <c r="G581" s="1"/>
      <c r="H581" s="161"/>
      <c r="I581" s="37"/>
      <c r="J581" s="135"/>
      <c r="K581" s="112"/>
      <c r="L581" s="37"/>
      <c r="M581" s="37"/>
      <c r="N581" s="37"/>
      <c r="O581" s="130"/>
      <c r="P581" s="132"/>
      <c r="Q581" s="262"/>
      <c r="R581" s="92"/>
    </row>
    <row r="582" spans="3:18" x14ac:dyDescent="0.25">
      <c r="C582" s="264"/>
      <c r="D582" s="157"/>
      <c r="E582" s="44"/>
      <c r="F582" s="127"/>
      <c r="G582" s="1"/>
      <c r="H582" s="161"/>
      <c r="I582" s="37"/>
      <c r="J582" s="135"/>
      <c r="K582" s="112"/>
      <c r="L582" s="37"/>
      <c r="M582" s="37"/>
      <c r="N582" s="37"/>
      <c r="O582" s="130"/>
      <c r="P582" s="132"/>
      <c r="Q582" s="262"/>
      <c r="R582" s="92"/>
    </row>
    <row r="583" spans="3:18" x14ac:dyDescent="0.25">
      <c r="C583" s="264"/>
      <c r="D583" s="157"/>
      <c r="E583" s="44"/>
      <c r="F583" s="127"/>
      <c r="G583" s="1"/>
      <c r="H583" s="161"/>
      <c r="I583" s="37"/>
      <c r="J583" s="135"/>
      <c r="K583" s="112"/>
      <c r="L583" s="37"/>
      <c r="M583" s="37"/>
      <c r="N583" s="37"/>
      <c r="O583" s="130"/>
      <c r="P583" s="132"/>
      <c r="Q583" s="262"/>
      <c r="R583" s="92"/>
    </row>
    <row r="584" spans="3:18" x14ac:dyDescent="0.25">
      <c r="C584" s="264"/>
      <c r="D584" s="157"/>
      <c r="E584" s="44"/>
      <c r="F584" s="127"/>
      <c r="G584" s="1"/>
      <c r="H584" s="161"/>
      <c r="I584" s="37"/>
      <c r="J584" s="135"/>
      <c r="K584" s="112"/>
      <c r="L584" s="37"/>
      <c r="M584" s="37"/>
      <c r="N584" s="37"/>
      <c r="O584" s="130"/>
      <c r="P584" s="132"/>
      <c r="Q584" s="262"/>
      <c r="R584" s="92"/>
    </row>
    <row r="585" spans="3:18" x14ac:dyDescent="0.25">
      <c r="C585" s="264"/>
      <c r="D585" s="157"/>
      <c r="E585" s="44"/>
      <c r="F585" s="127"/>
      <c r="G585" s="1"/>
      <c r="H585" s="161"/>
      <c r="I585" s="37"/>
      <c r="J585" s="135"/>
      <c r="K585" s="112"/>
      <c r="L585" s="37"/>
      <c r="M585" s="37"/>
      <c r="N585" s="37"/>
      <c r="O585" s="130"/>
      <c r="P585" s="132"/>
      <c r="Q585" s="262"/>
      <c r="R585" s="92"/>
    </row>
    <row r="586" spans="3:18" x14ac:dyDescent="0.25">
      <c r="C586" s="264"/>
      <c r="D586" s="157"/>
      <c r="E586" s="44"/>
      <c r="F586" s="127"/>
      <c r="G586" s="1"/>
      <c r="H586" s="161"/>
      <c r="I586" s="37"/>
      <c r="J586" s="135"/>
      <c r="K586" s="112"/>
      <c r="L586" s="37"/>
      <c r="M586" s="37"/>
      <c r="N586" s="37"/>
      <c r="O586" s="130"/>
      <c r="P586" s="132"/>
      <c r="Q586" s="262"/>
      <c r="R586" s="92"/>
    </row>
    <row r="587" spans="3:18" x14ac:dyDescent="0.25">
      <c r="C587" s="264"/>
      <c r="D587" s="157"/>
      <c r="E587" s="44"/>
      <c r="F587" s="127"/>
      <c r="G587" s="1"/>
      <c r="H587" s="161"/>
      <c r="I587" s="37"/>
      <c r="J587" s="135"/>
      <c r="K587" s="112"/>
      <c r="L587" s="37"/>
      <c r="M587" s="37"/>
      <c r="N587" s="37"/>
      <c r="O587" s="130"/>
      <c r="P587" s="132"/>
      <c r="Q587" s="262"/>
      <c r="R587" s="92"/>
    </row>
    <row r="588" spans="3:18" x14ac:dyDescent="0.25">
      <c r="C588" s="264"/>
      <c r="D588" s="157"/>
      <c r="E588" s="44"/>
      <c r="F588" s="127"/>
      <c r="G588" s="1"/>
      <c r="H588" s="161"/>
      <c r="I588" s="37"/>
      <c r="J588" s="135"/>
      <c r="K588" s="112"/>
      <c r="L588" s="37"/>
      <c r="M588" s="37"/>
      <c r="N588" s="37"/>
      <c r="O588" s="130"/>
      <c r="P588" s="132"/>
      <c r="Q588" s="262"/>
      <c r="R588" s="92"/>
    </row>
    <row r="589" spans="3:18" x14ac:dyDescent="0.25">
      <c r="C589" s="264"/>
      <c r="D589" s="157"/>
      <c r="E589" s="44"/>
      <c r="F589" s="127"/>
      <c r="G589" s="1"/>
      <c r="H589" s="161"/>
      <c r="I589" s="37"/>
      <c r="J589" s="135"/>
      <c r="K589" s="112"/>
      <c r="L589" s="37"/>
      <c r="M589" s="37"/>
      <c r="N589" s="37"/>
      <c r="O589" s="130"/>
      <c r="P589" s="132"/>
      <c r="Q589" s="262"/>
      <c r="R589" s="92"/>
    </row>
    <row r="590" spans="3:18" x14ac:dyDescent="0.25">
      <c r="C590" s="264"/>
      <c r="D590" s="157"/>
      <c r="E590" s="44"/>
      <c r="F590" s="127"/>
      <c r="G590" s="1"/>
      <c r="H590" s="161"/>
      <c r="I590" s="37"/>
      <c r="J590" s="135"/>
      <c r="K590" s="112"/>
      <c r="L590" s="37"/>
      <c r="M590" s="37"/>
      <c r="N590" s="37"/>
      <c r="O590" s="130"/>
      <c r="P590" s="132"/>
      <c r="Q590" s="262"/>
      <c r="R590" s="92"/>
    </row>
    <row r="591" spans="3:18" x14ac:dyDescent="0.25">
      <c r="C591" s="264"/>
      <c r="D591" s="157"/>
      <c r="E591" s="44"/>
      <c r="F591" s="127"/>
      <c r="G591" s="1"/>
      <c r="H591" s="161"/>
      <c r="I591" s="37"/>
      <c r="J591" s="135"/>
      <c r="K591" s="112"/>
      <c r="L591" s="37"/>
      <c r="M591" s="37"/>
      <c r="N591" s="37"/>
      <c r="O591" s="130"/>
      <c r="P591" s="132"/>
      <c r="Q591" s="262"/>
      <c r="R591" s="92"/>
    </row>
    <row r="592" spans="3:18" x14ac:dyDescent="0.25">
      <c r="C592" s="264"/>
      <c r="D592" s="157"/>
      <c r="E592" s="44"/>
      <c r="F592" s="127"/>
      <c r="G592" s="1"/>
      <c r="H592" s="161"/>
      <c r="I592" s="37"/>
      <c r="J592" s="135"/>
      <c r="K592" s="112"/>
      <c r="L592" s="37"/>
      <c r="M592" s="37"/>
      <c r="N592" s="37"/>
      <c r="O592" s="130"/>
      <c r="P592" s="132"/>
      <c r="Q592" s="262"/>
      <c r="R592" s="92"/>
    </row>
    <row r="593" spans="3:18" x14ac:dyDescent="0.25">
      <c r="C593" s="264"/>
      <c r="D593" s="157"/>
      <c r="E593" s="44"/>
      <c r="F593" s="127"/>
      <c r="G593" s="1"/>
      <c r="H593" s="161"/>
      <c r="I593" s="37"/>
      <c r="J593" s="135"/>
      <c r="K593" s="112"/>
      <c r="L593" s="37"/>
      <c r="M593" s="37"/>
      <c r="N593" s="37"/>
      <c r="O593" s="130"/>
      <c r="P593" s="132"/>
      <c r="Q593" s="262"/>
      <c r="R593" s="92"/>
    </row>
    <row r="594" spans="3:18" x14ac:dyDescent="0.25">
      <c r="C594" s="264"/>
      <c r="D594" s="157"/>
      <c r="E594" s="44"/>
      <c r="F594" s="127"/>
      <c r="G594" s="1"/>
      <c r="H594" s="161"/>
      <c r="I594" s="37"/>
      <c r="J594" s="135"/>
      <c r="K594" s="112"/>
      <c r="L594" s="37"/>
      <c r="M594" s="37"/>
      <c r="N594" s="37"/>
      <c r="O594" s="130"/>
      <c r="P594" s="132"/>
      <c r="Q594" s="262"/>
      <c r="R594" s="92"/>
    </row>
    <row r="595" spans="3:18" x14ac:dyDescent="0.25">
      <c r="C595" s="264"/>
      <c r="D595" s="157"/>
      <c r="E595" s="44"/>
      <c r="F595" s="127"/>
      <c r="G595" s="1"/>
      <c r="H595" s="161"/>
      <c r="I595" s="37"/>
      <c r="J595" s="135"/>
      <c r="K595" s="112"/>
      <c r="L595" s="37"/>
      <c r="M595" s="37"/>
      <c r="N595" s="37"/>
      <c r="O595" s="130"/>
      <c r="P595" s="132"/>
      <c r="Q595" s="262"/>
      <c r="R595" s="92"/>
    </row>
    <row r="596" spans="3:18" x14ac:dyDescent="0.25">
      <c r="C596" s="264"/>
      <c r="D596" s="157"/>
      <c r="E596" s="44"/>
      <c r="F596" s="127"/>
      <c r="G596" s="1"/>
      <c r="H596" s="161"/>
      <c r="I596" s="37"/>
      <c r="J596" s="135"/>
      <c r="K596" s="112"/>
      <c r="L596" s="37"/>
      <c r="M596" s="37"/>
      <c r="N596" s="37"/>
      <c r="O596" s="130"/>
      <c r="P596" s="132"/>
      <c r="Q596" s="262"/>
      <c r="R596" s="92"/>
    </row>
    <row r="597" spans="3:18" x14ac:dyDescent="0.25">
      <c r="C597" s="264"/>
      <c r="D597" s="157"/>
      <c r="E597" s="44"/>
      <c r="F597" s="127"/>
      <c r="G597" s="1"/>
      <c r="H597" s="161"/>
      <c r="I597" s="37"/>
      <c r="J597" s="135"/>
      <c r="K597" s="112"/>
      <c r="L597" s="37"/>
      <c r="M597" s="37"/>
      <c r="N597" s="37"/>
      <c r="O597" s="130"/>
      <c r="P597" s="132"/>
      <c r="Q597" s="262"/>
      <c r="R597" s="92"/>
    </row>
    <row r="598" spans="3:18" x14ac:dyDescent="0.25">
      <c r="C598" s="264"/>
      <c r="D598" s="157"/>
      <c r="E598" s="44"/>
      <c r="F598" s="127"/>
      <c r="G598" s="1"/>
      <c r="H598" s="161"/>
      <c r="I598" s="37"/>
      <c r="J598" s="135"/>
      <c r="K598" s="112"/>
      <c r="L598" s="37"/>
      <c r="M598" s="37"/>
      <c r="N598" s="37"/>
      <c r="O598" s="130"/>
      <c r="P598" s="132"/>
      <c r="Q598" s="262"/>
      <c r="R598" s="92"/>
    </row>
    <row r="599" spans="3:18" x14ac:dyDescent="0.25">
      <c r="C599" s="264"/>
      <c r="D599" s="157"/>
      <c r="E599" s="44"/>
      <c r="F599" s="127"/>
      <c r="G599" s="1"/>
      <c r="H599" s="161"/>
      <c r="I599" s="37"/>
      <c r="J599" s="135"/>
      <c r="K599" s="112"/>
      <c r="L599" s="37"/>
      <c r="M599" s="37"/>
      <c r="N599" s="37"/>
      <c r="O599" s="130"/>
      <c r="P599" s="132"/>
      <c r="Q599" s="262"/>
      <c r="R599" s="92"/>
    </row>
    <row r="600" spans="3:18" x14ac:dyDescent="0.25">
      <c r="C600" s="264"/>
      <c r="D600" s="157"/>
      <c r="E600" s="44"/>
      <c r="F600" s="127"/>
      <c r="G600" s="1"/>
      <c r="H600" s="161"/>
      <c r="I600" s="37"/>
      <c r="J600" s="135"/>
      <c r="K600" s="112"/>
      <c r="L600" s="37"/>
      <c r="M600" s="37"/>
      <c r="N600" s="37"/>
      <c r="O600" s="130"/>
      <c r="P600" s="132"/>
      <c r="Q600" s="262"/>
      <c r="R600" s="92"/>
    </row>
    <row r="601" spans="3:18" x14ac:dyDescent="0.25">
      <c r="C601" s="264"/>
      <c r="D601" s="157"/>
      <c r="E601" s="44"/>
      <c r="F601" s="127"/>
      <c r="G601" s="1"/>
      <c r="H601" s="161"/>
      <c r="I601" s="37"/>
      <c r="J601" s="135"/>
      <c r="K601" s="112"/>
      <c r="L601" s="37"/>
      <c r="M601" s="37"/>
      <c r="N601" s="37"/>
      <c r="O601" s="130"/>
      <c r="P601" s="132"/>
      <c r="Q601" s="262"/>
      <c r="R601" s="92"/>
    </row>
    <row r="602" spans="3:18" x14ac:dyDescent="0.25">
      <c r="C602" s="264"/>
      <c r="D602" s="157"/>
      <c r="E602" s="44"/>
      <c r="F602" s="127"/>
      <c r="G602" s="1"/>
      <c r="H602" s="161"/>
      <c r="I602" s="37"/>
      <c r="J602" s="135"/>
      <c r="K602" s="112"/>
      <c r="L602" s="37"/>
      <c r="M602" s="37"/>
      <c r="N602" s="37"/>
      <c r="O602" s="130"/>
      <c r="P602" s="132"/>
      <c r="Q602" s="262"/>
      <c r="R602" s="92"/>
    </row>
    <row r="603" spans="3:18" x14ac:dyDescent="0.25">
      <c r="C603" s="264"/>
      <c r="D603" s="157"/>
      <c r="E603" s="44"/>
      <c r="F603" s="127"/>
      <c r="G603" s="1"/>
      <c r="H603" s="161"/>
      <c r="I603" s="37"/>
      <c r="J603" s="135"/>
      <c r="K603" s="112"/>
      <c r="L603" s="37"/>
      <c r="M603" s="37"/>
      <c r="N603" s="37"/>
      <c r="O603" s="130"/>
      <c r="P603" s="132"/>
      <c r="Q603" s="262"/>
      <c r="R603" s="92"/>
    </row>
    <row r="604" spans="3:18" x14ac:dyDescent="0.25">
      <c r="C604" s="264"/>
      <c r="D604" s="157"/>
      <c r="E604" s="44"/>
      <c r="F604" s="127"/>
      <c r="G604" s="1"/>
      <c r="H604" s="161"/>
      <c r="I604" s="37"/>
      <c r="J604" s="135"/>
      <c r="K604" s="112"/>
      <c r="L604" s="37"/>
      <c r="M604" s="37"/>
      <c r="N604" s="37"/>
      <c r="O604" s="130"/>
      <c r="P604" s="132"/>
      <c r="Q604" s="262"/>
      <c r="R604" s="92"/>
    </row>
    <row r="605" spans="3:18" x14ac:dyDescent="0.25">
      <c r="C605" s="264"/>
      <c r="D605" s="157"/>
      <c r="E605" s="44"/>
      <c r="F605" s="127"/>
      <c r="G605" s="1"/>
      <c r="H605" s="161"/>
      <c r="I605" s="37"/>
      <c r="J605" s="135"/>
      <c r="K605" s="112"/>
      <c r="L605" s="37"/>
      <c r="M605" s="37"/>
      <c r="N605" s="37"/>
      <c r="O605" s="130"/>
      <c r="P605" s="132"/>
      <c r="Q605" s="262"/>
      <c r="R605" s="92"/>
    </row>
    <row r="606" spans="3:18" x14ac:dyDescent="0.25">
      <c r="C606" s="264"/>
      <c r="D606" s="157"/>
      <c r="E606" s="44"/>
      <c r="F606" s="127"/>
      <c r="G606" s="1"/>
      <c r="H606" s="161"/>
      <c r="I606" s="37"/>
      <c r="J606" s="135"/>
      <c r="K606" s="112"/>
      <c r="L606" s="37"/>
      <c r="M606" s="37"/>
      <c r="N606" s="37"/>
      <c r="O606" s="130"/>
      <c r="P606" s="132"/>
      <c r="Q606" s="262"/>
      <c r="R606" s="92"/>
    </row>
    <row r="607" spans="3:18" x14ac:dyDescent="0.25">
      <c r="C607" s="264"/>
      <c r="D607" s="157"/>
      <c r="E607" s="44"/>
      <c r="F607" s="127"/>
      <c r="G607" s="1"/>
      <c r="H607" s="161"/>
      <c r="I607" s="37"/>
      <c r="J607" s="135"/>
      <c r="K607" s="112"/>
      <c r="L607" s="37"/>
      <c r="M607" s="37"/>
      <c r="N607" s="37"/>
      <c r="O607" s="130"/>
      <c r="P607" s="132"/>
      <c r="Q607" s="262"/>
      <c r="R607" s="92"/>
    </row>
    <row r="608" spans="3:18" x14ac:dyDescent="0.25">
      <c r="C608" s="264"/>
      <c r="D608" s="157"/>
      <c r="E608" s="44"/>
      <c r="F608" s="127"/>
      <c r="G608" s="1"/>
      <c r="H608" s="161"/>
      <c r="I608" s="37"/>
      <c r="J608" s="135"/>
      <c r="K608" s="112"/>
      <c r="L608" s="37"/>
      <c r="M608" s="37"/>
      <c r="N608" s="37"/>
      <c r="O608" s="130"/>
      <c r="P608" s="132"/>
      <c r="Q608" s="262"/>
      <c r="R608" s="92"/>
    </row>
    <row r="609" spans="3:18" x14ac:dyDescent="0.25">
      <c r="C609" s="264"/>
      <c r="D609" s="157"/>
      <c r="E609" s="44"/>
      <c r="F609" s="127"/>
      <c r="G609" s="1"/>
      <c r="H609" s="161"/>
      <c r="I609" s="37"/>
      <c r="J609" s="135"/>
      <c r="K609" s="112"/>
      <c r="L609" s="37"/>
      <c r="M609" s="37"/>
      <c r="N609" s="37"/>
      <c r="O609" s="130"/>
      <c r="P609" s="132"/>
      <c r="Q609" s="262"/>
      <c r="R609" s="92"/>
    </row>
    <row r="610" spans="3:18" x14ac:dyDescent="0.25">
      <c r="C610" s="264"/>
      <c r="D610" s="157"/>
      <c r="E610" s="44"/>
      <c r="F610" s="127"/>
      <c r="G610" s="1"/>
      <c r="H610" s="161"/>
      <c r="I610" s="37"/>
      <c r="J610" s="135"/>
      <c r="K610" s="112"/>
      <c r="L610" s="37"/>
      <c r="M610" s="37"/>
      <c r="N610" s="37"/>
      <c r="O610" s="130"/>
      <c r="P610" s="132"/>
      <c r="Q610" s="262"/>
      <c r="R610" s="92"/>
    </row>
    <row r="611" spans="3:18" x14ac:dyDescent="0.25">
      <c r="C611" s="264"/>
      <c r="D611" s="157"/>
      <c r="E611" s="44"/>
      <c r="F611" s="127"/>
      <c r="G611" s="1"/>
      <c r="H611" s="161"/>
      <c r="I611" s="37"/>
      <c r="J611" s="135"/>
      <c r="K611" s="112"/>
      <c r="L611" s="37"/>
      <c r="M611" s="37"/>
      <c r="N611" s="37"/>
      <c r="O611" s="130"/>
      <c r="P611" s="132"/>
      <c r="Q611" s="262"/>
      <c r="R611" s="92"/>
    </row>
    <row r="612" spans="3:18" x14ac:dyDescent="0.25">
      <c r="C612" s="264"/>
      <c r="D612" s="157"/>
      <c r="E612" s="44"/>
      <c r="F612" s="127"/>
      <c r="G612" s="1"/>
      <c r="H612" s="161"/>
      <c r="I612" s="37"/>
      <c r="J612" s="135"/>
      <c r="K612" s="112"/>
      <c r="L612" s="37"/>
      <c r="M612" s="37"/>
      <c r="N612" s="37"/>
      <c r="O612" s="130"/>
      <c r="P612" s="132"/>
      <c r="Q612" s="262"/>
      <c r="R612" s="92"/>
    </row>
    <row r="613" spans="3:18" x14ac:dyDescent="0.25">
      <c r="C613" s="264"/>
      <c r="D613" s="157"/>
      <c r="E613" s="44"/>
      <c r="F613" s="127"/>
      <c r="G613" s="1"/>
      <c r="H613" s="161"/>
      <c r="I613" s="37"/>
      <c r="J613" s="135"/>
      <c r="K613" s="112"/>
      <c r="L613" s="37"/>
      <c r="M613" s="37"/>
      <c r="N613" s="37"/>
      <c r="O613" s="130"/>
      <c r="P613" s="132"/>
      <c r="Q613" s="262"/>
      <c r="R613" s="92"/>
    </row>
    <row r="614" spans="3:18" x14ac:dyDescent="0.25">
      <c r="C614" s="264"/>
      <c r="D614" s="157"/>
      <c r="E614" s="44"/>
      <c r="F614" s="127"/>
      <c r="G614" s="1"/>
      <c r="H614" s="161"/>
      <c r="I614" s="37"/>
      <c r="J614" s="135"/>
      <c r="K614" s="112"/>
      <c r="L614" s="37"/>
      <c r="M614" s="37"/>
      <c r="N614" s="37"/>
      <c r="O614" s="130"/>
      <c r="P614" s="132"/>
      <c r="Q614" s="262"/>
      <c r="R614" s="92"/>
    </row>
    <row r="615" spans="3:18" x14ac:dyDescent="0.25">
      <c r="C615" s="264"/>
      <c r="D615" s="157"/>
      <c r="E615" s="44"/>
      <c r="F615" s="127"/>
      <c r="G615" s="1"/>
      <c r="H615" s="161"/>
      <c r="I615" s="37"/>
      <c r="J615" s="135"/>
      <c r="K615" s="112"/>
      <c r="L615" s="37"/>
      <c r="M615" s="37"/>
      <c r="N615" s="37"/>
      <c r="O615" s="130"/>
      <c r="P615" s="132"/>
      <c r="Q615" s="262"/>
      <c r="R615" s="92"/>
    </row>
    <row r="616" spans="3:18" x14ac:dyDescent="0.25">
      <c r="C616" s="264"/>
      <c r="D616" s="157"/>
      <c r="E616" s="44"/>
      <c r="F616" s="127"/>
      <c r="G616" s="1"/>
      <c r="H616" s="161"/>
      <c r="I616" s="37"/>
      <c r="J616" s="135"/>
      <c r="K616" s="112"/>
      <c r="L616" s="37"/>
      <c r="M616" s="37"/>
      <c r="N616" s="37"/>
      <c r="O616" s="130"/>
      <c r="P616" s="132"/>
      <c r="Q616" s="262"/>
      <c r="R616" s="92"/>
    </row>
    <row r="617" spans="3:18" x14ac:dyDescent="0.25">
      <c r="C617" s="264"/>
      <c r="D617" s="157"/>
      <c r="E617" s="44"/>
      <c r="F617" s="127"/>
      <c r="G617" s="1"/>
      <c r="H617" s="161"/>
      <c r="I617" s="37"/>
      <c r="J617" s="135"/>
      <c r="K617" s="112"/>
      <c r="L617" s="37"/>
      <c r="M617" s="37"/>
      <c r="N617" s="37"/>
      <c r="O617" s="130"/>
      <c r="P617" s="132"/>
      <c r="Q617" s="262"/>
      <c r="R617" s="92"/>
    </row>
    <row r="618" spans="3:18" x14ac:dyDescent="0.25">
      <c r="C618" s="264"/>
      <c r="D618" s="157"/>
      <c r="E618" s="44"/>
      <c r="F618" s="127"/>
      <c r="G618" s="1"/>
      <c r="H618" s="161"/>
      <c r="I618" s="37"/>
      <c r="J618" s="135"/>
      <c r="K618" s="112"/>
      <c r="L618" s="37"/>
      <c r="M618" s="37"/>
      <c r="N618" s="37"/>
      <c r="O618" s="130"/>
      <c r="P618" s="132"/>
      <c r="Q618" s="262"/>
      <c r="R618" s="92"/>
    </row>
    <row r="619" spans="3:18" x14ac:dyDescent="0.25">
      <c r="C619" s="264"/>
      <c r="D619" s="157"/>
      <c r="E619" s="44"/>
      <c r="F619" s="127"/>
      <c r="G619" s="1"/>
      <c r="H619" s="161"/>
      <c r="I619" s="37"/>
      <c r="J619" s="135"/>
      <c r="K619" s="112"/>
      <c r="L619" s="37"/>
      <c r="M619" s="37"/>
      <c r="N619" s="37"/>
      <c r="O619" s="130"/>
      <c r="P619" s="132"/>
      <c r="Q619" s="262"/>
      <c r="R619" s="92"/>
    </row>
    <row r="620" spans="3:18" x14ac:dyDescent="0.25">
      <c r="C620" s="264"/>
      <c r="D620" s="157"/>
      <c r="E620" s="44"/>
      <c r="F620" s="127"/>
      <c r="G620" s="1"/>
      <c r="H620" s="161"/>
      <c r="I620" s="37"/>
      <c r="J620" s="135"/>
      <c r="K620" s="112"/>
      <c r="L620" s="37"/>
      <c r="M620" s="37"/>
      <c r="N620" s="37"/>
      <c r="O620" s="130"/>
      <c r="P620" s="132"/>
      <c r="Q620" s="262"/>
      <c r="R620" s="92"/>
    </row>
    <row r="621" spans="3:18" x14ac:dyDescent="0.25">
      <c r="C621" s="264"/>
      <c r="D621" s="157"/>
      <c r="E621" s="44"/>
      <c r="F621" s="127"/>
      <c r="G621" s="1"/>
      <c r="H621" s="161"/>
      <c r="I621" s="37"/>
      <c r="J621" s="135"/>
      <c r="K621" s="112"/>
      <c r="L621" s="37"/>
      <c r="M621" s="37"/>
      <c r="N621" s="37"/>
      <c r="O621" s="130"/>
      <c r="P621" s="132"/>
      <c r="Q621" s="262"/>
      <c r="R621" s="92"/>
    </row>
    <row r="622" spans="3:18" x14ac:dyDescent="0.25">
      <c r="C622" s="264"/>
      <c r="D622" s="157"/>
      <c r="E622" s="44"/>
      <c r="F622" s="127"/>
      <c r="G622" s="1"/>
      <c r="H622" s="161"/>
      <c r="I622" s="37"/>
      <c r="J622" s="135"/>
      <c r="K622" s="112"/>
      <c r="L622" s="37"/>
      <c r="M622" s="37"/>
      <c r="N622" s="37"/>
      <c r="O622" s="130"/>
      <c r="P622" s="132"/>
      <c r="Q622" s="262"/>
      <c r="R622" s="92"/>
    </row>
    <row r="623" spans="3:18" x14ac:dyDescent="0.25">
      <c r="C623" s="264"/>
      <c r="D623" s="157"/>
      <c r="E623" s="44"/>
      <c r="F623" s="127"/>
      <c r="G623" s="1"/>
      <c r="H623" s="161"/>
      <c r="I623" s="37"/>
      <c r="J623" s="135"/>
      <c r="K623" s="112"/>
      <c r="L623" s="37"/>
      <c r="M623" s="37"/>
      <c r="N623" s="37"/>
      <c r="O623" s="130"/>
      <c r="P623" s="132"/>
      <c r="Q623" s="262"/>
      <c r="R623" s="92"/>
    </row>
    <row r="624" spans="3:18" x14ac:dyDescent="0.25">
      <c r="C624" s="264"/>
      <c r="D624" s="157"/>
      <c r="E624" s="44"/>
      <c r="F624" s="127"/>
      <c r="G624" s="1"/>
      <c r="H624" s="161"/>
      <c r="I624" s="37"/>
      <c r="J624" s="135"/>
      <c r="K624" s="112"/>
      <c r="L624" s="37"/>
      <c r="M624" s="37"/>
      <c r="N624" s="37"/>
      <c r="O624" s="130"/>
      <c r="P624" s="132"/>
      <c r="Q624" s="262"/>
      <c r="R624" s="92"/>
    </row>
    <row r="625" spans="3:18" x14ac:dyDescent="0.25">
      <c r="C625" s="264"/>
      <c r="D625" s="157"/>
      <c r="E625" s="44"/>
      <c r="F625" s="127"/>
      <c r="G625" s="1"/>
      <c r="H625" s="161"/>
      <c r="I625" s="37"/>
      <c r="J625" s="135"/>
      <c r="K625" s="112"/>
      <c r="L625" s="37"/>
      <c r="M625" s="37"/>
      <c r="N625" s="37"/>
      <c r="O625" s="130"/>
      <c r="P625" s="132"/>
      <c r="Q625" s="262"/>
      <c r="R625" s="92"/>
    </row>
    <row r="626" spans="3:18" x14ac:dyDescent="0.25">
      <c r="C626" s="264"/>
      <c r="D626" s="157"/>
      <c r="E626" s="44"/>
      <c r="F626" s="127"/>
      <c r="G626" s="1"/>
      <c r="H626" s="161"/>
      <c r="I626" s="37"/>
      <c r="J626" s="135"/>
      <c r="K626" s="112"/>
      <c r="L626" s="37"/>
      <c r="M626" s="37"/>
      <c r="N626" s="37"/>
      <c r="O626" s="130"/>
      <c r="P626" s="132"/>
      <c r="Q626" s="262"/>
      <c r="R626" s="92"/>
    </row>
    <row r="627" spans="3:18" x14ac:dyDescent="0.25">
      <c r="C627" s="264"/>
      <c r="D627" s="157"/>
      <c r="E627" s="44"/>
      <c r="F627" s="127"/>
      <c r="G627" s="1"/>
      <c r="H627" s="161"/>
      <c r="I627" s="37"/>
      <c r="J627" s="135"/>
      <c r="K627" s="112"/>
      <c r="L627" s="37"/>
      <c r="M627" s="37"/>
      <c r="N627" s="37"/>
      <c r="O627" s="130"/>
      <c r="P627" s="132"/>
      <c r="Q627" s="262"/>
      <c r="R627" s="92"/>
    </row>
    <row r="628" spans="3:18" x14ac:dyDescent="0.25">
      <c r="C628" s="264"/>
      <c r="D628" s="157"/>
      <c r="E628" s="44"/>
      <c r="F628" s="127"/>
      <c r="G628" s="1"/>
      <c r="H628" s="161"/>
      <c r="I628" s="37"/>
      <c r="J628" s="135"/>
      <c r="K628" s="112"/>
      <c r="L628" s="37"/>
      <c r="M628" s="37"/>
      <c r="N628" s="37"/>
      <c r="O628" s="130"/>
      <c r="P628" s="132"/>
      <c r="Q628" s="262"/>
      <c r="R628" s="92"/>
    </row>
    <row r="629" spans="3:18" x14ac:dyDescent="0.25">
      <c r="C629" s="264"/>
      <c r="D629" s="157"/>
      <c r="E629" s="44"/>
      <c r="F629" s="127"/>
      <c r="G629" s="1"/>
      <c r="H629" s="161"/>
      <c r="I629" s="37"/>
      <c r="J629" s="135"/>
      <c r="K629" s="112"/>
      <c r="L629" s="37"/>
      <c r="M629" s="37"/>
      <c r="N629" s="37"/>
      <c r="O629" s="130"/>
      <c r="P629" s="132"/>
      <c r="Q629" s="262"/>
      <c r="R629" s="92"/>
    </row>
    <row r="630" spans="3:18" x14ac:dyDescent="0.25">
      <c r="C630" s="264"/>
      <c r="D630" s="157"/>
      <c r="E630" s="44"/>
      <c r="F630" s="127"/>
      <c r="G630" s="1"/>
      <c r="H630" s="161"/>
      <c r="I630" s="37"/>
      <c r="J630" s="135"/>
      <c r="K630" s="112"/>
      <c r="L630" s="37"/>
      <c r="M630" s="37"/>
      <c r="N630" s="37"/>
      <c r="O630" s="130"/>
      <c r="P630" s="132"/>
      <c r="Q630" s="262"/>
      <c r="R630" s="92"/>
    </row>
    <row r="631" spans="3:18" x14ac:dyDescent="0.25">
      <c r="C631" s="264"/>
      <c r="D631" s="157"/>
      <c r="E631" s="44"/>
      <c r="F631" s="127"/>
      <c r="G631" s="1"/>
      <c r="H631" s="161"/>
      <c r="I631" s="37"/>
      <c r="J631" s="135"/>
      <c r="K631" s="112"/>
      <c r="L631" s="37"/>
      <c r="M631" s="37"/>
      <c r="N631" s="37"/>
      <c r="O631" s="130"/>
      <c r="P631" s="132"/>
      <c r="Q631" s="262"/>
      <c r="R631" s="92"/>
    </row>
    <row r="632" spans="3:18" x14ac:dyDescent="0.25">
      <c r="C632" s="264"/>
      <c r="D632" s="157"/>
      <c r="E632" s="44"/>
      <c r="F632" s="127"/>
      <c r="G632" s="1"/>
      <c r="H632" s="161"/>
      <c r="I632" s="37"/>
      <c r="J632" s="135"/>
      <c r="K632" s="112"/>
      <c r="L632" s="37"/>
      <c r="M632" s="37"/>
      <c r="N632" s="37"/>
      <c r="O632" s="130"/>
      <c r="P632" s="132"/>
      <c r="Q632" s="262"/>
      <c r="R632" s="92"/>
    </row>
    <row r="633" spans="3:18" x14ac:dyDescent="0.25">
      <c r="C633" s="264"/>
      <c r="D633" s="157"/>
      <c r="E633" s="44"/>
      <c r="F633" s="127"/>
      <c r="G633" s="1"/>
      <c r="H633" s="161"/>
      <c r="I633" s="37"/>
      <c r="J633" s="135"/>
      <c r="K633" s="112"/>
      <c r="L633" s="37"/>
      <c r="M633" s="37"/>
      <c r="N633" s="37"/>
      <c r="O633" s="130"/>
      <c r="P633" s="132"/>
      <c r="Q633" s="262"/>
      <c r="R633" s="92"/>
    </row>
    <row r="634" spans="3:18" x14ac:dyDescent="0.25">
      <c r="C634" s="264"/>
      <c r="D634" s="157"/>
      <c r="E634" s="44"/>
      <c r="F634" s="127"/>
      <c r="G634" s="1"/>
      <c r="H634" s="161"/>
      <c r="I634" s="37"/>
      <c r="J634" s="135"/>
      <c r="K634" s="112"/>
      <c r="L634" s="37"/>
      <c r="M634" s="37"/>
      <c r="N634" s="37"/>
      <c r="O634" s="130"/>
      <c r="P634" s="132"/>
      <c r="Q634" s="262"/>
      <c r="R634" s="92"/>
    </row>
    <row r="635" spans="3:18" x14ac:dyDescent="0.25">
      <c r="C635" s="264"/>
      <c r="D635" s="157"/>
      <c r="E635" s="44"/>
      <c r="F635" s="127"/>
      <c r="G635" s="1"/>
      <c r="H635" s="161"/>
      <c r="I635" s="37"/>
      <c r="J635" s="135"/>
      <c r="K635" s="112"/>
      <c r="L635" s="37"/>
      <c r="M635" s="37"/>
      <c r="N635" s="37"/>
      <c r="O635" s="130"/>
      <c r="P635" s="132"/>
      <c r="Q635" s="262"/>
      <c r="R635" s="92"/>
    </row>
    <row r="636" spans="3:18" x14ac:dyDescent="0.25">
      <c r="C636" s="264"/>
      <c r="D636" s="157"/>
      <c r="E636" s="44"/>
      <c r="F636" s="127"/>
      <c r="G636" s="1"/>
      <c r="H636" s="161"/>
      <c r="I636" s="37"/>
      <c r="J636" s="135"/>
      <c r="K636" s="112"/>
      <c r="L636" s="37"/>
      <c r="M636" s="37"/>
      <c r="N636" s="37"/>
      <c r="O636" s="130"/>
      <c r="P636" s="132"/>
      <c r="Q636" s="262"/>
      <c r="R636" s="92"/>
    </row>
    <row r="637" spans="3:18" x14ac:dyDescent="0.25">
      <c r="C637" s="264"/>
      <c r="D637" s="157"/>
      <c r="E637" s="44"/>
      <c r="F637" s="127"/>
      <c r="G637" s="1"/>
      <c r="H637" s="161"/>
      <c r="I637" s="37"/>
      <c r="J637" s="135"/>
      <c r="K637" s="112"/>
      <c r="L637" s="37"/>
      <c r="M637" s="37"/>
      <c r="N637" s="37"/>
      <c r="O637" s="130"/>
      <c r="P637" s="132"/>
      <c r="Q637" s="262"/>
      <c r="R637" s="92"/>
    </row>
    <row r="638" spans="3:18" x14ac:dyDescent="0.25">
      <c r="C638" s="264"/>
      <c r="D638" s="157"/>
      <c r="E638" s="44"/>
      <c r="F638" s="127"/>
      <c r="G638" s="1"/>
      <c r="H638" s="161"/>
      <c r="I638" s="37"/>
      <c r="J638" s="135"/>
      <c r="K638" s="112"/>
      <c r="L638" s="37"/>
      <c r="M638" s="37"/>
      <c r="N638" s="37"/>
      <c r="O638" s="130"/>
      <c r="P638" s="132"/>
      <c r="Q638" s="262"/>
      <c r="R638" s="92"/>
    </row>
    <row r="639" spans="3:18" x14ac:dyDescent="0.25">
      <c r="C639" s="264"/>
      <c r="D639" s="157"/>
      <c r="E639" s="44"/>
      <c r="F639" s="127"/>
      <c r="G639" s="1"/>
      <c r="H639" s="161"/>
      <c r="I639" s="37"/>
      <c r="J639" s="135"/>
      <c r="K639" s="112"/>
      <c r="L639" s="37"/>
      <c r="M639" s="37"/>
      <c r="N639" s="37"/>
      <c r="O639" s="130"/>
      <c r="P639" s="132"/>
      <c r="Q639" s="262"/>
      <c r="R639" s="92"/>
    </row>
    <row r="640" spans="3:18" x14ac:dyDescent="0.25">
      <c r="C640" s="264"/>
      <c r="D640" s="157"/>
      <c r="E640" s="44"/>
      <c r="F640" s="127"/>
      <c r="G640" s="1"/>
      <c r="H640" s="161"/>
      <c r="I640" s="37"/>
      <c r="J640" s="135"/>
      <c r="K640" s="112"/>
      <c r="L640" s="37"/>
      <c r="M640" s="37"/>
      <c r="N640" s="37"/>
      <c r="O640" s="130"/>
      <c r="P640" s="132"/>
      <c r="Q640" s="262"/>
      <c r="R640" s="92"/>
    </row>
    <row r="641" spans="3:18" x14ac:dyDescent="0.25">
      <c r="C641" s="264"/>
      <c r="D641" s="157"/>
      <c r="E641" s="44"/>
      <c r="F641" s="127"/>
      <c r="G641" s="1"/>
      <c r="H641" s="161"/>
      <c r="I641" s="37"/>
      <c r="J641" s="135"/>
      <c r="K641" s="112"/>
      <c r="L641" s="37"/>
      <c r="M641" s="37"/>
      <c r="N641" s="37"/>
      <c r="O641" s="130"/>
      <c r="P641" s="132"/>
      <c r="Q641" s="262"/>
      <c r="R641" s="92"/>
    </row>
    <row r="642" spans="3:18" x14ac:dyDescent="0.25">
      <c r="C642" s="264"/>
      <c r="D642" s="157"/>
      <c r="E642" s="44"/>
      <c r="F642" s="127"/>
      <c r="G642" s="1"/>
      <c r="H642" s="161"/>
      <c r="I642" s="37"/>
      <c r="J642" s="135"/>
      <c r="K642" s="112"/>
      <c r="L642" s="37"/>
      <c r="M642" s="37"/>
      <c r="N642" s="37"/>
      <c r="O642" s="130"/>
      <c r="P642" s="132"/>
      <c r="Q642" s="262"/>
      <c r="R642" s="92"/>
    </row>
    <row r="643" spans="3:18" x14ac:dyDescent="0.25">
      <c r="C643" s="264"/>
      <c r="D643" s="157"/>
      <c r="E643" s="44"/>
      <c r="F643" s="127"/>
      <c r="G643" s="1"/>
      <c r="H643" s="161"/>
      <c r="I643" s="37"/>
      <c r="J643" s="135"/>
      <c r="K643" s="112"/>
      <c r="L643" s="37"/>
      <c r="M643" s="37"/>
      <c r="N643" s="37"/>
      <c r="O643" s="130"/>
      <c r="P643" s="132"/>
      <c r="Q643" s="262"/>
      <c r="R643" s="92"/>
    </row>
    <row r="644" spans="3:18" x14ac:dyDescent="0.25">
      <c r="C644" s="264"/>
      <c r="D644" s="157"/>
      <c r="E644" s="44"/>
      <c r="F644" s="127"/>
      <c r="G644" s="1"/>
      <c r="H644" s="161"/>
      <c r="I644" s="37"/>
      <c r="J644" s="135"/>
      <c r="K644" s="112"/>
      <c r="L644" s="37"/>
      <c r="M644" s="37"/>
      <c r="N644" s="37"/>
      <c r="O644" s="130"/>
      <c r="P644" s="132"/>
      <c r="Q644" s="262"/>
      <c r="R644" s="92"/>
    </row>
    <row r="645" spans="3:18" x14ac:dyDescent="0.25">
      <c r="C645" s="264"/>
      <c r="D645" s="157"/>
      <c r="E645" s="44"/>
      <c r="F645" s="127"/>
      <c r="G645" s="1"/>
      <c r="H645" s="161"/>
      <c r="I645" s="37"/>
      <c r="J645" s="135"/>
      <c r="K645" s="112"/>
      <c r="L645" s="37"/>
      <c r="M645" s="37"/>
      <c r="N645" s="37"/>
      <c r="O645" s="130"/>
      <c r="P645" s="132"/>
      <c r="Q645" s="262"/>
      <c r="R645" s="92"/>
    </row>
    <row r="646" spans="3:18" x14ac:dyDescent="0.25">
      <c r="C646" s="264"/>
      <c r="D646" s="157"/>
      <c r="E646" s="44"/>
      <c r="F646" s="127"/>
      <c r="G646" s="1"/>
      <c r="H646" s="161"/>
      <c r="I646" s="37"/>
      <c r="J646" s="135"/>
      <c r="K646" s="112"/>
      <c r="L646" s="37"/>
      <c r="M646" s="37"/>
      <c r="N646" s="37"/>
      <c r="O646" s="130"/>
      <c r="P646" s="132"/>
      <c r="Q646" s="262"/>
      <c r="R646" s="92"/>
    </row>
    <row r="647" spans="3:18" x14ac:dyDescent="0.25">
      <c r="C647" s="264"/>
      <c r="D647" s="157"/>
      <c r="E647" s="44"/>
      <c r="F647" s="127"/>
      <c r="G647" s="1"/>
      <c r="H647" s="161"/>
      <c r="I647" s="37"/>
      <c r="J647" s="135"/>
      <c r="K647" s="112"/>
      <c r="L647" s="37"/>
      <c r="M647" s="37"/>
      <c r="N647" s="37"/>
      <c r="O647" s="130"/>
      <c r="P647" s="132"/>
      <c r="Q647" s="262"/>
      <c r="R647" s="92"/>
    </row>
    <row r="648" spans="3:18" x14ac:dyDescent="0.25">
      <c r="C648" s="264"/>
      <c r="D648" s="157"/>
      <c r="E648" s="44"/>
      <c r="F648" s="127"/>
      <c r="G648" s="1"/>
      <c r="H648" s="161"/>
      <c r="I648" s="37"/>
      <c r="J648" s="135"/>
      <c r="K648" s="112"/>
      <c r="L648" s="37"/>
      <c r="M648" s="37"/>
      <c r="N648" s="37"/>
      <c r="O648" s="130"/>
      <c r="P648" s="132"/>
      <c r="Q648" s="262"/>
      <c r="R648" s="92"/>
    </row>
    <row r="649" spans="3:18" x14ac:dyDescent="0.25">
      <c r="C649" s="264"/>
      <c r="D649" s="157"/>
      <c r="E649" s="44"/>
      <c r="F649" s="127"/>
      <c r="G649" s="1"/>
      <c r="H649" s="161"/>
      <c r="I649" s="37"/>
      <c r="J649" s="135"/>
      <c r="K649" s="112"/>
      <c r="L649" s="37"/>
      <c r="M649" s="37"/>
      <c r="N649" s="37"/>
      <c r="O649" s="130"/>
      <c r="P649" s="132"/>
      <c r="Q649" s="262"/>
      <c r="R649" s="92"/>
    </row>
    <row r="650" spans="3:18" x14ac:dyDescent="0.25">
      <c r="C650" s="264"/>
      <c r="D650" s="157"/>
      <c r="E650" s="44"/>
      <c r="F650" s="127"/>
      <c r="G650" s="1"/>
      <c r="H650" s="161"/>
      <c r="I650" s="37"/>
      <c r="J650" s="135"/>
      <c r="K650" s="112"/>
      <c r="L650" s="37"/>
      <c r="M650" s="37"/>
      <c r="N650" s="37"/>
      <c r="O650" s="130"/>
      <c r="P650" s="132"/>
      <c r="Q650" s="262"/>
      <c r="R650" s="92"/>
    </row>
    <row r="651" spans="3:18" x14ac:dyDescent="0.25">
      <c r="C651" s="264"/>
      <c r="D651" s="157"/>
      <c r="E651" s="44"/>
      <c r="F651" s="127"/>
      <c r="G651" s="1"/>
      <c r="H651" s="161"/>
      <c r="I651" s="37"/>
      <c r="J651" s="135"/>
      <c r="K651" s="112"/>
      <c r="L651" s="37"/>
      <c r="M651" s="37"/>
      <c r="N651" s="37"/>
      <c r="O651" s="130"/>
      <c r="P651" s="132"/>
      <c r="Q651" s="262"/>
      <c r="R651" s="92"/>
    </row>
    <row r="652" spans="3:18" x14ac:dyDescent="0.25">
      <c r="C652" s="264"/>
      <c r="D652" s="157"/>
      <c r="E652" s="44"/>
      <c r="F652" s="127"/>
      <c r="G652" s="1"/>
      <c r="H652" s="161"/>
      <c r="I652" s="37"/>
      <c r="J652" s="135"/>
      <c r="K652" s="112"/>
      <c r="L652" s="37"/>
      <c r="M652" s="37"/>
      <c r="N652" s="37"/>
      <c r="O652" s="130"/>
      <c r="P652" s="132"/>
      <c r="Q652" s="262"/>
      <c r="R652" s="92"/>
    </row>
    <row r="653" spans="3:18" x14ac:dyDescent="0.25">
      <c r="C653" s="264"/>
      <c r="D653" s="157"/>
      <c r="E653" s="44"/>
      <c r="F653" s="127"/>
      <c r="G653" s="1"/>
      <c r="H653" s="161"/>
      <c r="I653" s="37"/>
      <c r="J653" s="135"/>
      <c r="K653" s="112"/>
      <c r="L653" s="37"/>
      <c r="M653" s="37"/>
      <c r="N653" s="37"/>
      <c r="O653" s="130"/>
      <c r="P653" s="132"/>
      <c r="Q653" s="262"/>
      <c r="R653" s="92"/>
    </row>
    <row r="654" spans="3:18" x14ac:dyDescent="0.25">
      <c r="C654" s="264"/>
      <c r="D654" s="157"/>
      <c r="E654" s="44"/>
      <c r="F654" s="127"/>
      <c r="G654" s="1"/>
      <c r="H654" s="161"/>
      <c r="I654" s="37"/>
      <c r="J654" s="135"/>
      <c r="K654" s="112"/>
      <c r="L654" s="37"/>
      <c r="M654" s="37"/>
      <c r="N654" s="37"/>
      <c r="O654" s="130"/>
      <c r="P654" s="132"/>
      <c r="Q654" s="262"/>
      <c r="R654" s="92"/>
    </row>
    <row r="655" spans="3:18" x14ac:dyDescent="0.25">
      <c r="C655" s="264"/>
      <c r="D655" s="157"/>
      <c r="E655" s="44"/>
      <c r="F655" s="127"/>
      <c r="G655" s="1"/>
      <c r="H655" s="161"/>
      <c r="I655" s="37"/>
      <c r="J655" s="135"/>
      <c r="K655" s="112"/>
      <c r="L655" s="37"/>
      <c r="M655" s="37"/>
      <c r="N655" s="37"/>
      <c r="O655" s="130"/>
      <c r="P655" s="132"/>
      <c r="Q655" s="262"/>
      <c r="R655" s="92"/>
    </row>
    <row r="656" spans="3:18" x14ac:dyDescent="0.25">
      <c r="C656" s="264"/>
      <c r="D656" s="157"/>
      <c r="E656" s="44"/>
      <c r="F656" s="127"/>
      <c r="G656" s="1"/>
      <c r="H656" s="161"/>
      <c r="I656" s="37"/>
      <c r="J656" s="135"/>
      <c r="K656" s="112"/>
      <c r="L656" s="37"/>
      <c r="M656" s="37"/>
      <c r="N656" s="37"/>
      <c r="O656" s="130"/>
      <c r="P656" s="132"/>
      <c r="Q656" s="262"/>
      <c r="R656" s="92"/>
    </row>
    <row r="657" spans="3:18" x14ac:dyDescent="0.25">
      <c r="C657" s="264"/>
      <c r="D657" s="157"/>
      <c r="E657" s="44"/>
      <c r="F657" s="127"/>
      <c r="G657" s="1"/>
      <c r="H657" s="161"/>
      <c r="I657" s="37"/>
      <c r="J657" s="135"/>
      <c r="K657" s="112"/>
      <c r="L657" s="37"/>
      <c r="M657" s="37"/>
      <c r="N657" s="37"/>
      <c r="O657" s="130"/>
      <c r="P657" s="132"/>
      <c r="Q657" s="262"/>
      <c r="R657" s="92"/>
    </row>
    <row r="658" spans="3:18" x14ac:dyDescent="0.25">
      <c r="C658" s="264"/>
      <c r="D658" s="157"/>
      <c r="E658" s="44"/>
      <c r="F658" s="127"/>
      <c r="G658" s="1"/>
      <c r="H658" s="161"/>
      <c r="I658" s="37"/>
      <c r="J658" s="135"/>
      <c r="K658" s="112"/>
      <c r="L658" s="37"/>
      <c r="M658" s="37"/>
      <c r="N658" s="37"/>
      <c r="O658" s="130"/>
      <c r="P658" s="132"/>
      <c r="Q658" s="262"/>
      <c r="R658" s="92"/>
    </row>
    <row r="659" spans="3:18" x14ac:dyDescent="0.25">
      <c r="C659" s="264"/>
      <c r="D659" s="157"/>
      <c r="E659" s="44"/>
      <c r="F659" s="127"/>
      <c r="G659" s="1"/>
      <c r="H659" s="161"/>
      <c r="I659" s="37"/>
      <c r="J659" s="135"/>
      <c r="K659" s="112"/>
      <c r="L659" s="37"/>
      <c r="M659" s="37"/>
      <c r="N659" s="37"/>
      <c r="O659" s="130"/>
      <c r="P659" s="132"/>
      <c r="Q659" s="262"/>
      <c r="R659" s="92"/>
    </row>
    <row r="660" spans="3:18" x14ac:dyDescent="0.25">
      <c r="C660" s="264"/>
      <c r="D660" s="157"/>
      <c r="E660" s="44"/>
      <c r="F660" s="127"/>
      <c r="G660" s="1"/>
      <c r="H660" s="161"/>
      <c r="I660" s="37"/>
      <c r="J660" s="135"/>
      <c r="K660" s="112"/>
      <c r="L660" s="37"/>
      <c r="M660" s="37"/>
      <c r="N660" s="37"/>
      <c r="O660" s="130"/>
      <c r="P660" s="132"/>
      <c r="Q660" s="262"/>
      <c r="R660" s="92"/>
    </row>
    <row r="661" spans="3:18" x14ac:dyDescent="0.25">
      <c r="C661" s="264"/>
      <c r="D661" s="157"/>
      <c r="E661" s="44"/>
      <c r="F661" s="127"/>
      <c r="G661" s="1"/>
      <c r="H661" s="161"/>
      <c r="I661" s="37"/>
      <c r="J661" s="135"/>
      <c r="K661" s="112"/>
      <c r="L661" s="37"/>
      <c r="M661" s="37"/>
      <c r="N661" s="37"/>
      <c r="O661" s="130"/>
      <c r="P661" s="132"/>
      <c r="Q661" s="262"/>
      <c r="R661" s="92"/>
    </row>
    <row r="662" spans="3:18" x14ac:dyDescent="0.25">
      <c r="C662" s="264"/>
      <c r="D662" s="157"/>
      <c r="E662" s="44"/>
      <c r="F662" s="127"/>
      <c r="G662" s="1"/>
      <c r="H662" s="161"/>
      <c r="I662" s="37"/>
      <c r="J662" s="135"/>
      <c r="K662" s="112"/>
      <c r="L662" s="37"/>
      <c r="M662" s="37"/>
      <c r="N662" s="37"/>
      <c r="O662" s="130"/>
      <c r="P662" s="132"/>
      <c r="Q662" s="262"/>
      <c r="R662" s="92"/>
    </row>
    <row r="663" spans="3:18" x14ac:dyDescent="0.25">
      <c r="C663" s="264"/>
      <c r="D663" s="157"/>
      <c r="E663" s="44"/>
      <c r="F663" s="127"/>
      <c r="G663" s="1"/>
      <c r="H663" s="161"/>
      <c r="I663" s="37"/>
      <c r="J663" s="135"/>
      <c r="K663" s="112"/>
      <c r="L663" s="37"/>
      <c r="M663" s="37"/>
      <c r="N663" s="37"/>
      <c r="O663" s="130"/>
      <c r="P663" s="132"/>
      <c r="Q663" s="262"/>
      <c r="R663" s="92"/>
    </row>
    <row r="664" spans="3:18" x14ac:dyDescent="0.25">
      <c r="C664" s="264"/>
      <c r="D664" s="157"/>
      <c r="E664" s="44"/>
      <c r="F664" s="127"/>
      <c r="G664" s="1"/>
      <c r="H664" s="161"/>
      <c r="I664" s="37"/>
      <c r="J664" s="135"/>
      <c r="K664" s="112"/>
      <c r="L664" s="37"/>
      <c r="M664" s="37"/>
      <c r="N664" s="37"/>
      <c r="O664" s="130"/>
      <c r="P664" s="132"/>
      <c r="Q664" s="262"/>
      <c r="R664" s="92"/>
    </row>
    <row r="665" spans="3:18" x14ac:dyDescent="0.25">
      <c r="C665" s="264"/>
      <c r="D665" s="157"/>
      <c r="E665" s="44"/>
      <c r="F665" s="127"/>
      <c r="G665" s="1"/>
      <c r="H665" s="161"/>
      <c r="I665" s="37"/>
      <c r="J665" s="135"/>
      <c r="K665" s="112"/>
      <c r="L665" s="37"/>
      <c r="M665" s="37"/>
      <c r="N665" s="37"/>
      <c r="O665" s="130"/>
      <c r="P665" s="132"/>
      <c r="Q665" s="262"/>
      <c r="R665" s="92"/>
    </row>
    <row r="666" spans="3:18" x14ac:dyDescent="0.25">
      <c r="C666" s="264"/>
      <c r="D666" s="157"/>
      <c r="E666" s="44"/>
      <c r="F666" s="127"/>
      <c r="G666" s="1"/>
      <c r="H666" s="161"/>
      <c r="I666" s="37"/>
      <c r="J666" s="135"/>
      <c r="K666" s="112"/>
      <c r="L666" s="37"/>
      <c r="M666" s="37"/>
      <c r="N666" s="37"/>
      <c r="O666" s="130"/>
      <c r="P666" s="132"/>
      <c r="Q666" s="262"/>
      <c r="R666" s="92"/>
    </row>
    <row r="667" spans="3:18" x14ac:dyDescent="0.25">
      <c r="C667" s="264"/>
      <c r="D667" s="157"/>
      <c r="E667" s="44"/>
      <c r="F667" s="127"/>
      <c r="G667" s="1"/>
      <c r="H667" s="161"/>
      <c r="I667" s="37"/>
      <c r="J667" s="135"/>
      <c r="K667" s="112"/>
      <c r="L667" s="37"/>
      <c r="M667" s="37"/>
      <c r="N667" s="37"/>
      <c r="O667" s="130"/>
      <c r="P667" s="132"/>
      <c r="Q667" s="262"/>
      <c r="R667" s="92"/>
    </row>
    <row r="668" spans="3:18" x14ac:dyDescent="0.25">
      <c r="C668" s="264"/>
      <c r="D668" s="157"/>
      <c r="E668" s="44"/>
      <c r="F668" s="127"/>
      <c r="G668" s="1"/>
      <c r="H668" s="161"/>
      <c r="I668" s="37"/>
      <c r="J668" s="135"/>
      <c r="K668" s="112"/>
      <c r="L668" s="37"/>
      <c r="M668" s="37"/>
      <c r="N668" s="37"/>
      <c r="O668" s="130"/>
      <c r="P668" s="132"/>
      <c r="Q668" s="262"/>
      <c r="R668" s="92"/>
    </row>
    <row r="669" spans="3:18" x14ac:dyDescent="0.25">
      <c r="C669" s="264"/>
      <c r="D669" s="157"/>
      <c r="E669" s="44"/>
      <c r="F669" s="127"/>
      <c r="G669" s="1"/>
      <c r="H669" s="161"/>
      <c r="I669" s="37"/>
      <c r="J669" s="135"/>
      <c r="K669" s="112"/>
      <c r="L669" s="37"/>
      <c r="M669" s="37"/>
      <c r="N669" s="37"/>
      <c r="O669" s="130"/>
      <c r="P669" s="132"/>
      <c r="Q669" s="262"/>
      <c r="R669" s="92"/>
    </row>
    <row r="670" spans="3:18" x14ac:dyDescent="0.25">
      <c r="C670" s="264"/>
      <c r="D670" s="157"/>
      <c r="E670" s="44"/>
      <c r="F670" s="127"/>
      <c r="G670" s="1"/>
      <c r="H670" s="161"/>
      <c r="I670" s="37"/>
      <c r="J670" s="135"/>
      <c r="K670" s="112"/>
      <c r="L670" s="37"/>
      <c r="M670" s="37"/>
      <c r="N670" s="37"/>
      <c r="O670" s="130"/>
      <c r="P670" s="132"/>
      <c r="Q670" s="262"/>
      <c r="R670" s="92"/>
    </row>
    <row r="671" spans="3:18" x14ac:dyDescent="0.25">
      <c r="C671" s="264"/>
      <c r="D671" s="157"/>
      <c r="E671" s="44"/>
      <c r="F671" s="127"/>
      <c r="G671" s="1"/>
      <c r="H671" s="161"/>
      <c r="I671" s="37"/>
      <c r="J671" s="135"/>
      <c r="K671" s="112"/>
      <c r="L671" s="37"/>
      <c r="M671" s="37"/>
      <c r="N671" s="37"/>
      <c r="O671" s="130"/>
      <c r="P671" s="132"/>
      <c r="Q671" s="262"/>
      <c r="R671" s="92"/>
    </row>
    <row r="672" spans="3:18" x14ac:dyDescent="0.25">
      <c r="C672" s="264"/>
      <c r="D672" s="157"/>
      <c r="E672" s="44"/>
      <c r="F672" s="127"/>
      <c r="G672" s="1"/>
      <c r="H672" s="161"/>
      <c r="I672" s="37"/>
      <c r="J672" s="135"/>
      <c r="K672" s="112"/>
      <c r="L672" s="37"/>
      <c r="M672" s="37"/>
      <c r="N672" s="37"/>
      <c r="O672" s="130"/>
      <c r="P672" s="132"/>
      <c r="Q672" s="262"/>
      <c r="R672" s="92"/>
    </row>
    <row r="673" spans="3:18" x14ac:dyDescent="0.25">
      <c r="C673" s="264"/>
      <c r="D673" s="157"/>
      <c r="E673" s="44"/>
      <c r="F673" s="127"/>
      <c r="G673" s="1"/>
      <c r="H673" s="161"/>
      <c r="I673" s="37"/>
      <c r="J673" s="135"/>
      <c r="K673" s="112"/>
      <c r="L673" s="37"/>
      <c r="M673" s="37"/>
      <c r="N673" s="37"/>
      <c r="O673" s="130"/>
      <c r="P673" s="132"/>
      <c r="Q673" s="262"/>
      <c r="R673" s="92"/>
    </row>
    <row r="674" spans="3:18" x14ac:dyDescent="0.25">
      <c r="C674" s="264"/>
      <c r="D674" s="157"/>
      <c r="E674" s="44"/>
      <c r="F674" s="127"/>
      <c r="G674" s="1"/>
      <c r="H674" s="161"/>
      <c r="I674" s="37"/>
      <c r="J674" s="135"/>
      <c r="K674" s="112"/>
      <c r="L674" s="37"/>
      <c r="M674" s="37"/>
      <c r="N674" s="37"/>
      <c r="O674" s="130"/>
      <c r="P674" s="132"/>
      <c r="Q674" s="262"/>
      <c r="R674" s="92"/>
    </row>
    <row r="675" spans="3:18" x14ac:dyDescent="0.25">
      <c r="C675" s="264"/>
      <c r="D675" s="157"/>
      <c r="E675" s="44"/>
      <c r="F675" s="127"/>
      <c r="G675" s="1"/>
      <c r="H675" s="161"/>
      <c r="I675" s="37"/>
      <c r="J675" s="135"/>
      <c r="K675" s="112"/>
      <c r="L675" s="37"/>
      <c r="M675" s="37"/>
      <c r="N675" s="37"/>
      <c r="O675" s="130"/>
      <c r="P675" s="132"/>
      <c r="Q675" s="262"/>
      <c r="R675" s="92"/>
    </row>
    <row r="676" spans="3:18" x14ac:dyDescent="0.25">
      <c r="C676" s="264"/>
      <c r="D676" s="157"/>
      <c r="E676" s="44"/>
      <c r="F676" s="127"/>
      <c r="G676" s="1"/>
      <c r="H676" s="161"/>
      <c r="I676" s="37"/>
      <c r="J676" s="135"/>
      <c r="K676" s="112"/>
      <c r="L676" s="37"/>
      <c r="M676" s="37"/>
      <c r="N676" s="37"/>
      <c r="O676" s="130"/>
      <c r="P676" s="132"/>
      <c r="Q676" s="262"/>
      <c r="R676" s="92"/>
    </row>
    <row r="677" spans="3:18" x14ac:dyDescent="0.25">
      <c r="C677" s="264"/>
      <c r="D677" s="157"/>
      <c r="E677" s="44"/>
      <c r="F677" s="127"/>
      <c r="G677" s="1"/>
      <c r="H677" s="161"/>
      <c r="I677" s="37"/>
      <c r="J677" s="135"/>
      <c r="K677" s="112"/>
      <c r="L677" s="37"/>
      <c r="M677" s="37"/>
      <c r="N677" s="37"/>
      <c r="O677" s="130"/>
      <c r="P677" s="132"/>
      <c r="Q677" s="262"/>
      <c r="R677" s="92"/>
    </row>
    <row r="678" spans="3:18" x14ac:dyDescent="0.25">
      <c r="C678" s="264"/>
      <c r="D678" s="157"/>
      <c r="E678" s="44"/>
      <c r="F678" s="127"/>
      <c r="G678" s="1"/>
      <c r="H678" s="161"/>
      <c r="I678" s="37"/>
      <c r="J678" s="135"/>
      <c r="K678" s="112"/>
      <c r="L678" s="37"/>
      <c r="M678" s="37"/>
      <c r="N678" s="37"/>
      <c r="O678" s="130"/>
      <c r="P678" s="132"/>
      <c r="Q678" s="262"/>
      <c r="R678" s="92"/>
    </row>
    <row r="679" spans="3:18" x14ac:dyDescent="0.25">
      <c r="C679" s="264"/>
      <c r="D679" s="157"/>
      <c r="E679" s="44"/>
      <c r="F679" s="127"/>
      <c r="G679" s="1"/>
      <c r="H679" s="161"/>
      <c r="I679" s="37"/>
      <c r="J679" s="135"/>
      <c r="K679" s="112"/>
      <c r="L679" s="37"/>
      <c r="M679" s="37"/>
      <c r="N679" s="37"/>
      <c r="O679" s="130"/>
      <c r="P679" s="132"/>
      <c r="Q679" s="262"/>
      <c r="R679" s="92"/>
    </row>
    <row r="680" spans="3:18" x14ac:dyDescent="0.25">
      <c r="C680" s="264"/>
      <c r="D680" s="157"/>
      <c r="E680" s="44"/>
      <c r="F680" s="127"/>
      <c r="G680" s="1"/>
      <c r="H680" s="161"/>
      <c r="I680" s="37"/>
      <c r="J680" s="135"/>
      <c r="K680" s="112"/>
      <c r="L680" s="37"/>
      <c r="M680" s="37"/>
      <c r="N680" s="37"/>
      <c r="O680" s="130"/>
      <c r="P680" s="132"/>
      <c r="Q680" s="262"/>
      <c r="R680" s="92"/>
    </row>
    <row r="681" spans="3:18" x14ac:dyDescent="0.25">
      <c r="C681" s="264"/>
      <c r="D681" s="157"/>
      <c r="E681" s="44"/>
      <c r="F681" s="127"/>
      <c r="G681" s="1"/>
      <c r="H681" s="161"/>
      <c r="I681" s="37"/>
      <c r="J681" s="135"/>
      <c r="K681" s="112"/>
      <c r="L681" s="37"/>
      <c r="M681" s="37"/>
      <c r="N681" s="37"/>
      <c r="O681" s="130"/>
      <c r="P681" s="132"/>
      <c r="Q681" s="262"/>
      <c r="R681" s="92"/>
    </row>
    <row r="682" spans="3:18" x14ac:dyDescent="0.25">
      <c r="C682" s="264"/>
      <c r="D682" s="157"/>
      <c r="E682" s="44"/>
      <c r="F682" s="127"/>
      <c r="G682" s="1"/>
      <c r="H682" s="161"/>
      <c r="I682" s="37"/>
      <c r="J682" s="135"/>
      <c r="K682" s="112"/>
      <c r="L682" s="37"/>
      <c r="M682" s="37"/>
      <c r="N682" s="37"/>
      <c r="O682" s="130"/>
      <c r="P682" s="132"/>
      <c r="Q682" s="262"/>
      <c r="R682" s="92"/>
    </row>
    <row r="683" spans="3:18" x14ac:dyDescent="0.25">
      <c r="C683" s="264"/>
      <c r="D683" s="157"/>
      <c r="E683" s="44"/>
      <c r="F683" s="127"/>
      <c r="G683" s="1"/>
      <c r="H683" s="161"/>
      <c r="I683" s="37"/>
      <c r="J683" s="135"/>
      <c r="K683" s="112"/>
      <c r="L683" s="37"/>
      <c r="M683" s="37"/>
      <c r="N683" s="37"/>
      <c r="O683" s="130"/>
      <c r="P683" s="132"/>
      <c r="Q683" s="262"/>
      <c r="R683" s="92"/>
    </row>
    <row r="684" spans="3:18" x14ac:dyDescent="0.25">
      <c r="C684" s="264"/>
      <c r="D684" s="157"/>
      <c r="E684" s="44"/>
      <c r="F684" s="127"/>
      <c r="G684" s="1"/>
      <c r="H684" s="161"/>
      <c r="I684" s="37"/>
      <c r="J684" s="135"/>
      <c r="K684" s="112"/>
      <c r="L684" s="37"/>
      <c r="M684" s="37"/>
      <c r="N684" s="37"/>
      <c r="O684" s="130"/>
      <c r="P684" s="132"/>
      <c r="Q684" s="262"/>
      <c r="R684" s="92"/>
    </row>
    <row r="685" spans="3:18" x14ac:dyDescent="0.25">
      <c r="C685" s="264"/>
      <c r="D685" s="157"/>
      <c r="E685" s="44"/>
      <c r="F685" s="127"/>
      <c r="G685" s="1"/>
      <c r="H685" s="161"/>
      <c r="I685" s="37"/>
      <c r="J685" s="135"/>
      <c r="K685" s="112"/>
      <c r="L685" s="37"/>
      <c r="M685" s="37"/>
      <c r="N685" s="37"/>
      <c r="O685" s="130"/>
      <c r="P685" s="132"/>
      <c r="Q685" s="262"/>
      <c r="R685" s="92"/>
    </row>
    <row r="686" spans="3:18" x14ac:dyDescent="0.25">
      <c r="C686" s="264"/>
      <c r="D686" s="157"/>
      <c r="E686" s="44"/>
      <c r="F686" s="127"/>
      <c r="G686" s="1"/>
      <c r="H686" s="161"/>
      <c r="I686" s="37"/>
      <c r="J686" s="135"/>
      <c r="K686" s="112"/>
      <c r="L686" s="37"/>
      <c r="M686" s="37"/>
      <c r="N686" s="37"/>
      <c r="O686" s="130"/>
      <c r="P686" s="132"/>
      <c r="Q686" s="262"/>
      <c r="R686" s="92"/>
    </row>
    <row r="687" spans="3:18" x14ac:dyDescent="0.25">
      <c r="C687" s="264"/>
      <c r="D687" s="157"/>
      <c r="E687" s="44"/>
      <c r="F687" s="127"/>
      <c r="G687" s="1"/>
      <c r="H687" s="161"/>
      <c r="I687" s="37"/>
      <c r="J687" s="135"/>
      <c r="K687" s="112"/>
      <c r="L687" s="37"/>
      <c r="M687" s="37"/>
      <c r="N687" s="37"/>
      <c r="O687" s="130"/>
      <c r="P687" s="132"/>
      <c r="Q687" s="262"/>
      <c r="R687" s="92"/>
    </row>
    <row r="688" spans="3:18" x14ac:dyDescent="0.25">
      <c r="C688" s="264"/>
      <c r="D688" s="157"/>
      <c r="E688" s="44"/>
      <c r="F688" s="127"/>
      <c r="G688" s="1"/>
      <c r="H688" s="161"/>
      <c r="I688" s="37"/>
      <c r="J688" s="135"/>
      <c r="K688" s="112"/>
      <c r="L688" s="37"/>
      <c r="M688" s="37"/>
      <c r="N688" s="37"/>
      <c r="O688" s="130"/>
      <c r="P688" s="132"/>
      <c r="Q688" s="262"/>
      <c r="R688" s="92"/>
    </row>
    <row r="689" spans="3:18" x14ac:dyDescent="0.25">
      <c r="C689" s="264"/>
      <c r="D689" s="157"/>
      <c r="E689" s="44"/>
      <c r="F689" s="127"/>
      <c r="G689" s="1"/>
      <c r="H689" s="161"/>
      <c r="I689" s="37"/>
      <c r="J689" s="135"/>
      <c r="K689" s="112"/>
      <c r="L689" s="37"/>
      <c r="M689" s="37"/>
      <c r="N689" s="37"/>
      <c r="O689" s="130"/>
      <c r="P689" s="132"/>
      <c r="Q689" s="262"/>
      <c r="R689" s="92"/>
    </row>
    <row r="690" spans="3:18" x14ac:dyDescent="0.25">
      <c r="C690" s="264"/>
      <c r="D690" s="157"/>
      <c r="E690" s="44"/>
      <c r="F690" s="127"/>
      <c r="G690" s="1"/>
      <c r="H690" s="161"/>
      <c r="I690" s="37"/>
      <c r="J690" s="135"/>
      <c r="K690" s="112"/>
      <c r="L690" s="37"/>
      <c r="M690" s="37"/>
      <c r="N690" s="37"/>
      <c r="O690" s="130"/>
      <c r="P690" s="132"/>
      <c r="Q690" s="262"/>
      <c r="R690" s="92"/>
    </row>
    <row r="691" spans="3:18" x14ac:dyDescent="0.25">
      <c r="C691" s="264"/>
      <c r="D691" s="157"/>
      <c r="E691" s="44"/>
      <c r="F691" s="127"/>
      <c r="G691" s="1"/>
      <c r="H691" s="161"/>
      <c r="I691" s="37"/>
      <c r="J691" s="135"/>
      <c r="K691" s="112"/>
      <c r="L691" s="37"/>
      <c r="M691" s="37"/>
      <c r="N691" s="37"/>
      <c r="O691" s="130"/>
      <c r="P691" s="132"/>
      <c r="Q691" s="262"/>
      <c r="R691" s="92"/>
    </row>
    <row r="692" spans="3:18" x14ac:dyDescent="0.25">
      <c r="C692" s="264"/>
      <c r="D692" s="157"/>
      <c r="E692" s="44"/>
      <c r="F692" s="127"/>
      <c r="G692" s="1"/>
      <c r="H692" s="161"/>
      <c r="I692" s="37"/>
      <c r="J692" s="135"/>
      <c r="K692" s="112"/>
      <c r="L692" s="37"/>
      <c r="M692" s="37"/>
      <c r="N692" s="37"/>
      <c r="O692" s="130"/>
      <c r="P692" s="132"/>
      <c r="Q692" s="262"/>
      <c r="R692" s="92"/>
    </row>
    <row r="693" spans="3:18" x14ac:dyDescent="0.25">
      <c r="C693" s="264"/>
      <c r="D693" s="157"/>
      <c r="E693" s="44"/>
      <c r="F693" s="127"/>
      <c r="G693" s="1"/>
      <c r="H693" s="161"/>
      <c r="I693" s="37"/>
      <c r="J693" s="135"/>
      <c r="K693" s="112"/>
      <c r="L693" s="37"/>
      <c r="M693" s="37"/>
      <c r="N693" s="37"/>
      <c r="O693" s="130"/>
      <c r="P693" s="132"/>
      <c r="Q693" s="262"/>
      <c r="R693" s="92"/>
    </row>
    <row r="694" spans="3:18" x14ac:dyDescent="0.25">
      <c r="C694" s="264"/>
      <c r="D694" s="157"/>
      <c r="E694" s="44"/>
      <c r="F694" s="127"/>
      <c r="G694" s="1"/>
      <c r="H694" s="161"/>
      <c r="I694" s="37"/>
      <c r="J694" s="135"/>
      <c r="K694" s="112"/>
      <c r="L694" s="37"/>
      <c r="M694" s="37"/>
      <c r="N694" s="37"/>
      <c r="O694" s="130"/>
      <c r="P694" s="132"/>
      <c r="Q694" s="262"/>
      <c r="R694" s="92"/>
    </row>
    <row r="695" spans="3:18" x14ac:dyDescent="0.25">
      <c r="C695" s="264"/>
      <c r="D695" s="157"/>
      <c r="E695" s="44"/>
      <c r="F695" s="127"/>
      <c r="G695" s="1"/>
      <c r="H695" s="161"/>
      <c r="I695" s="37"/>
      <c r="J695" s="135"/>
      <c r="K695" s="112"/>
      <c r="L695" s="37"/>
      <c r="M695" s="37"/>
      <c r="N695" s="37"/>
      <c r="O695" s="130"/>
      <c r="P695" s="132"/>
      <c r="Q695" s="262"/>
      <c r="R695" s="92"/>
    </row>
    <row r="696" spans="3:18" x14ac:dyDescent="0.25">
      <c r="C696" s="264"/>
      <c r="D696" s="157"/>
      <c r="E696" s="44"/>
      <c r="F696" s="127"/>
      <c r="G696" s="1"/>
      <c r="H696" s="161"/>
      <c r="I696" s="37"/>
      <c r="J696" s="135"/>
      <c r="K696" s="112"/>
      <c r="L696" s="37"/>
      <c r="M696" s="37"/>
      <c r="N696" s="37"/>
      <c r="O696" s="130"/>
      <c r="P696" s="132"/>
      <c r="Q696" s="262"/>
      <c r="R696" s="92"/>
    </row>
    <row r="697" spans="3:18" x14ac:dyDescent="0.25">
      <c r="C697" s="264"/>
      <c r="D697" s="157"/>
      <c r="E697" s="44"/>
      <c r="F697" s="127"/>
      <c r="G697" s="1"/>
      <c r="H697" s="161"/>
      <c r="I697" s="37"/>
      <c r="J697" s="135"/>
      <c r="K697" s="112"/>
      <c r="L697" s="37"/>
      <c r="M697" s="37"/>
      <c r="N697" s="37"/>
      <c r="O697" s="130"/>
      <c r="P697" s="132"/>
      <c r="Q697" s="262"/>
      <c r="R697" s="92"/>
    </row>
    <row r="698" spans="3:18" x14ac:dyDescent="0.25">
      <c r="C698" s="264"/>
      <c r="D698" s="157"/>
      <c r="E698" s="44"/>
      <c r="F698" s="127"/>
      <c r="G698" s="1"/>
      <c r="H698" s="161"/>
      <c r="I698" s="37"/>
      <c r="J698" s="135"/>
      <c r="K698" s="112"/>
      <c r="L698" s="37"/>
      <c r="M698" s="37"/>
      <c r="N698" s="37"/>
      <c r="O698" s="130"/>
      <c r="P698" s="132"/>
      <c r="Q698" s="262"/>
      <c r="R698" s="92"/>
    </row>
    <row r="699" spans="3:18" x14ac:dyDescent="0.25">
      <c r="C699" s="264"/>
      <c r="D699" s="157"/>
      <c r="E699" s="44"/>
      <c r="F699" s="127"/>
      <c r="G699" s="1"/>
      <c r="H699" s="161"/>
      <c r="I699" s="37"/>
      <c r="J699" s="135"/>
      <c r="K699" s="112"/>
      <c r="L699" s="37"/>
      <c r="M699" s="37"/>
      <c r="N699" s="37"/>
      <c r="O699" s="130"/>
      <c r="P699" s="132"/>
      <c r="Q699" s="262"/>
      <c r="R699" s="92"/>
    </row>
    <row r="700" spans="3:18" x14ac:dyDescent="0.25">
      <c r="C700" s="264"/>
      <c r="D700" s="157"/>
      <c r="E700" s="44"/>
      <c r="F700" s="127"/>
      <c r="G700" s="1"/>
      <c r="H700" s="161"/>
      <c r="I700" s="37"/>
      <c r="J700" s="135"/>
      <c r="K700" s="112"/>
      <c r="L700" s="37"/>
      <c r="M700" s="37"/>
      <c r="N700" s="37"/>
      <c r="O700" s="130"/>
      <c r="P700" s="132"/>
      <c r="Q700" s="262"/>
      <c r="R700" s="92"/>
    </row>
    <row r="701" spans="3:18" x14ac:dyDescent="0.25">
      <c r="C701" s="264"/>
      <c r="D701" s="157"/>
      <c r="E701" s="44"/>
      <c r="F701" s="127"/>
      <c r="G701" s="1"/>
      <c r="H701" s="161"/>
      <c r="I701" s="37"/>
      <c r="J701" s="135"/>
      <c r="K701" s="112"/>
      <c r="L701" s="37"/>
      <c r="M701" s="37"/>
      <c r="N701" s="37"/>
      <c r="O701" s="130"/>
      <c r="P701" s="132"/>
      <c r="Q701" s="262"/>
      <c r="R701" s="92"/>
    </row>
    <row r="702" spans="3:18" x14ac:dyDescent="0.25">
      <c r="C702" s="264"/>
      <c r="D702" s="157"/>
      <c r="E702" s="44"/>
      <c r="F702" s="127"/>
      <c r="G702" s="1"/>
      <c r="H702" s="161"/>
      <c r="I702" s="37"/>
      <c r="J702" s="135"/>
      <c r="K702" s="112"/>
      <c r="L702" s="37"/>
      <c r="M702" s="37"/>
      <c r="N702" s="37"/>
      <c r="O702" s="130"/>
      <c r="P702" s="132"/>
      <c r="Q702" s="262"/>
      <c r="R702" s="92"/>
    </row>
    <row r="703" spans="3:18" x14ac:dyDescent="0.25">
      <c r="C703" s="264"/>
      <c r="D703" s="157"/>
      <c r="E703" s="44"/>
      <c r="F703" s="127"/>
      <c r="G703" s="1"/>
      <c r="H703" s="161"/>
      <c r="I703" s="37"/>
      <c r="J703" s="135"/>
      <c r="K703" s="112"/>
      <c r="L703" s="37"/>
      <c r="M703" s="37"/>
      <c r="N703" s="37"/>
      <c r="O703" s="130"/>
      <c r="P703" s="132"/>
      <c r="Q703" s="262"/>
      <c r="R703" s="92"/>
    </row>
    <row r="704" spans="3:18" x14ac:dyDescent="0.25">
      <c r="C704" s="264"/>
      <c r="D704" s="157"/>
      <c r="E704" s="44"/>
      <c r="F704" s="127"/>
      <c r="G704" s="1"/>
      <c r="H704" s="161"/>
      <c r="I704" s="37"/>
      <c r="J704" s="135"/>
      <c r="K704" s="112"/>
      <c r="L704" s="37"/>
      <c r="M704" s="37"/>
      <c r="N704" s="37"/>
      <c r="O704" s="130"/>
      <c r="P704" s="132"/>
      <c r="Q704" s="262"/>
      <c r="R704" s="92"/>
    </row>
    <row r="705" spans="3:18" x14ac:dyDescent="0.25">
      <c r="C705" s="264"/>
      <c r="D705" s="157"/>
      <c r="E705" s="44"/>
      <c r="F705" s="127"/>
      <c r="G705" s="1"/>
      <c r="H705" s="161"/>
      <c r="I705" s="37"/>
      <c r="J705" s="135"/>
      <c r="K705" s="112"/>
      <c r="L705" s="37"/>
      <c r="M705" s="37"/>
      <c r="N705" s="37"/>
      <c r="O705" s="130"/>
      <c r="P705" s="132"/>
      <c r="Q705" s="262"/>
      <c r="R705" s="92"/>
    </row>
    <row r="706" spans="3:18" x14ac:dyDescent="0.25">
      <c r="C706" s="264"/>
      <c r="D706" s="157"/>
      <c r="E706" s="44"/>
      <c r="F706" s="127"/>
      <c r="G706" s="1"/>
      <c r="H706" s="161"/>
      <c r="I706" s="37"/>
      <c r="J706" s="135"/>
      <c r="K706" s="112"/>
      <c r="L706" s="37"/>
      <c r="M706" s="37"/>
      <c r="N706" s="37"/>
      <c r="O706" s="130"/>
      <c r="P706" s="132"/>
      <c r="Q706" s="262"/>
      <c r="R706" s="92"/>
    </row>
    <row r="707" spans="3:18" x14ac:dyDescent="0.25">
      <c r="C707" s="264"/>
      <c r="D707" s="157"/>
      <c r="E707" s="44"/>
      <c r="F707" s="127"/>
      <c r="G707" s="1"/>
      <c r="H707" s="161"/>
      <c r="I707" s="37"/>
      <c r="J707" s="135"/>
      <c r="K707" s="112"/>
      <c r="L707" s="37"/>
      <c r="M707" s="37"/>
      <c r="N707" s="37"/>
      <c r="O707" s="130"/>
      <c r="P707" s="132"/>
      <c r="Q707" s="262"/>
      <c r="R707" s="92"/>
    </row>
    <row r="708" spans="3:18" x14ac:dyDescent="0.25">
      <c r="C708" s="264"/>
      <c r="D708" s="157"/>
      <c r="E708" s="44"/>
      <c r="F708" s="127"/>
      <c r="G708" s="1"/>
      <c r="H708" s="161"/>
      <c r="I708" s="37"/>
      <c r="J708" s="135"/>
      <c r="K708" s="112"/>
      <c r="L708" s="37"/>
      <c r="M708" s="37"/>
      <c r="N708" s="37"/>
      <c r="O708" s="130"/>
      <c r="P708" s="132"/>
      <c r="Q708" s="262"/>
      <c r="R708" s="92"/>
    </row>
    <row r="709" spans="3:18" x14ac:dyDescent="0.25">
      <c r="C709" s="264"/>
      <c r="D709" s="157"/>
      <c r="E709" s="44"/>
      <c r="F709" s="127"/>
      <c r="G709" s="1"/>
      <c r="H709" s="161"/>
      <c r="I709" s="37"/>
      <c r="J709" s="135"/>
      <c r="K709" s="112"/>
      <c r="L709" s="37"/>
      <c r="M709" s="37"/>
      <c r="N709" s="37"/>
      <c r="O709" s="130"/>
      <c r="P709" s="132"/>
      <c r="Q709" s="262"/>
      <c r="R709" s="92"/>
    </row>
    <row r="710" spans="3:18" x14ac:dyDescent="0.25">
      <c r="C710" s="264"/>
      <c r="D710" s="157"/>
      <c r="E710" s="44"/>
      <c r="F710" s="127"/>
      <c r="G710" s="1"/>
      <c r="H710" s="161"/>
      <c r="I710" s="37"/>
      <c r="J710" s="135"/>
      <c r="K710" s="112"/>
      <c r="L710" s="37"/>
      <c r="M710" s="37"/>
      <c r="N710" s="37"/>
      <c r="O710" s="130"/>
      <c r="P710" s="132"/>
      <c r="Q710" s="262"/>
      <c r="R710" s="92"/>
    </row>
    <row r="711" spans="3:18" x14ac:dyDescent="0.25">
      <c r="C711" s="264"/>
      <c r="D711" s="157"/>
      <c r="E711" s="44"/>
      <c r="F711" s="127"/>
      <c r="G711" s="1"/>
      <c r="H711" s="161"/>
      <c r="I711" s="37"/>
      <c r="J711" s="135"/>
      <c r="K711" s="112"/>
      <c r="L711" s="37"/>
      <c r="M711" s="37"/>
      <c r="N711" s="37"/>
      <c r="O711" s="130"/>
      <c r="P711" s="132"/>
      <c r="Q711" s="262"/>
      <c r="R711" s="92"/>
    </row>
    <row r="712" spans="3:18" x14ac:dyDescent="0.25">
      <c r="C712" s="264"/>
      <c r="D712" s="157"/>
      <c r="E712" s="44"/>
      <c r="F712" s="127"/>
      <c r="G712" s="1"/>
      <c r="H712" s="161"/>
      <c r="I712" s="37"/>
      <c r="J712" s="135"/>
      <c r="K712" s="112"/>
      <c r="L712" s="37"/>
      <c r="M712" s="37"/>
      <c r="N712" s="37"/>
      <c r="O712" s="130"/>
      <c r="P712" s="132"/>
      <c r="Q712" s="262"/>
      <c r="R712" s="92"/>
    </row>
    <row r="713" spans="3:18" x14ac:dyDescent="0.25">
      <c r="C713" s="264"/>
      <c r="D713" s="157"/>
      <c r="E713" s="44"/>
      <c r="F713" s="127"/>
      <c r="G713" s="1"/>
      <c r="H713" s="161"/>
      <c r="I713" s="37"/>
      <c r="J713" s="135"/>
      <c r="K713" s="112"/>
      <c r="L713" s="37"/>
      <c r="M713" s="37"/>
      <c r="N713" s="37"/>
      <c r="O713" s="130"/>
      <c r="P713" s="132"/>
      <c r="Q713" s="262"/>
      <c r="R713" s="92"/>
    </row>
    <row r="714" spans="3:18" x14ac:dyDescent="0.25">
      <c r="C714" s="264"/>
      <c r="D714" s="157"/>
      <c r="E714" s="44"/>
      <c r="F714" s="127"/>
      <c r="G714" s="1"/>
      <c r="H714" s="161"/>
      <c r="I714" s="37"/>
      <c r="J714" s="135"/>
      <c r="K714" s="112"/>
      <c r="L714" s="37"/>
      <c r="M714" s="37"/>
      <c r="N714" s="37"/>
      <c r="O714" s="130"/>
      <c r="P714" s="132"/>
      <c r="Q714" s="262"/>
      <c r="R714" s="92"/>
    </row>
    <row r="715" spans="3:18" x14ac:dyDescent="0.25">
      <c r="C715" s="264"/>
      <c r="D715" s="157"/>
      <c r="E715" s="44"/>
      <c r="F715" s="127"/>
      <c r="G715" s="1"/>
      <c r="H715" s="161"/>
      <c r="I715" s="37"/>
      <c r="J715" s="135"/>
      <c r="K715" s="112"/>
      <c r="L715" s="37"/>
      <c r="M715" s="37"/>
      <c r="N715" s="37"/>
      <c r="O715" s="130"/>
      <c r="P715" s="132"/>
      <c r="Q715" s="262"/>
      <c r="R715" s="92"/>
    </row>
    <row r="716" spans="3:18" x14ac:dyDescent="0.25">
      <c r="C716" s="264"/>
      <c r="D716" s="157"/>
      <c r="E716" s="44"/>
      <c r="F716" s="127"/>
      <c r="G716" s="1"/>
      <c r="H716" s="161"/>
      <c r="I716" s="37"/>
      <c r="J716" s="135"/>
      <c r="K716" s="112"/>
      <c r="L716" s="37"/>
      <c r="M716" s="37"/>
      <c r="N716" s="37"/>
      <c r="O716" s="130"/>
      <c r="P716" s="132"/>
      <c r="Q716" s="262"/>
      <c r="R716" s="92"/>
    </row>
    <row r="717" spans="3:18" x14ac:dyDescent="0.25">
      <c r="C717" s="264"/>
      <c r="D717" s="157"/>
      <c r="E717" s="44"/>
      <c r="F717" s="127"/>
      <c r="G717" s="1"/>
      <c r="H717" s="161"/>
      <c r="I717" s="37"/>
      <c r="J717" s="135"/>
      <c r="K717" s="112"/>
      <c r="L717" s="37"/>
      <c r="M717" s="37"/>
      <c r="N717" s="37"/>
      <c r="O717" s="130"/>
      <c r="P717" s="132"/>
      <c r="Q717" s="262"/>
      <c r="R717" s="92"/>
    </row>
    <row r="718" spans="3:18" x14ac:dyDescent="0.25">
      <c r="C718" s="264"/>
      <c r="D718" s="157"/>
      <c r="E718" s="44"/>
      <c r="F718" s="127"/>
      <c r="G718" s="1"/>
      <c r="H718" s="161"/>
      <c r="I718" s="37"/>
      <c r="J718" s="135"/>
      <c r="K718" s="112"/>
      <c r="L718" s="37"/>
      <c r="M718" s="37"/>
      <c r="N718" s="37"/>
      <c r="O718" s="130"/>
      <c r="P718" s="132"/>
      <c r="Q718" s="262"/>
      <c r="R718" s="92"/>
    </row>
    <row r="719" spans="3:18" x14ac:dyDescent="0.25">
      <c r="C719" s="264"/>
      <c r="D719" s="157"/>
      <c r="E719" s="44"/>
      <c r="F719" s="127"/>
      <c r="G719" s="1"/>
      <c r="H719" s="161"/>
      <c r="I719" s="37"/>
      <c r="J719" s="135"/>
      <c r="K719" s="112"/>
      <c r="L719" s="37"/>
      <c r="M719" s="37"/>
      <c r="N719" s="37"/>
      <c r="O719" s="130"/>
      <c r="P719" s="132"/>
      <c r="Q719" s="262"/>
      <c r="R719" s="92"/>
    </row>
    <row r="720" spans="3:18" x14ac:dyDescent="0.25">
      <c r="C720" s="264"/>
      <c r="D720" s="157"/>
      <c r="E720" s="44"/>
      <c r="F720" s="127"/>
      <c r="G720" s="1"/>
      <c r="H720" s="161"/>
      <c r="I720" s="37"/>
      <c r="J720" s="135"/>
      <c r="K720" s="112"/>
      <c r="L720" s="37"/>
      <c r="M720" s="37"/>
      <c r="N720" s="37"/>
      <c r="O720" s="130"/>
      <c r="P720" s="132"/>
      <c r="Q720" s="262"/>
      <c r="R720" s="92"/>
    </row>
    <row r="721" spans="3:18" x14ac:dyDescent="0.25">
      <c r="C721" s="264"/>
      <c r="D721" s="157"/>
      <c r="E721" s="44"/>
      <c r="F721" s="127"/>
      <c r="G721" s="1"/>
      <c r="H721" s="161"/>
      <c r="I721" s="37"/>
      <c r="J721" s="135"/>
      <c r="K721" s="112"/>
      <c r="L721" s="37"/>
      <c r="M721" s="37"/>
      <c r="N721" s="37"/>
      <c r="O721" s="130"/>
      <c r="P721" s="132"/>
      <c r="Q721" s="262"/>
      <c r="R721" s="92"/>
    </row>
    <row r="722" spans="3:18" x14ac:dyDescent="0.25">
      <c r="C722" s="264"/>
      <c r="D722" s="157"/>
      <c r="E722" s="44"/>
      <c r="F722" s="127"/>
      <c r="G722" s="1"/>
      <c r="H722" s="161"/>
      <c r="I722" s="37"/>
      <c r="J722" s="135"/>
      <c r="K722" s="112"/>
      <c r="L722" s="37"/>
      <c r="M722" s="37"/>
      <c r="N722" s="37"/>
      <c r="O722" s="130"/>
      <c r="P722" s="132"/>
      <c r="Q722" s="262"/>
      <c r="R722" s="92"/>
    </row>
    <row r="723" spans="3:18" x14ac:dyDescent="0.25">
      <c r="C723" s="264"/>
      <c r="D723" s="157"/>
      <c r="E723" s="44"/>
      <c r="F723" s="127"/>
      <c r="G723" s="1"/>
      <c r="H723" s="161"/>
      <c r="I723" s="37"/>
      <c r="J723" s="135"/>
      <c r="K723" s="112"/>
      <c r="L723" s="37"/>
      <c r="M723" s="37"/>
      <c r="N723" s="37"/>
      <c r="O723" s="130"/>
      <c r="P723" s="132"/>
      <c r="Q723" s="262"/>
      <c r="R723" s="92"/>
    </row>
    <row r="724" spans="3:18" x14ac:dyDescent="0.25">
      <c r="C724" s="264"/>
      <c r="D724" s="157"/>
      <c r="E724" s="44"/>
      <c r="F724" s="127"/>
      <c r="G724" s="1"/>
      <c r="H724" s="161"/>
      <c r="I724" s="37"/>
      <c r="J724" s="135"/>
      <c r="K724" s="112"/>
      <c r="L724" s="37"/>
      <c r="M724" s="37"/>
      <c r="N724" s="37"/>
      <c r="O724" s="130"/>
      <c r="P724" s="132"/>
      <c r="Q724" s="262"/>
      <c r="R724" s="92"/>
    </row>
    <row r="725" spans="3:18" x14ac:dyDescent="0.25">
      <c r="C725" s="264"/>
      <c r="D725" s="157"/>
      <c r="E725" s="44"/>
      <c r="F725" s="127"/>
      <c r="G725" s="1"/>
      <c r="H725" s="161"/>
      <c r="I725" s="37"/>
      <c r="J725" s="135"/>
      <c r="K725" s="112"/>
      <c r="L725" s="37"/>
      <c r="M725" s="37"/>
      <c r="N725" s="37"/>
      <c r="O725" s="130"/>
      <c r="P725" s="132"/>
      <c r="Q725" s="262"/>
      <c r="R725" s="92"/>
    </row>
    <row r="726" spans="3:18" x14ac:dyDescent="0.25">
      <c r="C726" s="264"/>
      <c r="D726" s="157"/>
      <c r="E726" s="44"/>
      <c r="F726" s="127"/>
      <c r="G726" s="1"/>
      <c r="H726" s="161"/>
      <c r="I726" s="37"/>
      <c r="J726" s="135"/>
      <c r="K726" s="112"/>
      <c r="L726" s="37"/>
      <c r="M726" s="37"/>
      <c r="N726" s="37"/>
      <c r="O726" s="130"/>
      <c r="P726" s="132"/>
      <c r="Q726" s="262"/>
      <c r="R726" s="92"/>
    </row>
    <row r="727" spans="3:18" x14ac:dyDescent="0.25">
      <c r="C727" s="264"/>
      <c r="D727" s="157"/>
      <c r="E727" s="44"/>
      <c r="F727" s="127"/>
      <c r="G727" s="1"/>
      <c r="H727" s="161"/>
      <c r="I727" s="37"/>
      <c r="J727" s="135"/>
      <c r="K727" s="112"/>
      <c r="L727" s="37"/>
      <c r="M727" s="37"/>
      <c r="N727" s="37"/>
      <c r="O727" s="130"/>
      <c r="P727" s="132"/>
      <c r="Q727" s="262"/>
      <c r="R727" s="92"/>
    </row>
    <row r="728" spans="3:18" x14ac:dyDescent="0.25">
      <c r="C728" s="264"/>
      <c r="D728" s="157"/>
      <c r="E728" s="44"/>
      <c r="F728" s="127"/>
      <c r="G728" s="1"/>
      <c r="H728" s="161"/>
      <c r="I728" s="37"/>
      <c r="J728" s="135"/>
      <c r="K728" s="112"/>
      <c r="L728" s="37"/>
      <c r="M728" s="37"/>
      <c r="N728" s="37"/>
      <c r="O728" s="130"/>
      <c r="P728" s="132"/>
      <c r="Q728" s="262"/>
      <c r="R728" s="92"/>
    </row>
    <row r="729" spans="3:18" x14ac:dyDescent="0.25">
      <c r="C729" s="264"/>
      <c r="D729" s="157"/>
      <c r="E729" s="44"/>
      <c r="F729" s="127"/>
      <c r="G729" s="1"/>
      <c r="H729" s="161"/>
      <c r="I729" s="37"/>
      <c r="J729" s="135"/>
      <c r="K729" s="112"/>
      <c r="L729" s="37"/>
      <c r="M729" s="37"/>
      <c r="N729" s="37"/>
      <c r="O729" s="130"/>
      <c r="P729" s="132"/>
      <c r="Q729" s="262"/>
      <c r="R729" s="92"/>
    </row>
    <row r="730" spans="3:18" x14ac:dyDescent="0.25">
      <c r="C730" s="264"/>
      <c r="D730" s="157"/>
      <c r="E730" s="44"/>
      <c r="F730" s="127"/>
      <c r="G730" s="1"/>
      <c r="H730" s="161"/>
      <c r="I730" s="37"/>
      <c r="J730" s="135"/>
      <c r="K730" s="112"/>
      <c r="L730" s="37"/>
      <c r="M730" s="37"/>
      <c r="N730" s="37"/>
      <c r="O730" s="130"/>
      <c r="P730" s="132"/>
      <c r="Q730" s="262"/>
      <c r="R730" s="92"/>
    </row>
    <row r="731" spans="3:18" x14ac:dyDescent="0.25">
      <c r="C731" s="264"/>
      <c r="D731" s="157"/>
      <c r="E731" s="44"/>
      <c r="F731" s="127"/>
      <c r="G731" s="1"/>
      <c r="H731" s="161"/>
      <c r="I731" s="37"/>
      <c r="J731" s="135"/>
      <c r="K731" s="112"/>
      <c r="L731" s="37"/>
      <c r="M731" s="37"/>
      <c r="N731" s="37"/>
      <c r="O731" s="130"/>
      <c r="P731" s="132"/>
      <c r="Q731" s="262"/>
      <c r="R731" s="92"/>
    </row>
    <row r="732" spans="3:18" x14ac:dyDescent="0.25">
      <c r="C732" s="264"/>
      <c r="D732" s="157"/>
      <c r="E732" s="44"/>
      <c r="F732" s="127"/>
      <c r="G732" s="1"/>
      <c r="H732" s="161"/>
      <c r="I732" s="37"/>
      <c r="J732" s="135"/>
      <c r="K732" s="112"/>
      <c r="L732" s="37"/>
      <c r="M732" s="37"/>
      <c r="N732" s="37"/>
      <c r="O732" s="130"/>
      <c r="P732" s="132"/>
      <c r="Q732" s="262"/>
      <c r="R732" s="92"/>
    </row>
    <row r="733" spans="3:18" x14ac:dyDescent="0.25">
      <c r="C733" s="264"/>
      <c r="D733" s="157"/>
      <c r="E733" s="44"/>
      <c r="F733" s="127"/>
      <c r="G733" s="1"/>
      <c r="H733" s="161"/>
      <c r="I733" s="37"/>
      <c r="J733" s="135"/>
      <c r="K733" s="112"/>
      <c r="L733" s="37"/>
      <c r="M733" s="37"/>
      <c r="N733" s="37"/>
      <c r="O733" s="130"/>
      <c r="P733" s="132"/>
      <c r="Q733" s="262"/>
      <c r="R733" s="92"/>
    </row>
    <row r="734" spans="3:18" x14ac:dyDescent="0.25">
      <c r="C734" s="264"/>
      <c r="D734" s="157"/>
      <c r="E734" s="44"/>
      <c r="F734" s="127"/>
      <c r="G734" s="1"/>
      <c r="H734" s="161"/>
      <c r="I734" s="37"/>
      <c r="J734" s="135"/>
      <c r="K734" s="112"/>
      <c r="L734" s="37"/>
      <c r="M734" s="37"/>
      <c r="N734" s="37"/>
      <c r="O734" s="130"/>
      <c r="P734" s="132"/>
      <c r="Q734" s="262"/>
      <c r="R734" s="92"/>
    </row>
    <row r="735" spans="3:18" x14ac:dyDescent="0.25">
      <c r="C735" s="264"/>
      <c r="D735" s="157"/>
      <c r="E735" s="44"/>
      <c r="F735" s="127"/>
      <c r="G735" s="1"/>
      <c r="H735" s="161"/>
      <c r="I735" s="37"/>
      <c r="J735" s="135"/>
      <c r="K735" s="112"/>
      <c r="L735" s="37"/>
      <c r="M735" s="37"/>
      <c r="N735" s="37"/>
      <c r="O735" s="130"/>
      <c r="P735" s="132"/>
      <c r="Q735" s="262"/>
      <c r="R735" s="92"/>
    </row>
    <row r="736" spans="3:18" x14ac:dyDescent="0.25">
      <c r="C736" s="264"/>
      <c r="D736" s="157"/>
      <c r="E736" s="44"/>
      <c r="F736" s="127"/>
      <c r="G736" s="1"/>
      <c r="H736" s="161"/>
      <c r="I736" s="37"/>
      <c r="J736" s="135"/>
      <c r="K736" s="112"/>
      <c r="L736" s="37"/>
      <c r="M736" s="37"/>
      <c r="N736" s="37"/>
      <c r="O736" s="130"/>
      <c r="P736" s="132"/>
      <c r="Q736" s="262"/>
      <c r="R736" s="92"/>
    </row>
    <row r="737" spans="3:18" x14ac:dyDescent="0.25">
      <c r="C737" s="264"/>
      <c r="D737" s="157"/>
      <c r="E737" s="44"/>
      <c r="F737" s="127"/>
      <c r="G737" s="1"/>
      <c r="H737" s="161"/>
      <c r="I737" s="37"/>
      <c r="J737" s="135"/>
      <c r="K737" s="112"/>
      <c r="L737" s="37"/>
      <c r="M737" s="37"/>
      <c r="N737" s="37"/>
      <c r="O737" s="130"/>
      <c r="P737" s="132"/>
      <c r="Q737" s="262"/>
      <c r="R737" s="92"/>
    </row>
    <row r="738" spans="3:18" x14ac:dyDescent="0.25">
      <c r="C738" s="264"/>
      <c r="D738" s="157"/>
      <c r="E738" s="44"/>
      <c r="F738" s="127"/>
      <c r="G738" s="1"/>
      <c r="H738" s="161"/>
      <c r="I738" s="37"/>
      <c r="J738" s="135"/>
      <c r="K738" s="112"/>
      <c r="L738" s="37"/>
      <c r="M738" s="37"/>
      <c r="N738" s="37"/>
      <c r="O738" s="130"/>
      <c r="P738" s="132"/>
      <c r="Q738" s="262"/>
      <c r="R738" s="92"/>
    </row>
    <row r="739" spans="3:18" x14ac:dyDescent="0.25">
      <c r="C739" s="264"/>
      <c r="D739" s="157"/>
      <c r="E739" s="44"/>
      <c r="F739" s="127"/>
      <c r="G739" s="1"/>
      <c r="H739" s="161"/>
      <c r="I739" s="37"/>
      <c r="J739" s="135"/>
      <c r="K739" s="112"/>
      <c r="L739" s="37"/>
      <c r="M739" s="37"/>
      <c r="N739" s="37"/>
      <c r="O739" s="130"/>
      <c r="P739" s="132"/>
      <c r="Q739" s="262"/>
      <c r="R739" s="92"/>
    </row>
    <row r="740" spans="3:18" x14ac:dyDescent="0.25">
      <c r="C740" s="264"/>
      <c r="D740" s="157"/>
      <c r="E740" s="44"/>
      <c r="F740" s="127"/>
      <c r="G740" s="1"/>
      <c r="H740" s="161"/>
      <c r="I740" s="37"/>
      <c r="J740" s="135"/>
      <c r="K740" s="112"/>
      <c r="L740" s="37"/>
      <c r="M740" s="37"/>
      <c r="N740" s="37"/>
      <c r="O740" s="130"/>
      <c r="P740" s="132"/>
      <c r="Q740" s="262"/>
      <c r="R740" s="92"/>
    </row>
    <row r="741" spans="3:18" x14ac:dyDescent="0.25">
      <c r="C741" s="264"/>
      <c r="D741" s="157"/>
      <c r="E741" s="44"/>
      <c r="F741" s="127"/>
      <c r="G741" s="1"/>
      <c r="H741" s="161"/>
      <c r="I741" s="37"/>
      <c r="J741" s="135"/>
      <c r="K741" s="112"/>
      <c r="L741" s="37"/>
      <c r="M741" s="37"/>
      <c r="N741" s="37"/>
      <c r="O741" s="130"/>
      <c r="P741" s="132"/>
      <c r="Q741" s="262"/>
      <c r="R741" s="92"/>
    </row>
    <row r="742" spans="3:18" x14ac:dyDescent="0.25">
      <c r="C742" s="264"/>
      <c r="D742" s="157"/>
      <c r="E742" s="44"/>
      <c r="F742" s="127"/>
      <c r="G742" s="1"/>
      <c r="H742" s="161"/>
      <c r="I742" s="37"/>
      <c r="J742" s="135"/>
      <c r="K742" s="112"/>
      <c r="L742" s="37"/>
      <c r="M742" s="37"/>
      <c r="N742" s="37"/>
      <c r="O742" s="130"/>
      <c r="P742" s="132"/>
      <c r="Q742" s="262"/>
      <c r="R742" s="92"/>
    </row>
    <row r="743" spans="3:18" x14ac:dyDescent="0.25">
      <c r="C743" s="264"/>
      <c r="D743" s="157"/>
      <c r="E743" s="44"/>
      <c r="F743" s="127"/>
      <c r="G743" s="1"/>
      <c r="H743" s="161"/>
      <c r="I743" s="37"/>
      <c r="J743" s="135"/>
      <c r="K743" s="112"/>
      <c r="L743" s="37"/>
      <c r="M743" s="37"/>
      <c r="N743" s="37"/>
      <c r="O743" s="130"/>
      <c r="P743" s="132"/>
      <c r="Q743" s="262"/>
      <c r="R743" s="92"/>
    </row>
    <row r="744" spans="3:18" x14ac:dyDescent="0.25">
      <c r="C744" s="264"/>
      <c r="D744" s="157"/>
      <c r="E744" s="44"/>
      <c r="F744" s="127"/>
      <c r="G744" s="1"/>
      <c r="H744" s="161"/>
      <c r="I744" s="37"/>
      <c r="J744" s="135"/>
      <c r="K744" s="112"/>
      <c r="L744" s="37"/>
      <c r="M744" s="37"/>
      <c r="N744" s="37"/>
      <c r="O744" s="130"/>
      <c r="P744" s="132"/>
      <c r="Q744" s="262"/>
      <c r="R744" s="92"/>
    </row>
    <row r="745" spans="3:18" x14ac:dyDescent="0.25">
      <c r="C745" s="264"/>
      <c r="D745" s="157"/>
      <c r="E745" s="44"/>
      <c r="F745" s="127"/>
      <c r="G745" s="1"/>
      <c r="H745" s="161"/>
      <c r="I745" s="37"/>
      <c r="J745" s="135"/>
      <c r="K745" s="112"/>
      <c r="L745" s="37"/>
      <c r="M745" s="37"/>
      <c r="N745" s="37"/>
      <c r="O745" s="130"/>
      <c r="P745" s="132"/>
      <c r="Q745" s="262"/>
      <c r="R745" s="92"/>
    </row>
    <row r="746" spans="3:18" x14ac:dyDescent="0.25">
      <c r="C746" s="264"/>
      <c r="D746" s="157"/>
      <c r="E746" s="44"/>
      <c r="F746" s="127"/>
      <c r="G746" s="1"/>
      <c r="H746" s="161"/>
      <c r="I746" s="37"/>
      <c r="J746" s="135"/>
      <c r="K746" s="112"/>
      <c r="L746" s="37"/>
      <c r="M746" s="37"/>
      <c r="N746" s="37"/>
      <c r="O746" s="130"/>
      <c r="P746" s="132"/>
      <c r="Q746" s="262"/>
      <c r="R746" s="92"/>
    </row>
    <row r="747" spans="3:18" x14ac:dyDescent="0.25">
      <c r="C747" s="264"/>
      <c r="D747" s="157"/>
      <c r="E747" s="44"/>
      <c r="F747" s="127"/>
      <c r="G747" s="1"/>
      <c r="H747" s="161"/>
      <c r="I747" s="37"/>
      <c r="J747" s="135"/>
      <c r="K747" s="112"/>
      <c r="L747" s="37"/>
      <c r="M747" s="37"/>
      <c r="N747" s="37"/>
      <c r="O747" s="130"/>
      <c r="P747" s="132"/>
      <c r="Q747" s="262"/>
      <c r="R747" s="92"/>
    </row>
    <row r="748" spans="3:18" x14ac:dyDescent="0.25">
      <c r="C748" s="264"/>
      <c r="D748" s="157"/>
      <c r="E748" s="44"/>
      <c r="F748" s="127"/>
      <c r="G748" s="1"/>
      <c r="H748" s="161"/>
      <c r="I748" s="37"/>
      <c r="J748" s="135"/>
      <c r="K748" s="112"/>
      <c r="L748" s="37"/>
      <c r="M748" s="37"/>
      <c r="N748" s="37"/>
      <c r="O748" s="130"/>
      <c r="P748" s="132"/>
      <c r="Q748" s="262"/>
      <c r="R748" s="92"/>
    </row>
    <row r="749" spans="3:18" x14ac:dyDescent="0.25">
      <c r="C749" s="264"/>
      <c r="D749" s="157"/>
      <c r="E749" s="44"/>
      <c r="F749" s="127"/>
      <c r="G749" s="1"/>
      <c r="H749" s="161"/>
      <c r="I749" s="37"/>
      <c r="J749" s="135"/>
      <c r="K749" s="112"/>
      <c r="L749" s="37"/>
      <c r="M749" s="37"/>
      <c r="N749" s="37"/>
      <c r="O749" s="130"/>
      <c r="P749" s="132"/>
      <c r="Q749" s="262"/>
      <c r="R749" s="92"/>
    </row>
    <row r="750" spans="3:18" x14ac:dyDescent="0.25">
      <c r="C750" s="264"/>
      <c r="D750" s="157"/>
      <c r="E750" s="44"/>
      <c r="F750" s="127"/>
      <c r="G750" s="1"/>
      <c r="H750" s="161"/>
      <c r="I750" s="37"/>
      <c r="J750" s="135"/>
      <c r="K750" s="112"/>
      <c r="L750" s="37"/>
      <c r="M750" s="37"/>
      <c r="N750" s="37"/>
      <c r="O750" s="130"/>
      <c r="P750" s="132"/>
      <c r="Q750" s="262"/>
      <c r="R750" s="92"/>
    </row>
    <row r="751" spans="3:18" x14ac:dyDescent="0.25">
      <c r="C751" s="264"/>
      <c r="D751" s="157"/>
      <c r="E751" s="44"/>
      <c r="F751" s="127"/>
      <c r="G751" s="1"/>
      <c r="H751" s="161"/>
      <c r="I751" s="37"/>
      <c r="J751" s="135"/>
      <c r="K751" s="112"/>
      <c r="L751" s="37"/>
      <c r="M751" s="37"/>
      <c r="N751" s="37"/>
      <c r="O751" s="130"/>
      <c r="P751" s="132"/>
      <c r="Q751" s="262"/>
      <c r="R751" s="92"/>
    </row>
    <row r="752" spans="3:18" x14ac:dyDescent="0.25">
      <c r="C752" s="264"/>
      <c r="D752" s="157"/>
      <c r="E752" s="44"/>
      <c r="F752" s="127"/>
      <c r="G752" s="1"/>
      <c r="H752" s="161"/>
      <c r="I752" s="37"/>
      <c r="J752" s="135"/>
      <c r="K752" s="112"/>
      <c r="L752" s="37"/>
      <c r="M752" s="37"/>
      <c r="N752" s="37"/>
      <c r="O752" s="130"/>
      <c r="P752" s="132"/>
      <c r="Q752" s="262"/>
      <c r="R752" s="92"/>
    </row>
    <row r="753" spans="3:18" x14ac:dyDescent="0.25">
      <c r="C753" s="264"/>
      <c r="D753" s="157"/>
      <c r="E753" s="44"/>
      <c r="F753" s="127"/>
      <c r="G753" s="1"/>
      <c r="H753" s="161"/>
      <c r="I753" s="37"/>
      <c r="J753" s="135"/>
      <c r="K753" s="112"/>
      <c r="L753" s="37"/>
      <c r="M753" s="37"/>
      <c r="N753" s="37"/>
      <c r="O753" s="130"/>
      <c r="P753" s="132"/>
      <c r="Q753" s="262"/>
      <c r="R753" s="92"/>
    </row>
    <row r="754" spans="3:18" x14ac:dyDescent="0.25">
      <c r="C754" s="264"/>
      <c r="D754" s="157"/>
      <c r="E754" s="44"/>
      <c r="F754" s="127"/>
      <c r="G754" s="1"/>
      <c r="H754" s="161"/>
      <c r="I754" s="37"/>
      <c r="J754" s="135"/>
      <c r="K754" s="112"/>
      <c r="L754" s="37"/>
      <c r="M754" s="37"/>
      <c r="N754" s="37"/>
      <c r="O754" s="130"/>
      <c r="P754" s="132"/>
      <c r="Q754" s="262"/>
      <c r="R754" s="92"/>
    </row>
    <row r="755" spans="3:18" x14ac:dyDescent="0.25">
      <c r="C755" s="264"/>
      <c r="D755" s="157"/>
      <c r="E755" s="44"/>
      <c r="F755" s="127"/>
      <c r="G755" s="1"/>
      <c r="H755" s="161"/>
      <c r="I755" s="37"/>
      <c r="J755" s="135"/>
      <c r="K755" s="112"/>
      <c r="L755" s="37"/>
      <c r="M755" s="37"/>
      <c r="N755" s="37"/>
      <c r="O755" s="130"/>
      <c r="P755" s="132"/>
      <c r="Q755" s="262"/>
      <c r="R755" s="92"/>
    </row>
    <row r="756" spans="3:18" x14ac:dyDescent="0.25">
      <c r="C756" s="264"/>
      <c r="D756" s="157"/>
      <c r="E756" s="44"/>
      <c r="F756" s="127"/>
      <c r="G756" s="1"/>
      <c r="H756" s="161"/>
      <c r="I756" s="37"/>
      <c r="J756" s="135"/>
      <c r="K756" s="112"/>
      <c r="L756" s="37"/>
      <c r="M756" s="37"/>
      <c r="N756" s="37"/>
      <c r="O756" s="130"/>
      <c r="P756" s="132"/>
      <c r="Q756" s="262"/>
      <c r="R756" s="92"/>
    </row>
    <row r="757" spans="3:18" x14ac:dyDescent="0.25">
      <c r="C757" s="264"/>
      <c r="D757" s="157"/>
      <c r="E757" s="44"/>
      <c r="F757" s="127"/>
      <c r="G757" s="1"/>
      <c r="H757" s="161"/>
      <c r="I757" s="37"/>
      <c r="J757" s="135"/>
      <c r="K757" s="112"/>
      <c r="L757" s="37"/>
      <c r="M757" s="37"/>
      <c r="N757" s="37"/>
      <c r="O757" s="130"/>
      <c r="P757" s="132"/>
      <c r="Q757" s="262"/>
      <c r="R757" s="92"/>
    </row>
    <row r="758" spans="3:18" x14ac:dyDescent="0.25">
      <c r="C758" s="264"/>
      <c r="D758" s="157"/>
      <c r="E758" s="44"/>
      <c r="F758" s="127"/>
      <c r="G758" s="1"/>
      <c r="H758" s="161"/>
      <c r="I758" s="37"/>
      <c r="J758" s="135"/>
      <c r="K758" s="112"/>
      <c r="L758" s="37"/>
      <c r="M758" s="37"/>
      <c r="N758" s="37"/>
      <c r="O758" s="130"/>
      <c r="P758" s="132"/>
      <c r="Q758" s="262"/>
      <c r="R758" s="92"/>
    </row>
    <row r="759" spans="3:18" x14ac:dyDescent="0.25">
      <c r="C759" s="264"/>
      <c r="D759" s="157"/>
      <c r="E759" s="44"/>
      <c r="F759" s="127"/>
      <c r="G759" s="1"/>
      <c r="H759" s="161"/>
      <c r="I759" s="37"/>
      <c r="J759" s="135"/>
      <c r="K759" s="112"/>
      <c r="L759" s="37"/>
      <c r="M759" s="37"/>
      <c r="N759" s="37"/>
      <c r="O759" s="130"/>
      <c r="P759" s="132"/>
      <c r="Q759" s="262"/>
      <c r="R759" s="92"/>
    </row>
    <row r="760" spans="3:18" x14ac:dyDescent="0.25">
      <c r="C760" s="264"/>
      <c r="D760" s="157"/>
      <c r="E760" s="44"/>
      <c r="F760" s="127"/>
      <c r="G760" s="1"/>
      <c r="H760" s="161"/>
      <c r="I760" s="37"/>
      <c r="J760" s="135"/>
      <c r="K760" s="112"/>
      <c r="L760" s="37"/>
      <c r="M760" s="37"/>
      <c r="N760" s="37"/>
      <c r="O760" s="130"/>
      <c r="P760" s="132"/>
      <c r="Q760" s="262"/>
      <c r="R760" s="92"/>
    </row>
    <row r="761" spans="3:18" x14ac:dyDescent="0.25">
      <c r="C761" s="264"/>
      <c r="D761" s="157"/>
      <c r="E761" s="44"/>
      <c r="F761" s="127"/>
      <c r="G761" s="1"/>
      <c r="H761" s="161"/>
      <c r="I761" s="37"/>
      <c r="J761" s="135"/>
      <c r="K761" s="112"/>
      <c r="L761" s="37"/>
      <c r="M761" s="37"/>
      <c r="N761" s="37"/>
      <c r="O761" s="130"/>
      <c r="P761" s="132"/>
      <c r="Q761" s="262"/>
      <c r="R761" s="92"/>
    </row>
    <row r="762" spans="3:18" x14ac:dyDescent="0.25">
      <c r="C762" s="264"/>
      <c r="D762" s="157"/>
      <c r="E762" s="44"/>
      <c r="F762" s="127"/>
      <c r="G762" s="1"/>
      <c r="H762" s="161"/>
      <c r="I762" s="37"/>
      <c r="J762" s="135"/>
      <c r="K762" s="112"/>
      <c r="L762" s="37"/>
      <c r="M762" s="37"/>
      <c r="N762" s="37"/>
      <c r="O762" s="130"/>
      <c r="P762" s="132"/>
      <c r="Q762" s="262"/>
      <c r="R762" s="92"/>
    </row>
    <row r="763" spans="3:18" x14ac:dyDescent="0.25">
      <c r="C763" s="264"/>
      <c r="D763" s="157"/>
      <c r="E763" s="44"/>
      <c r="F763" s="127"/>
      <c r="G763" s="1"/>
      <c r="H763" s="161"/>
      <c r="I763" s="37"/>
      <c r="J763" s="135"/>
      <c r="K763" s="112"/>
      <c r="L763" s="37"/>
      <c r="M763" s="37"/>
      <c r="N763" s="37"/>
      <c r="O763" s="130"/>
      <c r="P763" s="132"/>
      <c r="Q763" s="262"/>
      <c r="R763" s="92"/>
    </row>
    <row r="764" spans="3:18" x14ac:dyDescent="0.25">
      <c r="C764" s="264"/>
      <c r="D764" s="157"/>
      <c r="E764" s="44"/>
      <c r="F764" s="127"/>
      <c r="G764" s="1"/>
      <c r="H764" s="161"/>
      <c r="I764" s="37"/>
      <c r="J764" s="135"/>
      <c r="K764" s="112"/>
      <c r="L764" s="37"/>
      <c r="M764" s="37"/>
      <c r="N764" s="37"/>
      <c r="O764" s="130"/>
      <c r="P764" s="132"/>
      <c r="Q764" s="262"/>
      <c r="R764" s="92"/>
    </row>
    <row r="765" spans="3:18" x14ac:dyDescent="0.25">
      <c r="C765" s="264"/>
      <c r="D765" s="157"/>
      <c r="E765" s="44"/>
      <c r="F765" s="127"/>
      <c r="G765" s="1"/>
      <c r="H765" s="161"/>
      <c r="I765" s="37"/>
      <c r="J765" s="135"/>
      <c r="K765" s="112"/>
      <c r="L765" s="37"/>
      <c r="M765" s="37"/>
      <c r="N765" s="37"/>
      <c r="O765" s="130"/>
      <c r="P765" s="132"/>
      <c r="Q765" s="262"/>
      <c r="R765" s="92"/>
    </row>
    <row r="766" spans="3:18" x14ac:dyDescent="0.25">
      <c r="C766" s="264"/>
      <c r="D766" s="157"/>
      <c r="E766" s="44"/>
      <c r="F766" s="127"/>
      <c r="G766" s="1"/>
      <c r="H766" s="161"/>
      <c r="I766" s="37"/>
      <c r="J766" s="135"/>
      <c r="K766" s="112"/>
      <c r="L766" s="37"/>
      <c r="M766" s="37"/>
      <c r="N766" s="37"/>
      <c r="O766" s="130"/>
      <c r="P766" s="132"/>
      <c r="Q766" s="262"/>
      <c r="R766" s="92"/>
    </row>
    <row r="767" spans="3:18" x14ac:dyDescent="0.25">
      <c r="C767" s="264"/>
      <c r="D767" s="157"/>
      <c r="E767" s="44"/>
      <c r="F767" s="127"/>
      <c r="G767" s="1"/>
      <c r="H767" s="161"/>
      <c r="I767" s="37"/>
      <c r="J767" s="135"/>
      <c r="K767" s="112"/>
      <c r="L767" s="37"/>
      <c r="M767" s="37"/>
      <c r="N767" s="37"/>
      <c r="O767" s="130"/>
      <c r="P767" s="132"/>
      <c r="Q767" s="262"/>
      <c r="R767" s="92"/>
    </row>
    <row r="768" spans="3:18" x14ac:dyDescent="0.25">
      <c r="C768" s="264"/>
      <c r="D768" s="157"/>
      <c r="E768" s="44"/>
      <c r="F768" s="127"/>
      <c r="G768" s="1"/>
      <c r="H768" s="161"/>
      <c r="I768" s="37"/>
      <c r="J768" s="135"/>
      <c r="K768" s="112"/>
      <c r="L768" s="37"/>
      <c r="M768" s="37"/>
      <c r="N768" s="37"/>
      <c r="O768" s="130"/>
      <c r="P768" s="132"/>
      <c r="Q768" s="262"/>
      <c r="R768" s="92"/>
    </row>
    <row r="769" spans="3:18" x14ac:dyDescent="0.25">
      <c r="C769" s="264"/>
      <c r="D769" s="157"/>
      <c r="E769" s="44"/>
      <c r="F769" s="127"/>
      <c r="G769" s="1"/>
      <c r="H769" s="161"/>
      <c r="I769" s="37"/>
      <c r="J769" s="135"/>
      <c r="K769" s="112"/>
      <c r="L769" s="37"/>
      <c r="M769" s="37"/>
      <c r="N769" s="37"/>
      <c r="O769" s="130"/>
      <c r="P769" s="132"/>
      <c r="Q769" s="262"/>
      <c r="R769" s="92"/>
    </row>
    <row r="770" spans="3:18" x14ac:dyDescent="0.25">
      <c r="C770" s="264"/>
      <c r="D770" s="157"/>
      <c r="E770" s="44"/>
      <c r="F770" s="127"/>
      <c r="G770" s="1"/>
      <c r="H770" s="161"/>
      <c r="I770" s="37"/>
      <c r="J770" s="135"/>
      <c r="K770" s="112"/>
      <c r="L770" s="37"/>
      <c r="M770" s="37"/>
      <c r="N770" s="37"/>
      <c r="O770" s="130"/>
      <c r="P770" s="132"/>
      <c r="Q770" s="262"/>
      <c r="R770" s="92"/>
    </row>
    <row r="771" spans="3:18" x14ac:dyDescent="0.25">
      <c r="C771" s="264"/>
      <c r="D771" s="157"/>
      <c r="E771" s="44"/>
      <c r="F771" s="127"/>
      <c r="G771" s="1"/>
      <c r="H771" s="161"/>
      <c r="I771" s="37"/>
      <c r="J771" s="135"/>
      <c r="K771" s="112"/>
      <c r="L771" s="37"/>
      <c r="M771" s="37"/>
      <c r="N771" s="37"/>
      <c r="O771" s="130"/>
      <c r="P771" s="132"/>
      <c r="Q771" s="262"/>
      <c r="R771" s="92"/>
    </row>
    <row r="772" spans="3:18" x14ac:dyDescent="0.25">
      <c r="C772" s="264"/>
      <c r="D772" s="157"/>
      <c r="E772" s="44"/>
      <c r="F772" s="127"/>
      <c r="G772" s="1"/>
      <c r="H772" s="161"/>
      <c r="I772" s="37"/>
      <c r="J772" s="135"/>
      <c r="K772" s="112"/>
      <c r="L772" s="37"/>
      <c r="M772" s="37"/>
      <c r="N772" s="37"/>
      <c r="O772" s="130"/>
      <c r="P772" s="132"/>
      <c r="Q772" s="262"/>
      <c r="R772" s="92"/>
    </row>
    <row r="773" spans="3:18" x14ac:dyDescent="0.25">
      <c r="C773" s="264"/>
      <c r="D773" s="157"/>
      <c r="E773" s="44"/>
      <c r="F773" s="127"/>
      <c r="G773" s="1"/>
      <c r="H773" s="161"/>
      <c r="I773" s="37"/>
      <c r="J773" s="135"/>
      <c r="K773" s="112"/>
      <c r="L773" s="37"/>
      <c r="M773" s="37"/>
      <c r="N773" s="37"/>
      <c r="O773" s="130"/>
      <c r="P773" s="132"/>
      <c r="Q773" s="262"/>
      <c r="R773" s="92"/>
    </row>
    <row r="774" spans="3:18" x14ac:dyDescent="0.25">
      <c r="C774" s="264"/>
      <c r="D774" s="157"/>
      <c r="E774" s="44"/>
      <c r="F774" s="127"/>
      <c r="G774" s="1"/>
      <c r="H774" s="161"/>
      <c r="I774" s="37"/>
      <c r="J774" s="135"/>
      <c r="K774" s="112"/>
      <c r="L774" s="37"/>
      <c r="M774" s="37"/>
      <c r="N774" s="37"/>
      <c r="O774" s="130"/>
      <c r="P774" s="132"/>
      <c r="Q774" s="262"/>
      <c r="R774" s="92"/>
    </row>
    <row r="775" spans="3:18" x14ac:dyDescent="0.25">
      <c r="C775" s="264"/>
      <c r="D775" s="157"/>
      <c r="E775" s="44"/>
      <c r="F775" s="127"/>
      <c r="G775" s="1"/>
      <c r="H775" s="161"/>
      <c r="I775" s="37"/>
      <c r="J775" s="135"/>
      <c r="K775" s="112"/>
      <c r="L775" s="37"/>
      <c r="M775" s="37"/>
      <c r="N775" s="37"/>
      <c r="O775" s="130"/>
      <c r="P775" s="132"/>
      <c r="Q775" s="262"/>
      <c r="R775" s="92"/>
    </row>
    <row r="776" spans="3:18" x14ac:dyDescent="0.25">
      <c r="C776" s="264"/>
      <c r="D776" s="157"/>
      <c r="E776" s="44"/>
      <c r="F776" s="127"/>
      <c r="G776" s="1"/>
      <c r="H776" s="161"/>
      <c r="I776" s="37"/>
      <c r="J776" s="135"/>
      <c r="K776" s="112"/>
      <c r="L776" s="37"/>
      <c r="M776" s="37"/>
      <c r="N776" s="37"/>
      <c r="O776" s="130"/>
      <c r="P776" s="132"/>
      <c r="Q776" s="262"/>
      <c r="R776" s="92"/>
    </row>
    <row r="777" spans="3:18" x14ac:dyDescent="0.25">
      <c r="C777" s="264"/>
      <c r="D777" s="157"/>
      <c r="E777" s="44"/>
      <c r="F777" s="127"/>
      <c r="G777" s="1"/>
      <c r="H777" s="161"/>
      <c r="I777" s="37"/>
      <c r="J777" s="135"/>
      <c r="K777" s="112"/>
      <c r="L777" s="37"/>
      <c r="M777" s="37"/>
      <c r="N777" s="37"/>
      <c r="O777" s="130"/>
      <c r="P777" s="132"/>
      <c r="Q777" s="262"/>
      <c r="R777" s="92"/>
    </row>
    <row r="778" spans="3:18" x14ac:dyDescent="0.25">
      <c r="C778" s="264"/>
      <c r="D778" s="157"/>
      <c r="E778" s="44"/>
      <c r="F778" s="127"/>
      <c r="G778" s="1"/>
      <c r="H778" s="161"/>
      <c r="I778" s="37"/>
      <c r="J778" s="135"/>
      <c r="K778" s="112"/>
      <c r="L778" s="37"/>
      <c r="M778" s="37"/>
      <c r="N778" s="37"/>
      <c r="O778" s="130"/>
      <c r="P778" s="132"/>
      <c r="Q778" s="262"/>
      <c r="R778" s="92"/>
    </row>
    <row r="779" spans="3:18" x14ac:dyDescent="0.25">
      <c r="C779" s="264"/>
      <c r="D779" s="157"/>
      <c r="E779" s="44"/>
      <c r="F779" s="127"/>
      <c r="G779" s="1"/>
      <c r="H779" s="161"/>
      <c r="I779" s="37"/>
      <c r="J779" s="135"/>
      <c r="K779" s="112"/>
      <c r="L779" s="37"/>
      <c r="M779" s="37"/>
      <c r="N779" s="37"/>
      <c r="O779" s="130"/>
      <c r="P779" s="132"/>
      <c r="Q779" s="262"/>
      <c r="R779" s="92"/>
    </row>
    <row r="780" spans="3:18" x14ac:dyDescent="0.25">
      <c r="C780" s="264"/>
      <c r="D780" s="157"/>
      <c r="E780" s="44"/>
      <c r="F780" s="127"/>
      <c r="G780" s="1"/>
      <c r="H780" s="161"/>
      <c r="I780" s="37"/>
      <c r="J780" s="135"/>
      <c r="K780" s="112"/>
      <c r="L780" s="37"/>
      <c r="M780" s="37"/>
      <c r="N780" s="37"/>
      <c r="O780" s="130"/>
      <c r="P780" s="132"/>
      <c r="Q780" s="262"/>
      <c r="R780" s="92"/>
    </row>
    <row r="781" spans="3:18" x14ac:dyDescent="0.25">
      <c r="C781" s="264"/>
      <c r="D781" s="157"/>
      <c r="E781" s="44"/>
      <c r="F781" s="127"/>
      <c r="G781" s="1"/>
      <c r="H781" s="161"/>
      <c r="I781" s="37"/>
      <c r="J781" s="135"/>
      <c r="K781" s="112"/>
      <c r="L781" s="37"/>
      <c r="M781" s="37"/>
      <c r="N781" s="37"/>
      <c r="O781" s="130"/>
      <c r="P781" s="132"/>
      <c r="Q781" s="262"/>
      <c r="R781" s="92"/>
    </row>
    <row r="782" spans="3:18" x14ac:dyDescent="0.25">
      <c r="C782" s="264"/>
      <c r="D782" s="157"/>
      <c r="E782" s="44"/>
      <c r="F782" s="127"/>
      <c r="G782" s="1"/>
      <c r="H782" s="161"/>
      <c r="I782" s="37"/>
      <c r="J782" s="135"/>
      <c r="K782" s="112"/>
      <c r="L782" s="37"/>
      <c r="M782" s="37"/>
      <c r="N782" s="37"/>
      <c r="O782" s="130"/>
      <c r="P782" s="132"/>
      <c r="Q782" s="262"/>
      <c r="R782" s="92"/>
    </row>
    <row r="783" spans="3:18" x14ac:dyDescent="0.25">
      <c r="C783" s="264"/>
      <c r="D783" s="157"/>
      <c r="E783" s="44"/>
      <c r="F783" s="127"/>
      <c r="G783" s="1"/>
      <c r="H783" s="161"/>
      <c r="I783" s="37"/>
      <c r="J783" s="135"/>
      <c r="K783" s="112"/>
      <c r="L783" s="37"/>
      <c r="M783" s="37"/>
      <c r="N783" s="37"/>
      <c r="O783" s="130"/>
      <c r="P783" s="132"/>
      <c r="Q783" s="262"/>
      <c r="R783" s="92"/>
    </row>
    <row r="784" spans="3:18" x14ac:dyDescent="0.25">
      <c r="C784" s="264"/>
      <c r="D784" s="157"/>
      <c r="E784" s="44"/>
      <c r="F784" s="127"/>
      <c r="G784" s="1"/>
      <c r="H784" s="161"/>
      <c r="I784" s="37"/>
      <c r="J784" s="135"/>
      <c r="K784" s="112"/>
      <c r="L784" s="37"/>
      <c r="M784" s="37"/>
      <c r="N784" s="37"/>
      <c r="O784" s="130"/>
      <c r="P784" s="132"/>
      <c r="Q784" s="262"/>
      <c r="R784" s="92"/>
    </row>
    <row r="785" spans="3:18" x14ac:dyDescent="0.25">
      <c r="C785" s="264"/>
      <c r="D785" s="157"/>
      <c r="E785" s="44"/>
      <c r="F785" s="127"/>
      <c r="G785" s="1"/>
      <c r="H785" s="161"/>
      <c r="I785" s="37"/>
      <c r="J785" s="135"/>
      <c r="K785" s="112"/>
      <c r="L785" s="37"/>
      <c r="M785" s="37"/>
      <c r="N785" s="37"/>
      <c r="O785" s="130"/>
      <c r="P785" s="132"/>
      <c r="Q785" s="262"/>
      <c r="R785" s="92"/>
    </row>
    <row r="786" spans="3:18" x14ac:dyDescent="0.25">
      <c r="C786" s="264"/>
      <c r="D786" s="157"/>
      <c r="E786" s="44"/>
      <c r="F786" s="127"/>
      <c r="G786" s="1"/>
      <c r="H786" s="161"/>
      <c r="I786" s="37"/>
      <c r="J786" s="135"/>
      <c r="K786" s="112"/>
      <c r="L786" s="37"/>
      <c r="M786" s="37"/>
      <c r="N786" s="37"/>
      <c r="O786" s="130"/>
      <c r="P786" s="132"/>
      <c r="Q786" s="262"/>
      <c r="R786" s="92"/>
    </row>
    <row r="787" spans="3:18" x14ac:dyDescent="0.25">
      <c r="C787" s="264"/>
      <c r="D787" s="157"/>
      <c r="E787" s="44"/>
      <c r="F787" s="127"/>
      <c r="G787" s="1"/>
      <c r="H787" s="161"/>
      <c r="I787" s="37"/>
      <c r="J787" s="135"/>
      <c r="K787" s="112"/>
      <c r="L787" s="37"/>
      <c r="M787" s="37"/>
      <c r="N787" s="37"/>
      <c r="O787" s="130"/>
      <c r="P787" s="132"/>
      <c r="Q787" s="262"/>
      <c r="R787" s="92"/>
    </row>
    <row r="788" spans="3:18" x14ac:dyDescent="0.25">
      <c r="C788" s="264"/>
      <c r="D788" s="157"/>
      <c r="E788" s="44"/>
      <c r="F788" s="127"/>
      <c r="G788" s="1"/>
      <c r="H788" s="161"/>
      <c r="I788" s="37"/>
      <c r="J788" s="135"/>
      <c r="K788" s="112"/>
      <c r="L788" s="37"/>
      <c r="M788" s="37"/>
      <c r="N788" s="37"/>
      <c r="O788" s="130"/>
      <c r="P788" s="132"/>
      <c r="Q788" s="262"/>
      <c r="R788" s="92"/>
    </row>
    <row r="789" spans="3:18" x14ac:dyDescent="0.25">
      <c r="C789" s="264"/>
      <c r="D789" s="157"/>
      <c r="E789" s="44"/>
      <c r="F789" s="127"/>
      <c r="G789" s="1"/>
      <c r="H789" s="161"/>
      <c r="I789" s="37"/>
      <c r="J789" s="135"/>
      <c r="K789" s="112"/>
      <c r="L789" s="37"/>
      <c r="M789" s="37"/>
      <c r="N789" s="37"/>
      <c r="O789" s="130"/>
      <c r="P789" s="132"/>
      <c r="Q789" s="262"/>
      <c r="R789" s="92"/>
    </row>
    <row r="790" spans="3:18" ht="12" thickBot="1" x14ac:dyDescent="0.3">
      <c r="C790" s="264"/>
      <c r="D790" s="157"/>
      <c r="E790" s="44"/>
      <c r="F790" s="127"/>
      <c r="G790" s="1"/>
      <c r="H790" s="161"/>
      <c r="I790" s="37"/>
      <c r="J790" s="135"/>
      <c r="K790" s="112"/>
      <c r="L790" s="37"/>
      <c r="M790" s="37"/>
      <c r="N790" s="37"/>
      <c r="O790" s="130"/>
      <c r="P790" s="132"/>
      <c r="Q790" s="262"/>
      <c r="R790" s="92"/>
    </row>
    <row r="791" spans="3:18" ht="12" thickBot="1" x14ac:dyDescent="0.3">
      <c r="P791" s="280">
        <f>SUM(P22:P790)</f>
        <v>175143161.72778359</v>
      </c>
    </row>
  </sheetData>
  <conditionalFormatting sqref="F22:F217">
    <cfRule type="containsText" dxfId="34" priority="16" operator="containsText" text="ERROR">
      <formula>NOT(ISERROR(SEARCH("ERROR",F22)))</formula>
    </cfRule>
  </conditionalFormatting>
  <conditionalFormatting sqref="J22:J421">
    <cfRule type="cellIs" dxfId="33" priority="13" operator="equal">
      <formula>1</formula>
    </cfRule>
  </conditionalFormatting>
  <conditionalFormatting sqref="F219:F649">
    <cfRule type="containsText" dxfId="32" priority="6" operator="containsText" text="ERROR">
      <formula>NOT(ISERROR(SEARCH("ERROR",F219)))</formula>
    </cfRule>
  </conditionalFormatting>
  <conditionalFormatting sqref="J23:J649">
    <cfRule type="cellIs" dxfId="31" priority="5" operator="equal">
      <formula>1</formula>
    </cfRule>
  </conditionalFormatting>
  <conditionalFormatting sqref="F218">
    <cfRule type="containsText" dxfId="30" priority="10" operator="containsText" text="ERROR">
      <formula>NOT(ISERROR(SEARCH("ERROR",F218)))</formula>
    </cfRule>
  </conditionalFormatting>
  <conditionalFormatting sqref="J218">
    <cfRule type="cellIs" dxfId="29" priority="9" operator="equal">
      <formula>1</formula>
    </cfRule>
  </conditionalFormatting>
  <conditionalFormatting sqref="F726:F790">
    <cfRule type="containsText" dxfId="28" priority="2" operator="containsText" text="ERROR">
      <formula>NOT(ISERROR(SEARCH("ERROR",F726)))</formula>
    </cfRule>
  </conditionalFormatting>
  <conditionalFormatting sqref="J726:J790">
    <cfRule type="cellIs" dxfId="27" priority="1" operator="equal">
      <formula>1</formula>
    </cfRule>
  </conditionalFormatting>
  <conditionalFormatting sqref="F650:F725">
    <cfRule type="containsText" dxfId="26" priority="4" operator="containsText" text="ERROR">
      <formula>NOT(ISERROR(SEARCH("ERROR",F650)))</formula>
    </cfRule>
  </conditionalFormatting>
  <conditionalFormatting sqref="J650:J725">
    <cfRule type="cellIs" dxfId="25" priority="3"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R3055"/>
  <sheetViews>
    <sheetView showGridLines="0" zoomScale="70" zoomScaleNormal="70" workbookViewId="0">
      <pane ySplit="21" topLeftCell="A22" activePane="bottomLeft" state="frozen"/>
      <selection activeCell="R21" sqref="R21"/>
      <selection pane="bottomLeft" activeCell="D30" sqref="D30"/>
    </sheetView>
  </sheetViews>
  <sheetFormatPr defaultRowHeight="11.5" outlineLevelRow="1" x14ac:dyDescent="0.25"/>
  <cols>
    <col min="1" max="1" width="7.19921875" style="326" customWidth="1"/>
    <col min="2" max="2" width="12" style="326" bestFit="1" customWidth="1"/>
    <col min="3" max="3" width="18" customWidth="1"/>
    <col min="4" max="4" width="50.69921875" bestFit="1" customWidth="1"/>
    <col min="5" max="5" width="15.69921875" customWidth="1"/>
    <col min="6" max="6" width="25.8984375" bestFit="1" customWidth="1"/>
    <col min="7" max="7" width="2.69921875" customWidth="1"/>
    <col min="8" max="8" width="16.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8" x14ac:dyDescent="0.25">
      <c r="E1" s="42"/>
    </row>
    <row r="2" spans="3:18" x14ac:dyDescent="0.25">
      <c r="E2" s="42"/>
    </row>
    <row r="3" spans="3:18" ht="20" x14ac:dyDescent="0.4">
      <c r="C3" s="70" t="s">
        <v>203</v>
      </c>
    </row>
    <row r="4" spans="3:18" hidden="1" outlineLevel="1" x14ac:dyDescent="0.25"/>
    <row r="5" spans="3:18" hidden="1" outlineLevel="1" x14ac:dyDescent="0.25">
      <c r="D5" s="42"/>
    </row>
    <row r="6" spans="3:18" ht="12" hidden="1" customHeight="1" outlineLevel="1" x14ac:dyDescent="0.25">
      <c r="C6" s="147"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08" t="str">
        <f ca="1">"Hyperlink to the '"&amp;MID(CELL("filename",'Asset exclusions'!A1),FIND("]",CELL("filename",'Asset exclusions'!A1))+1,255)&amp;"' worksheet:"</f>
        <v>Hyperlink to the 'Asset exclusions' worksheet:</v>
      </c>
      <c r="E7" s="209" t="s">
        <v>188</v>
      </c>
      <c r="F7" s="92"/>
      <c r="G7" s="92"/>
      <c r="H7" s="92"/>
      <c r="I7" s="92"/>
      <c r="J7" s="92"/>
      <c r="K7" s="92"/>
      <c r="L7" s="92"/>
      <c r="M7" s="92"/>
      <c r="N7" s="92"/>
      <c r="O7" s="92"/>
      <c r="P7" s="92"/>
      <c r="Q7" s="92"/>
      <c r="R7" s="92"/>
    </row>
    <row r="8" spans="3:18" hidden="1" outlineLevel="1" x14ac:dyDescent="0.25">
      <c r="C8" s="208"/>
      <c r="E8" s="209"/>
      <c r="F8" s="92"/>
      <c r="G8" s="92"/>
      <c r="H8" s="92"/>
      <c r="I8" s="92"/>
      <c r="J8" s="92"/>
      <c r="K8" s="92"/>
      <c r="L8" s="92"/>
      <c r="M8" s="92"/>
      <c r="N8" s="92"/>
      <c r="O8" s="92"/>
      <c r="P8" s="92"/>
      <c r="Q8" s="92"/>
      <c r="R8" s="92"/>
    </row>
    <row r="9" spans="3:18" hidden="1" outlineLevel="1" x14ac:dyDescent="0.25">
      <c r="C9" s="208" t="s">
        <v>243</v>
      </c>
      <c r="E9" s="209"/>
      <c r="F9" s="92"/>
      <c r="G9" s="92"/>
      <c r="H9" s="92"/>
      <c r="I9" s="92"/>
      <c r="J9" s="92"/>
      <c r="K9" s="92"/>
      <c r="L9" s="92"/>
      <c r="M9" s="92"/>
      <c r="N9" s="92"/>
      <c r="O9" s="92"/>
      <c r="P9" s="92"/>
      <c r="Q9" s="92"/>
      <c r="R9" s="92"/>
    </row>
    <row r="10" spans="3:18" hidden="1" outlineLevel="1" x14ac:dyDescent="0.25">
      <c r="C10" s="208" t="s">
        <v>246</v>
      </c>
      <c r="E10" s="209"/>
      <c r="F10" s="92"/>
      <c r="G10" s="92"/>
      <c r="H10" s="92"/>
      <c r="I10" s="92"/>
      <c r="J10" s="92"/>
      <c r="K10" s="92"/>
      <c r="L10" s="92"/>
      <c r="M10" s="92"/>
      <c r="N10" s="92"/>
      <c r="O10" s="92"/>
      <c r="P10" s="92"/>
      <c r="Q10" s="92"/>
      <c r="R10" s="92"/>
    </row>
    <row r="11" spans="3:18" hidden="1" outlineLevel="1" x14ac:dyDescent="0.25">
      <c r="C11" s="208" t="s">
        <v>245</v>
      </c>
      <c r="E11" s="209"/>
      <c r="F11" s="92"/>
      <c r="G11" s="92"/>
      <c r="H11" s="92"/>
      <c r="I11" s="92"/>
      <c r="J11" s="92"/>
      <c r="K11" s="92"/>
      <c r="L11" s="92"/>
      <c r="M11" s="92"/>
      <c r="N11" s="92"/>
      <c r="O11" s="92"/>
      <c r="P11" s="92"/>
      <c r="Q11" s="92"/>
      <c r="R11" s="92"/>
    </row>
    <row r="12" spans="3:18" hidden="1" outlineLevel="1" x14ac:dyDescent="0.25">
      <c r="C12" s="208" t="s">
        <v>244</v>
      </c>
      <c r="E12" s="209"/>
      <c r="F12" s="92"/>
      <c r="G12" s="92"/>
      <c r="H12" s="92"/>
      <c r="I12" s="92"/>
      <c r="J12" s="92"/>
      <c r="K12" s="92"/>
      <c r="L12" s="92"/>
      <c r="M12" s="92"/>
      <c r="N12" s="92"/>
      <c r="O12" s="92"/>
      <c r="P12" s="92"/>
      <c r="Q12" s="92"/>
      <c r="R12" s="92"/>
    </row>
    <row r="13" spans="3:18" collapsed="1" x14ac:dyDescent="0.25">
      <c r="C13" s="92"/>
      <c r="D13" s="92"/>
      <c r="E13" s="92"/>
      <c r="F13" s="92"/>
      <c r="G13" s="92"/>
      <c r="H13" s="92"/>
      <c r="I13" s="92"/>
      <c r="J13" s="92"/>
      <c r="K13" s="92"/>
      <c r="L13" s="92"/>
      <c r="M13" s="92"/>
      <c r="N13" s="92"/>
      <c r="O13" s="92"/>
      <c r="P13" s="92"/>
      <c r="Q13" s="92"/>
      <c r="R13" s="92"/>
    </row>
    <row r="14" spans="3:18" x14ac:dyDescent="0.25">
      <c r="C14" s="122" t="s">
        <v>54</v>
      </c>
      <c r="D14" s="92"/>
      <c r="E14" s="92"/>
      <c r="F14" s="92"/>
      <c r="G14" s="92"/>
      <c r="H14" s="92"/>
      <c r="I14" s="92"/>
      <c r="J14" s="92"/>
      <c r="K14" s="92"/>
      <c r="L14" s="92"/>
      <c r="M14" s="92"/>
      <c r="N14" s="92"/>
      <c r="O14" s="92"/>
      <c r="P14" s="92"/>
      <c r="Q14" s="92"/>
      <c r="R14" s="92"/>
    </row>
    <row r="15" spans="3:18" ht="12" x14ac:dyDescent="0.3">
      <c r="C15" s="123" t="s">
        <v>58</v>
      </c>
      <c r="D15" s="92"/>
      <c r="E15" s="124">
        <f>'General inputs'!$H$24+1</f>
        <v>35065</v>
      </c>
      <c r="F15" s="92"/>
      <c r="G15" s="92"/>
      <c r="H15" s="265" t="s">
        <v>273</v>
      </c>
      <c r="I15" s="91"/>
      <c r="J15" s="92"/>
      <c r="K15" s="92"/>
      <c r="L15" s="273" t="s">
        <v>286</v>
      </c>
      <c r="M15" s="273"/>
      <c r="N15" s="273"/>
      <c r="O15" s="91"/>
      <c r="P15" s="92"/>
      <c r="Q15" s="92"/>
      <c r="R15" s="92"/>
    </row>
    <row r="16" spans="3:18" ht="12" x14ac:dyDescent="0.3">
      <c r="C16" s="123" t="s">
        <v>59</v>
      </c>
      <c r="D16" s="92"/>
      <c r="E16" s="125">
        <f>'General inputs'!$H$18</f>
        <v>44377</v>
      </c>
      <c r="F16" s="92"/>
      <c r="G16" s="92"/>
      <c r="H16" s="266" t="s">
        <v>283</v>
      </c>
      <c r="I16" s="267">
        <f>SUMIF($B$22:$B$3040,H16,$P$22:$P$3040)/$J$22</f>
        <v>20151548.069201145</v>
      </c>
      <c r="K16" s="92"/>
      <c r="L16" s="267">
        <f>I16+'Pre-1996 assets'!I16</f>
        <v>165944510.4856998</v>
      </c>
      <c r="M16" s="269"/>
      <c r="N16" s="272"/>
      <c r="O16" s="325"/>
      <c r="P16" s="92"/>
      <c r="Q16" s="92"/>
      <c r="R16" s="92"/>
    </row>
    <row r="17" spans="1:18" ht="12" x14ac:dyDescent="0.3">
      <c r="C17" s="92"/>
      <c r="D17" s="92"/>
      <c r="E17" s="92"/>
      <c r="F17" s="92"/>
      <c r="G17" s="92"/>
      <c r="H17" s="268" t="s">
        <v>284</v>
      </c>
      <c r="I17" s="269">
        <f>SUMIF($B$22:$B$3040,H17,$P$22:$P$3040)/$J$22</f>
        <v>17440314.680597153</v>
      </c>
      <c r="K17" s="92"/>
      <c r="L17" s="269">
        <f>I17+'Pre-1996 assets'!I17</f>
        <v>43604622.974648327</v>
      </c>
      <c r="M17" s="269"/>
      <c r="N17" s="272"/>
      <c r="O17" s="91"/>
      <c r="P17" s="92"/>
      <c r="Q17" s="92"/>
      <c r="R17" s="92"/>
    </row>
    <row r="18" spans="1:18" ht="15.5" x14ac:dyDescent="0.35">
      <c r="C18" s="229" t="s">
        <v>209</v>
      </c>
      <c r="E18" s="92"/>
      <c r="F18" s="92"/>
      <c r="G18" s="92"/>
      <c r="H18" s="270" t="s">
        <v>285</v>
      </c>
      <c r="I18" s="271">
        <f>SUMIF($B$22:$B$3040,H18,$P$22:$P$3040)/$J$22</f>
        <v>11799836.053653521</v>
      </c>
      <c r="K18" s="92"/>
      <c r="L18" s="271">
        <f>I18+'Pre-1996 assets'!I18</f>
        <v>61794831.489159293</v>
      </c>
      <c r="M18" s="269"/>
      <c r="N18" s="272"/>
      <c r="O18" s="91"/>
      <c r="P18" s="92"/>
      <c r="Q18" s="92"/>
      <c r="R18" s="92"/>
    </row>
    <row r="19" spans="1:18" ht="12" x14ac:dyDescent="0.3">
      <c r="C19" s="92"/>
      <c r="D19" s="92"/>
      <c r="E19" s="92"/>
      <c r="F19" s="92"/>
      <c r="G19" s="92"/>
      <c r="H19" s="270" t="s">
        <v>287</v>
      </c>
      <c r="I19" s="271">
        <f>SUMIF($B$22:$B$3040,H19,$P$22:$P$3040)/$J$22</f>
        <v>120317893.06272195</v>
      </c>
      <c r="K19" s="92"/>
      <c r="L19" s="271">
        <f>I19+'Pre-1996 assets'!I19</f>
        <v>120317893.06272195</v>
      </c>
      <c r="M19" s="269"/>
      <c r="N19" s="272"/>
      <c r="O19" s="91"/>
      <c r="P19" s="92"/>
      <c r="Q19" s="92"/>
      <c r="R19" s="92"/>
    </row>
    <row r="20" spans="1:18" x14ac:dyDescent="0.25">
      <c r="C20" s="122" t="s">
        <v>16</v>
      </c>
      <c r="D20" s="92"/>
      <c r="E20" s="92"/>
      <c r="F20" s="92"/>
      <c r="G20" s="92"/>
      <c r="H20" s="122" t="s">
        <v>17</v>
      </c>
      <c r="I20" s="92"/>
      <c r="J20" s="92"/>
      <c r="K20" s="92"/>
      <c r="L20" s="122" t="s">
        <v>18</v>
      </c>
      <c r="M20" s="122"/>
      <c r="N20" s="92"/>
      <c r="O20" s="92"/>
      <c r="P20" s="92"/>
      <c r="Q20" s="92"/>
      <c r="R20" s="92"/>
    </row>
    <row r="21" spans="1:18" ht="46" x14ac:dyDescent="0.25">
      <c r="C21" s="35" t="s">
        <v>13</v>
      </c>
      <c r="D21" s="35" t="s">
        <v>12</v>
      </c>
      <c r="E21" s="35" t="s">
        <v>14</v>
      </c>
      <c r="F21" s="35" t="s">
        <v>25</v>
      </c>
      <c r="G21" s="92"/>
      <c r="H21" s="35" t="s">
        <v>30</v>
      </c>
      <c r="I21" s="35" t="s">
        <v>90</v>
      </c>
      <c r="J21" s="35" t="s">
        <v>88</v>
      </c>
      <c r="K21" s="92"/>
      <c r="L21" s="35" t="s">
        <v>89</v>
      </c>
      <c r="M21" s="35" t="s">
        <v>114</v>
      </c>
      <c r="N21" s="35" t="s">
        <v>552</v>
      </c>
      <c r="O21" s="35" t="s">
        <v>553</v>
      </c>
      <c r="P21" s="35" t="s">
        <v>554</v>
      </c>
      <c r="Q21" s="260" t="s">
        <v>282</v>
      </c>
      <c r="R21" s="92"/>
    </row>
    <row r="22" spans="1:18" ht="23" x14ac:dyDescent="0.25">
      <c r="A22" s="326">
        <v>1997</v>
      </c>
      <c r="B22" s="326" t="s">
        <v>805</v>
      </c>
      <c r="C22" s="264" t="s">
        <v>386</v>
      </c>
      <c r="D22" s="157" t="s">
        <v>431</v>
      </c>
      <c r="E22" s="44">
        <f>DATEVALUE("30 Jun "&amp;A22)</f>
        <v>35611</v>
      </c>
      <c r="F22" s="146" t="str">
        <f>IF(E22="","-",IF(OR(E22&lt;$E$15,E22&gt;$E$16),"ERROR - date outside of range",IF(MONTH(E22)&gt;=7,YEAR(E22)&amp;"-"&amp;IF(YEAR(E22)=1999,"00",IF(AND(YEAR(E22)&gt;=2000,YEAR(E22)&lt;2009),"0","")&amp;RIGHT(YEAR(E22),2)+1),RIGHT(YEAR(E22),4)-1&amp;"-"&amp;RIGHT(YEAR(E22),2))))</f>
        <v>1996-97</v>
      </c>
      <c r="G22" s="1"/>
      <c r="H22" s="161" t="s">
        <v>281</v>
      </c>
      <c r="I22" s="37"/>
      <c r="J22" s="134">
        <f>'ET inputs'!AP21</f>
        <v>0.9161881535038825</v>
      </c>
      <c r="K22" s="112"/>
      <c r="L22" s="37">
        <v>87</v>
      </c>
      <c r="M22" s="37" t="s">
        <v>509</v>
      </c>
      <c r="N22" s="37">
        <v>1066.2475641443541</v>
      </c>
      <c r="O22" s="130">
        <f>IF(N22="","-",L22*N22)</f>
        <v>92763.538080558807</v>
      </c>
      <c r="P22" s="132">
        <f>IF(O22="-","-",IF(OR(E22&lt;$E$15,E22&gt;$E$16),0,O22*J22))*Q22</f>
        <v>84988.854666514264</v>
      </c>
      <c r="Q22" s="262">
        <v>1</v>
      </c>
      <c r="R22" s="92"/>
    </row>
    <row r="23" spans="1:18" x14ac:dyDescent="0.25">
      <c r="A23" s="326">
        <v>1997</v>
      </c>
      <c r="B23" s="326" t="s">
        <v>805</v>
      </c>
      <c r="C23" s="264" t="s">
        <v>387</v>
      </c>
      <c r="D23" s="157" t="s">
        <v>432</v>
      </c>
      <c r="E23" s="44">
        <f>DATEVALUE("30 Jun "&amp;A23)</f>
        <v>35611</v>
      </c>
      <c r="F23" s="146" t="str">
        <f>IF(E23="","-",IF(OR(E23&lt;$E$15,E23&gt;$E$16),"ERROR - date outside of range",IF(MONTH(E23)&gt;=7,YEAR(E23)&amp;"-"&amp;IF(YEAR(E23)=1999,"00",IF(AND(YEAR(E23)&gt;=2000,YEAR(E23)&lt;2009),"0","")&amp;RIGHT(YEAR(E23),2)+1),RIGHT(YEAR(E23),4)-1&amp;"-"&amp;RIGHT(YEAR(E23),2))))</f>
        <v>1996-97</v>
      </c>
      <c r="G23" s="1"/>
      <c r="H23" s="161"/>
      <c r="I23" s="37"/>
      <c r="J23" s="135">
        <f>J22</f>
        <v>0.9161881535038825</v>
      </c>
      <c r="K23" s="112"/>
      <c r="L23" s="37">
        <v>846</v>
      </c>
      <c r="M23" s="37" t="s">
        <v>509</v>
      </c>
      <c r="N23" s="37">
        <v>1418.979009080326</v>
      </c>
      <c r="O23" s="130">
        <f>IF(N23="","-",L23*N23)</f>
        <v>1200456.2416819558</v>
      </c>
      <c r="P23" s="132">
        <f t="shared" ref="P23:P86" si="0">IF(O23="-","-",IF(OR(E23&lt;$E$15,E23&gt;$E$16),0,O23*J23))*Q23</f>
        <v>1099843.7874288016</v>
      </c>
      <c r="Q23" s="262">
        <v>1</v>
      </c>
      <c r="R23" s="92"/>
    </row>
    <row r="24" spans="1:18" x14ac:dyDescent="0.25">
      <c r="A24" s="326">
        <v>1998</v>
      </c>
      <c r="B24" s="326" t="s">
        <v>805</v>
      </c>
      <c r="C24" s="264" t="s">
        <v>388</v>
      </c>
      <c r="D24" s="157" t="s">
        <v>433</v>
      </c>
      <c r="E24" s="44">
        <f t="shared" ref="E24:E87" si="1">DATEVALUE("30 Jun "&amp;A24)</f>
        <v>35976</v>
      </c>
      <c r="F24" s="146" t="str">
        <f t="shared" ref="F24:F87" si="2">IF(E24="","-",IF(OR(E24&lt;$E$15,E24&gt;$E$16),"ERROR - date outside of range",IF(MONTH(E24)&gt;=7,YEAR(E24)&amp;"-"&amp;IF(YEAR(E24)=1999,"00",IF(AND(YEAR(E24)&gt;=2000,YEAR(E24)&lt;2009),"0","")&amp;RIGHT(YEAR(E24),2)+1),RIGHT(YEAR(E24),4)-1&amp;"-"&amp;RIGHT(YEAR(E24),2))))</f>
        <v>1997-98</v>
      </c>
      <c r="G24" s="1"/>
      <c r="H24" s="161"/>
      <c r="I24" s="37"/>
      <c r="J24" s="135">
        <f>J23</f>
        <v>0.9161881535038825</v>
      </c>
      <c r="K24" s="112"/>
      <c r="L24" s="37">
        <v>570</v>
      </c>
      <c r="M24" s="37" t="s">
        <v>509</v>
      </c>
      <c r="N24" s="37">
        <v>1309.455090104773</v>
      </c>
      <c r="O24" s="130">
        <f t="shared" ref="O24:O87" si="3">IF(N24="","-",L24*N24)</f>
        <v>746389.40135972062</v>
      </c>
      <c r="P24" s="132">
        <f t="shared" si="0"/>
        <v>683833.1274266307</v>
      </c>
      <c r="Q24" s="262">
        <v>1</v>
      </c>
      <c r="R24" s="92"/>
    </row>
    <row r="25" spans="1:18" x14ac:dyDescent="0.25">
      <c r="A25" s="326">
        <v>1998</v>
      </c>
      <c r="B25" s="326" t="s">
        <v>805</v>
      </c>
      <c r="C25" s="264" t="s">
        <v>291</v>
      </c>
      <c r="D25" s="157" t="s">
        <v>434</v>
      </c>
      <c r="E25" s="44">
        <f t="shared" si="1"/>
        <v>35976</v>
      </c>
      <c r="F25" s="146" t="str">
        <f t="shared" si="2"/>
        <v>1997-98</v>
      </c>
      <c r="G25" s="1"/>
      <c r="H25" s="161"/>
      <c r="I25" s="37"/>
      <c r="J25" s="135">
        <f t="shared" ref="J25:J88" si="4">J24</f>
        <v>0.9161881535038825</v>
      </c>
      <c r="K25" s="112"/>
      <c r="L25" s="37">
        <v>1000</v>
      </c>
      <c r="M25" s="37" t="s">
        <v>509</v>
      </c>
      <c r="N25" s="37">
        <v>2290.3384232828871</v>
      </c>
      <c r="O25" s="130">
        <f t="shared" si="3"/>
        <v>2290338.4232828873</v>
      </c>
      <c r="P25" s="132">
        <f t="shared" si="0"/>
        <v>2098380.9309265423</v>
      </c>
      <c r="Q25" s="262">
        <v>1</v>
      </c>
      <c r="R25" s="92"/>
    </row>
    <row r="26" spans="1:18" x14ac:dyDescent="0.25">
      <c r="A26" s="326">
        <v>1999</v>
      </c>
      <c r="B26" s="326" t="s">
        <v>805</v>
      </c>
      <c r="C26" s="264" t="s">
        <v>389</v>
      </c>
      <c r="D26" s="157" t="s">
        <v>435</v>
      </c>
      <c r="E26" s="44">
        <f t="shared" si="1"/>
        <v>36341</v>
      </c>
      <c r="F26" s="146" t="str">
        <f t="shared" si="2"/>
        <v>1998-99</v>
      </c>
      <c r="G26" s="1"/>
      <c r="H26" s="161"/>
      <c r="I26" s="37"/>
      <c r="J26" s="135">
        <f t="shared" si="4"/>
        <v>0.9161881535038825</v>
      </c>
      <c r="K26" s="112"/>
      <c r="L26" s="37">
        <v>202.503848194</v>
      </c>
      <c r="M26" s="37" t="s">
        <v>509</v>
      </c>
      <c r="N26" s="37">
        <v>1153.2224409778812</v>
      </c>
      <c r="O26" s="130">
        <f t="shared" si="3"/>
        <v>233531.98212169897</v>
      </c>
      <c r="P26" s="132">
        <f t="shared" si="0"/>
        <v>21395.923548418112</v>
      </c>
      <c r="Q26" s="262">
        <v>0.1</v>
      </c>
      <c r="R26" s="92"/>
    </row>
    <row r="27" spans="1:18" x14ac:dyDescent="0.25">
      <c r="A27" s="326">
        <v>1999</v>
      </c>
      <c r="B27" s="326" t="s">
        <v>805</v>
      </c>
      <c r="C27" s="264" t="s">
        <v>390</v>
      </c>
      <c r="D27" s="157" t="s">
        <v>436</v>
      </c>
      <c r="E27" s="44">
        <f t="shared" si="1"/>
        <v>36341</v>
      </c>
      <c r="F27" s="146" t="str">
        <f t="shared" si="2"/>
        <v>1998-99</v>
      </c>
      <c r="G27" s="1"/>
      <c r="H27" s="161"/>
      <c r="I27" s="37"/>
      <c r="J27" s="135">
        <f t="shared" si="4"/>
        <v>0.9161881535038825</v>
      </c>
      <c r="K27" s="112"/>
      <c r="L27" s="37">
        <v>186.46308539695997</v>
      </c>
      <c r="M27" s="37" t="s">
        <v>509</v>
      </c>
      <c r="N27" s="37">
        <v>1418.979009080326</v>
      </c>
      <c r="O27" s="130">
        <f t="shared" si="3"/>
        <v>264587.20414663845</v>
      </c>
      <c r="P27" s="132">
        <f t="shared" si="0"/>
        <v>24241.166200786349</v>
      </c>
      <c r="Q27" s="262">
        <v>0.1</v>
      </c>
      <c r="R27" s="92"/>
    </row>
    <row r="28" spans="1:18" x14ac:dyDescent="0.25">
      <c r="A28" s="326">
        <v>1999</v>
      </c>
      <c r="B28" s="326" t="s">
        <v>805</v>
      </c>
      <c r="C28" s="264" t="s">
        <v>390</v>
      </c>
      <c r="D28" s="157" t="s">
        <v>436</v>
      </c>
      <c r="E28" s="44">
        <f t="shared" si="1"/>
        <v>36341</v>
      </c>
      <c r="F28" s="146" t="str">
        <f t="shared" si="2"/>
        <v>1998-99</v>
      </c>
      <c r="G28" s="1"/>
      <c r="H28" s="161"/>
      <c r="I28" s="37"/>
      <c r="J28" s="135">
        <f t="shared" si="4"/>
        <v>0.9161881535038825</v>
      </c>
      <c r="K28" s="112"/>
      <c r="L28" s="37">
        <v>111</v>
      </c>
      <c r="M28" s="37" t="s">
        <v>509</v>
      </c>
      <c r="N28" s="37">
        <v>1082.3540228172294</v>
      </c>
      <c r="O28" s="130">
        <f t="shared" si="3"/>
        <v>120141.29653271247</v>
      </c>
      <c r="P28" s="132">
        <f t="shared" si="0"/>
        <v>11007.203262986824</v>
      </c>
      <c r="Q28" s="262">
        <v>0.1</v>
      </c>
      <c r="R28" s="92"/>
    </row>
    <row r="29" spans="1:18" x14ac:dyDescent="0.25">
      <c r="A29" s="326">
        <v>1999</v>
      </c>
      <c r="B29" s="326" t="s">
        <v>805</v>
      </c>
      <c r="C29" s="264" t="s">
        <v>390</v>
      </c>
      <c r="D29" s="157" t="s">
        <v>436</v>
      </c>
      <c r="E29" s="44">
        <f t="shared" si="1"/>
        <v>36341</v>
      </c>
      <c r="F29" s="146" t="str">
        <f t="shared" si="2"/>
        <v>1998-99</v>
      </c>
      <c r="G29" s="1"/>
      <c r="H29" s="161"/>
      <c r="I29" s="37"/>
      <c r="J29" s="135">
        <f t="shared" si="4"/>
        <v>0.9161881535038825</v>
      </c>
      <c r="K29" s="112"/>
      <c r="L29" s="37">
        <v>76</v>
      </c>
      <c r="M29" s="37" t="s">
        <v>509</v>
      </c>
      <c r="N29" s="37">
        <v>808.54422537834705</v>
      </c>
      <c r="O29" s="130">
        <f t="shared" si="3"/>
        <v>61449.361128754375</v>
      </c>
      <c r="P29" s="132">
        <f t="shared" si="0"/>
        <v>5629.9176706546723</v>
      </c>
      <c r="Q29" s="262">
        <v>0.1</v>
      </c>
      <c r="R29" s="92"/>
    </row>
    <row r="30" spans="1:18" x14ac:dyDescent="0.25">
      <c r="A30" s="326">
        <v>1999</v>
      </c>
      <c r="B30" s="326" t="s">
        <v>805</v>
      </c>
      <c r="C30" s="264" t="s">
        <v>390</v>
      </c>
      <c r="D30" s="157" t="s">
        <v>436</v>
      </c>
      <c r="E30" s="44">
        <f t="shared" si="1"/>
        <v>36341</v>
      </c>
      <c r="F30" s="146" t="str">
        <f t="shared" si="2"/>
        <v>1998-99</v>
      </c>
      <c r="G30" s="1"/>
      <c r="H30" s="161"/>
      <c r="I30" s="37"/>
      <c r="J30" s="135">
        <f t="shared" si="4"/>
        <v>0.9161881535038825</v>
      </c>
      <c r="K30" s="112"/>
      <c r="L30" s="37">
        <v>175</v>
      </c>
      <c r="M30" s="37" t="s">
        <v>509</v>
      </c>
      <c r="N30" s="37">
        <v>893.90845634458674</v>
      </c>
      <c r="O30" s="130">
        <f t="shared" si="3"/>
        <v>156433.97986030267</v>
      </c>
      <c r="P30" s="132">
        <f t="shared" si="0"/>
        <v>14332.295915347426</v>
      </c>
      <c r="Q30" s="262">
        <v>0.1</v>
      </c>
      <c r="R30" s="92"/>
    </row>
    <row r="31" spans="1:18" x14ac:dyDescent="0.25">
      <c r="A31" s="326">
        <v>1999</v>
      </c>
      <c r="B31" s="326" t="s">
        <v>805</v>
      </c>
      <c r="C31" s="264" t="s">
        <v>390</v>
      </c>
      <c r="D31" s="157" t="s">
        <v>436</v>
      </c>
      <c r="E31" s="44">
        <f t="shared" si="1"/>
        <v>36341</v>
      </c>
      <c r="F31" s="146" t="str">
        <f t="shared" si="2"/>
        <v>1998-99</v>
      </c>
      <c r="G31" s="1"/>
      <c r="H31" s="161"/>
      <c r="I31" s="37"/>
      <c r="J31" s="135">
        <f t="shared" si="4"/>
        <v>0.9161881535038825</v>
      </c>
      <c r="K31" s="112"/>
      <c r="L31" s="37">
        <v>186</v>
      </c>
      <c r="M31" s="37" t="s">
        <v>509</v>
      </c>
      <c r="N31" s="37">
        <v>670.02868079161817</v>
      </c>
      <c r="O31" s="130">
        <f t="shared" si="3"/>
        <v>124625.33462724098</v>
      </c>
      <c r="P31" s="132">
        <f t="shared" si="0"/>
        <v>11418.025521193538</v>
      </c>
      <c r="Q31" s="262">
        <v>0.1</v>
      </c>
      <c r="R31" s="92"/>
    </row>
    <row r="32" spans="1:18" x14ac:dyDescent="0.25">
      <c r="A32" s="326">
        <v>1999</v>
      </c>
      <c r="B32" s="326" t="s">
        <v>805</v>
      </c>
      <c r="C32" s="264" t="s">
        <v>391</v>
      </c>
      <c r="D32" s="157" t="s">
        <v>435</v>
      </c>
      <c r="E32" s="44">
        <f t="shared" si="1"/>
        <v>36341</v>
      </c>
      <c r="F32" s="146" t="str">
        <f t="shared" si="2"/>
        <v>1998-99</v>
      </c>
      <c r="G32" s="1"/>
      <c r="H32" s="161"/>
      <c r="I32" s="37"/>
      <c r="J32" s="135">
        <f t="shared" si="4"/>
        <v>0.9161881535038825</v>
      </c>
      <c r="K32" s="112"/>
      <c r="L32" s="37">
        <v>41</v>
      </c>
      <c r="M32" s="37" t="s">
        <v>509</v>
      </c>
      <c r="N32" s="37">
        <v>881.02328940628638</v>
      </c>
      <c r="O32" s="130">
        <f t="shared" si="3"/>
        <v>36121.954865657739</v>
      </c>
      <c r="P32" s="132">
        <f t="shared" si="0"/>
        <v>3309.4507129317553</v>
      </c>
      <c r="Q32" s="262">
        <v>0.1</v>
      </c>
      <c r="R32" s="92"/>
    </row>
    <row r="33" spans="1:18" x14ac:dyDescent="0.25">
      <c r="A33" s="326">
        <v>1999</v>
      </c>
      <c r="B33" s="326" t="s">
        <v>805</v>
      </c>
      <c r="C33" s="264" t="s">
        <v>391</v>
      </c>
      <c r="D33" s="157" t="s">
        <v>435</v>
      </c>
      <c r="E33" s="44">
        <f t="shared" si="1"/>
        <v>36341</v>
      </c>
      <c r="F33" s="146" t="str">
        <f t="shared" si="2"/>
        <v>1998-99</v>
      </c>
      <c r="G33" s="1"/>
      <c r="H33" s="161"/>
      <c r="I33" s="37"/>
      <c r="J33" s="135">
        <f t="shared" si="4"/>
        <v>0.9161881535038825</v>
      </c>
      <c r="K33" s="112"/>
      <c r="L33" s="37">
        <v>40</v>
      </c>
      <c r="M33" s="37" t="s">
        <v>509</v>
      </c>
      <c r="N33" s="37">
        <v>893.90845634458674</v>
      </c>
      <c r="O33" s="130">
        <f t="shared" si="3"/>
        <v>35756.33825378347</v>
      </c>
      <c r="P33" s="132">
        <f t="shared" si="0"/>
        <v>3275.9533520794116</v>
      </c>
      <c r="Q33" s="262">
        <v>0.1</v>
      </c>
      <c r="R33" s="92"/>
    </row>
    <row r="34" spans="1:18" x14ac:dyDescent="0.25">
      <c r="A34" s="326">
        <v>1999</v>
      </c>
      <c r="B34" s="326" t="s">
        <v>805</v>
      </c>
      <c r="C34" s="264" t="s">
        <v>391</v>
      </c>
      <c r="D34" s="157" t="s">
        <v>435</v>
      </c>
      <c r="E34" s="44">
        <f t="shared" si="1"/>
        <v>36341</v>
      </c>
      <c r="F34" s="146" t="str">
        <f t="shared" si="2"/>
        <v>1998-99</v>
      </c>
      <c r="G34" s="1"/>
      <c r="H34" s="161"/>
      <c r="I34" s="37"/>
      <c r="J34" s="135">
        <f t="shared" si="4"/>
        <v>0.9161881535038825</v>
      </c>
      <c r="K34" s="112"/>
      <c r="L34" s="37">
        <v>40</v>
      </c>
      <c r="M34" s="37" t="s">
        <v>509</v>
      </c>
      <c r="N34" s="37">
        <v>737.67580721769491</v>
      </c>
      <c r="O34" s="130">
        <f t="shared" si="3"/>
        <v>29507.032288707796</v>
      </c>
      <c r="P34" s="132">
        <f t="shared" si="0"/>
        <v>2703.3993427970636</v>
      </c>
      <c r="Q34" s="262">
        <v>0.1</v>
      </c>
      <c r="R34" s="92"/>
    </row>
    <row r="35" spans="1:18" x14ac:dyDescent="0.25">
      <c r="A35" s="326">
        <v>1999</v>
      </c>
      <c r="B35" s="326" t="s">
        <v>805</v>
      </c>
      <c r="C35" s="264" t="s">
        <v>391</v>
      </c>
      <c r="D35" s="157" t="s">
        <v>435</v>
      </c>
      <c r="E35" s="44">
        <f t="shared" si="1"/>
        <v>36341</v>
      </c>
      <c r="F35" s="146" t="str">
        <f t="shared" si="2"/>
        <v>1998-99</v>
      </c>
      <c r="G35" s="1"/>
      <c r="H35" s="161"/>
      <c r="I35" s="37"/>
      <c r="J35" s="135">
        <f t="shared" si="4"/>
        <v>0.9161881535038825</v>
      </c>
      <c r="K35" s="112"/>
      <c r="L35" s="37">
        <v>3</v>
      </c>
      <c r="M35" s="37" t="s">
        <v>509</v>
      </c>
      <c r="N35" s="37">
        <v>670.02868079161817</v>
      </c>
      <c r="O35" s="130">
        <f t="shared" si="3"/>
        <v>2010.0860423748545</v>
      </c>
      <c r="P35" s="132">
        <f t="shared" si="0"/>
        <v>184.1617019547345</v>
      </c>
      <c r="Q35" s="262">
        <v>0.1</v>
      </c>
      <c r="R35" s="92"/>
    </row>
    <row r="36" spans="1:18" x14ac:dyDescent="0.25">
      <c r="A36" s="326">
        <v>1999</v>
      </c>
      <c r="B36" s="326" t="s">
        <v>805</v>
      </c>
      <c r="C36" s="264" t="s">
        <v>391</v>
      </c>
      <c r="D36" s="157" t="s">
        <v>437</v>
      </c>
      <c r="E36" s="44">
        <f t="shared" si="1"/>
        <v>36341</v>
      </c>
      <c r="F36" s="146" t="str">
        <f t="shared" si="2"/>
        <v>1998-99</v>
      </c>
      <c r="G36" s="1"/>
      <c r="H36" s="161"/>
      <c r="I36" s="37"/>
      <c r="J36" s="135">
        <f t="shared" si="4"/>
        <v>0.9161881535038825</v>
      </c>
      <c r="K36" s="112"/>
      <c r="L36" s="37">
        <v>3.46421953692</v>
      </c>
      <c r="M36" s="37" t="s">
        <v>509</v>
      </c>
      <c r="N36" s="37">
        <v>827.87197578579753</v>
      </c>
      <c r="O36" s="130">
        <f t="shared" si="3"/>
        <v>2867.930272585721</v>
      </c>
      <c r="P36" s="132">
        <f t="shared" si="0"/>
        <v>262.75637408181984</v>
      </c>
      <c r="Q36" s="262">
        <v>0.1</v>
      </c>
      <c r="R36" s="92"/>
    </row>
    <row r="37" spans="1:18" x14ac:dyDescent="0.25">
      <c r="A37" s="326">
        <v>1999</v>
      </c>
      <c r="B37" s="326" t="s">
        <v>805</v>
      </c>
      <c r="C37" s="264" t="s">
        <v>392</v>
      </c>
      <c r="D37" s="157" t="s">
        <v>435</v>
      </c>
      <c r="E37" s="44">
        <f t="shared" si="1"/>
        <v>36341</v>
      </c>
      <c r="F37" s="146" t="str">
        <f t="shared" si="2"/>
        <v>1998-99</v>
      </c>
      <c r="G37" s="1"/>
      <c r="H37" s="161"/>
      <c r="I37" s="37"/>
      <c r="J37" s="135">
        <f t="shared" si="4"/>
        <v>0.9161881535038825</v>
      </c>
      <c r="K37" s="112"/>
      <c r="L37" s="37">
        <v>2.9596102784</v>
      </c>
      <c r="M37" s="37" t="s">
        <v>509</v>
      </c>
      <c r="N37" s="37">
        <v>1472.130322700815</v>
      </c>
      <c r="O37" s="130">
        <f t="shared" si="3"/>
        <v>4356.9320342096407</v>
      </c>
      <c r="P37" s="132">
        <f t="shared" si="0"/>
        <v>399.17695153644456</v>
      </c>
      <c r="Q37" s="262">
        <v>0.1</v>
      </c>
      <c r="R37" s="92"/>
    </row>
    <row r="38" spans="1:18" x14ac:dyDescent="0.25">
      <c r="A38" s="326">
        <v>1999</v>
      </c>
      <c r="B38" s="326" t="s">
        <v>805</v>
      </c>
      <c r="C38" s="264" t="s">
        <v>393</v>
      </c>
      <c r="D38" s="157" t="s">
        <v>438</v>
      </c>
      <c r="E38" s="44">
        <f t="shared" si="1"/>
        <v>36341</v>
      </c>
      <c r="F38" s="146" t="str">
        <f t="shared" si="2"/>
        <v>1998-99</v>
      </c>
      <c r="G38" s="1"/>
      <c r="H38" s="161"/>
      <c r="I38" s="37"/>
      <c r="J38" s="135">
        <f t="shared" si="4"/>
        <v>0.9161881535038825</v>
      </c>
      <c r="K38" s="112"/>
      <c r="L38" s="37">
        <v>120</v>
      </c>
      <c r="M38" s="37" t="s">
        <v>509</v>
      </c>
      <c r="N38" s="37">
        <v>497.68957299185098</v>
      </c>
      <c r="O38" s="130">
        <f t="shared" si="3"/>
        <v>59722.748759022121</v>
      </c>
      <c r="P38" s="132">
        <f t="shared" si="0"/>
        <v>15868.009723234381</v>
      </c>
      <c r="Q38" s="262">
        <v>0.28999999999999998</v>
      </c>
      <c r="R38" s="92"/>
    </row>
    <row r="39" spans="1:18" x14ac:dyDescent="0.25">
      <c r="A39" s="326">
        <v>1999</v>
      </c>
      <c r="B39" s="326" t="s">
        <v>805</v>
      </c>
      <c r="C39" s="264" t="s">
        <v>393</v>
      </c>
      <c r="D39" s="157" t="s">
        <v>438</v>
      </c>
      <c r="E39" s="44">
        <f t="shared" si="1"/>
        <v>36341</v>
      </c>
      <c r="F39" s="146" t="str">
        <f t="shared" si="2"/>
        <v>1998-99</v>
      </c>
      <c r="G39" s="1"/>
      <c r="H39" s="161"/>
      <c r="I39" s="37"/>
      <c r="J39" s="135">
        <f t="shared" si="4"/>
        <v>0.9161881535038825</v>
      </c>
      <c r="K39" s="112"/>
      <c r="L39" s="37">
        <v>16.0979870076</v>
      </c>
      <c r="M39" s="37" t="s">
        <v>509</v>
      </c>
      <c r="N39" s="37">
        <v>771.49937043073351</v>
      </c>
      <c r="O39" s="130">
        <f t="shared" si="3"/>
        <v>12419.586841565528</v>
      </c>
      <c r="P39" s="132">
        <f t="shared" si="0"/>
        <v>3299.8167173399606</v>
      </c>
      <c r="Q39" s="262">
        <v>0.28999999999999998</v>
      </c>
      <c r="R39" s="92"/>
    </row>
    <row r="40" spans="1:18" x14ac:dyDescent="0.25">
      <c r="A40" s="326">
        <v>1999</v>
      </c>
      <c r="B40" s="326" t="s">
        <v>805</v>
      </c>
      <c r="C40" s="264" t="s">
        <v>393</v>
      </c>
      <c r="D40" s="157" t="s">
        <v>438</v>
      </c>
      <c r="E40" s="44">
        <f t="shared" si="1"/>
        <v>36341</v>
      </c>
      <c r="F40" s="146" t="str">
        <f t="shared" si="2"/>
        <v>1998-99</v>
      </c>
      <c r="G40" s="1"/>
      <c r="H40" s="161"/>
      <c r="I40" s="37"/>
      <c r="J40" s="135">
        <f t="shared" si="4"/>
        <v>0.9161881535038825</v>
      </c>
      <c r="K40" s="112"/>
      <c r="L40" s="37">
        <v>12</v>
      </c>
      <c r="M40" s="37" t="s">
        <v>509</v>
      </c>
      <c r="N40" s="37">
        <v>497.68957299185098</v>
      </c>
      <c r="O40" s="130">
        <f t="shared" si="3"/>
        <v>5972.2748759022115</v>
      </c>
      <c r="P40" s="132">
        <f t="shared" si="0"/>
        <v>1586.8009723234379</v>
      </c>
      <c r="Q40" s="262">
        <v>0.28999999999999998</v>
      </c>
      <c r="R40" s="92"/>
    </row>
    <row r="41" spans="1:18" x14ac:dyDescent="0.25">
      <c r="A41" s="326">
        <v>1999</v>
      </c>
      <c r="B41" s="326" t="s">
        <v>805</v>
      </c>
      <c r="C41" s="264" t="s">
        <v>394</v>
      </c>
      <c r="D41" s="157" t="s">
        <v>439</v>
      </c>
      <c r="E41" s="44">
        <f t="shared" si="1"/>
        <v>36341</v>
      </c>
      <c r="F41" s="146" t="str">
        <f t="shared" si="2"/>
        <v>1998-99</v>
      </c>
      <c r="G41" s="1"/>
      <c r="H41" s="161"/>
      <c r="I41" s="37"/>
      <c r="J41" s="135">
        <f t="shared" si="4"/>
        <v>0.9161881535038825</v>
      </c>
      <c r="K41" s="112"/>
      <c r="L41" s="37">
        <v>99</v>
      </c>
      <c r="M41" s="37" t="s">
        <v>509</v>
      </c>
      <c r="N41" s="37">
        <v>634.59447171129227</v>
      </c>
      <c r="O41" s="130">
        <f t="shared" si="3"/>
        <v>62824.852699417934</v>
      </c>
      <c r="P41" s="132">
        <f t="shared" si="0"/>
        <v>33384.443757523208</v>
      </c>
      <c r="Q41" s="262">
        <v>0.57999999999999996</v>
      </c>
      <c r="R41" s="92"/>
    </row>
    <row r="42" spans="1:18" x14ac:dyDescent="0.25">
      <c r="A42" s="326">
        <v>1999</v>
      </c>
      <c r="B42" s="326" t="s">
        <v>805</v>
      </c>
      <c r="C42" s="264" t="s">
        <v>394</v>
      </c>
      <c r="D42" s="157" t="s">
        <v>439</v>
      </c>
      <c r="E42" s="44">
        <f t="shared" si="1"/>
        <v>36341</v>
      </c>
      <c r="F42" s="146" t="str">
        <f t="shared" si="2"/>
        <v>1998-99</v>
      </c>
      <c r="G42" s="1"/>
      <c r="H42" s="161"/>
      <c r="I42" s="37"/>
      <c r="J42" s="135">
        <f t="shared" si="4"/>
        <v>0.9161881535038825</v>
      </c>
      <c r="K42" s="112"/>
      <c r="L42" s="37">
        <v>59</v>
      </c>
      <c r="M42" s="37" t="s">
        <v>509</v>
      </c>
      <c r="N42" s="37">
        <v>926.12137369033769</v>
      </c>
      <c r="O42" s="130">
        <f t="shared" si="3"/>
        <v>54641.161047729925</v>
      </c>
      <c r="P42" s="132">
        <f t="shared" si="0"/>
        <v>29035.718978464211</v>
      </c>
      <c r="Q42" s="262">
        <v>0.57999999999999996</v>
      </c>
      <c r="R42" s="92"/>
    </row>
    <row r="43" spans="1:18" x14ac:dyDescent="0.25">
      <c r="A43" s="326">
        <v>1999</v>
      </c>
      <c r="B43" s="326" t="s">
        <v>805</v>
      </c>
      <c r="C43" s="264" t="s">
        <v>394</v>
      </c>
      <c r="D43" s="157" t="s">
        <v>439</v>
      </c>
      <c r="E43" s="44">
        <f t="shared" si="1"/>
        <v>36341</v>
      </c>
      <c r="F43" s="146" t="str">
        <f t="shared" si="2"/>
        <v>1998-99</v>
      </c>
      <c r="G43" s="1"/>
      <c r="H43" s="161"/>
      <c r="I43" s="37"/>
      <c r="J43" s="135">
        <f t="shared" si="4"/>
        <v>0.9161881535038825</v>
      </c>
      <c r="K43" s="112"/>
      <c r="L43" s="37">
        <v>56</v>
      </c>
      <c r="M43" s="37" t="s">
        <v>509</v>
      </c>
      <c r="N43" s="37">
        <v>926.12137369033769</v>
      </c>
      <c r="O43" s="130">
        <f t="shared" si="3"/>
        <v>51862.796926658913</v>
      </c>
      <c r="P43" s="132">
        <f t="shared" si="0"/>
        <v>27559.326488033825</v>
      </c>
      <c r="Q43" s="262">
        <v>0.57999999999999996</v>
      </c>
      <c r="R43" s="92"/>
    </row>
    <row r="44" spans="1:18" x14ac:dyDescent="0.25">
      <c r="A44" s="326">
        <v>1999</v>
      </c>
      <c r="B44" s="326" t="s">
        <v>805</v>
      </c>
      <c r="C44" s="264" t="s">
        <v>394</v>
      </c>
      <c r="D44" s="157" t="s">
        <v>439</v>
      </c>
      <c r="E44" s="44">
        <f t="shared" si="1"/>
        <v>36341</v>
      </c>
      <c r="F44" s="146" t="str">
        <f t="shared" si="2"/>
        <v>1998-99</v>
      </c>
      <c r="G44" s="1"/>
      <c r="H44" s="161"/>
      <c r="I44" s="37"/>
      <c r="J44" s="135">
        <f t="shared" si="4"/>
        <v>0.9161881535038825</v>
      </c>
      <c r="K44" s="112"/>
      <c r="L44" s="37">
        <v>41.035893191200003</v>
      </c>
      <c r="M44" s="37" t="s">
        <v>509</v>
      </c>
      <c r="N44" s="37">
        <v>1138.7266281722934</v>
      </c>
      <c r="O44" s="130">
        <f t="shared" si="3"/>
        <v>46728.664287653555</v>
      </c>
      <c r="P44" s="132">
        <f t="shared" si="0"/>
        <v>24831.104216656709</v>
      </c>
      <c r="Q44" s="262">
        <v>0.57999999999999996</v>
      </c>
      <c r="R44" s="92"/>
    </row>
    <row r="45" spans="1:18" x14ac:dyDescent="0.25">
      <c r="A45" s="326">
        <v>1999</v>
      </c>
      <c r="B45" s="326" t="s">
        <v>805</v>
      </c>
      <c r="C45" s="264" t="s">
        <v>395</v>
      </c>
      <c r="D45" s="157" t="s">
        <v>440</v>
      </c>
      <c r="E45" s="44">
        <f t="shared" si="1"/>
        <v>36341</v>
      </c>
      <c r="F45" s="146" t="str">
        <f t="shared" si="2"/>
        <v>1998-99</v>
      </c>
      <c r="G45" s="1"/>
      <c r="H45" s="161"/>
      <c r="I45" s="37"/>
      <c r="J45" s="135">
        <f t="shared" si="4"/>
        <v>0.9161881535038825</v>
      </c>
      <c r="K45" s="112"/>
      <c r="L45" s="37">
        <v>202</v>
      </c>
      <c r="M45" s="37" t="s">
        <v>509</v>
      </c>
      <c r="N45" s="37">
        <v>1153.2224409778812</v>
      </c>
      <c r="O45" s="130">
        <f t="shared" si="3"/>
        <v>232950.93307753201</v>
      </c>
      <c r="P45" s="132">
        <f t="shared" si="0"/>
        <v>213426.88523331055</v>
      </c>
      <c r="Q45" s="262">
        <v>1</v>
      </c>
      <c r="R45" s="92"/>
    </row>
    <row r="46" spans="1:18" x14ac:dyDescent="0.25">
      <c r="A46" s="326">
        <v>2000</v>
      </c>
      <c r="B46" s="326" t="s">
        <v>805</v>
      </c>
      <c r="C46" s="264" t="s">
        <v>396</v>
      </c>
      <c r="D46" s="157" t="s">
        <v>441</v>
      </c>
      <c r="E46" s="44">
        <f t="shared" si="1"/>
        <v>36707</v>
      </c>
      <c r="F46" s="146" t="str">
        <f t="shared" si="2"/>
        <v>1999-00</v>
      </c>
      <c r="G46" s="1"/>
      <c r="H46" s="161"/>
      <c r="I46" s="37"/>
      <c r="J46" s="135">
        <f t="shared" si="4"/>
        <v>0.9161881535038825</v>
      </c>
      <c r="K46" s="112"/>
      <c r="L46" s="37">
        <v>527</v>
      </c>
      <c r="M46" s="37" t="s">
        <v>509</v>
      </c>
      <c r="N46" s="37">
        <v>1153.2224409778812</v>
      </c>
      <c r="O46" s="130">
        <f t="shared" si="3"/>
        <v>607748.22639534343</v>
      </c>
      <c r="P46" s="132">
        <f t="shared" si="0"/>
        <v>556811.72533640929</v>
      </c>
      <c r="Q46" s="262">
        <v>1</v>
      </c>
      <c r="R46" s="92"/>
    </row>
    <row r="47" spans="1:18" x14ac:dyDescent="0.25">
      <c r="A47" s="326">
        <v>2000</v>
      </c>
      <c r="B47" s="326" t="s">
        <v>805</v>
      </c>
      <c r="C47" s="264" t="s">
        <v>397</v>
      </c>
      <c r="D47" s="157" t="s">
        <v>442</v>
      </c>
      <c r="E47" s="44">
        <f t="shared" si="1"/>
        <v>36707</v>
      </c>
      <c r="F47" s="146" t="str">
        <f t="shared" si="2"/>
        <v>1999-00</v>
      </c>
      <c r="G47" s="1"/>
      <c r="H47" s="161"/>
      <c r="I47" s="37"/>
      <c r="J47" s="135">
        <f t="shared" si="4"/>
        <v>0.9161881535038825</v>
      </c>
      <c r="K47" s="112"/>
      <c r="L47" s="37">
        <v>44</v>
      </c>
      <c r="M47" s="37" t="s">
        <v>509</v>
      </c>
      <c r="N47" s="37">
        <v>1418.979009080326</v>
      </c>
      <c r="O47" s="130">
        <f t="shared" si="3"/>
        <v>62435.076399534344</v>
      </c>
      <c r="P47" s="132">
        <f t="shared" si="0"/>
        <v>57202.277360363201</v>
      </c>
      <c r="Q47" s="262">
        <v>1</v>
      </c>
      <c r="R47" s="92"/>
    </row>
    <row r="48" spans="1:18" x14ac:dyDescent="0.25">
      <c r="A48" s="326">
        <v>2000</v>
      </c>
      <c r="B48" s="326" t="s">
        <v>805</v>
      </c>
      <c r="C48" s="264" t="s">
        <v>397</v>
      </c>
      <c r="D48" s="157" t="s">
        <v>442</v>
      </c>
      <c r="E48" s="44">
        <f t="shared" si="1"/>
        <v>36707</v>
      </c>
      <c r="F48" s="146" t="str">
        <f t="shared" si="2"/>
        <v>1999-00</v>
      </c>
      <c r="G48" s="1"/>
      <c r="H48" s="161"/>
      <c r="I48" s="37"/>
      <c r="J48" s="135">
        <f t="shared" si="4"/>
        <v>0.9161881535038825</v>
      </c>
      <c r="K48" s="112"/>
      <c r="L48" s="37">
        <v>38.774620011000003</v>
      </c>
      <c r="M48" s="37" t="s">
        <v>509</v>
      </c>
      <c r="N48" s="37">
        <v>1418.979009080326</v>
      </c>
      <c r="O48" s="130">
        <f t="shared" si="3"/>
        <v>55020.371880674968</v>
      </c>
      <c r="P48" s="132">
        <f t="shared" si="0"/>
        <v>50409.012918452536</v>
      </c>
      <c r="Q48" s="262">
        <v>1</v>
      </c>
      <c r="R48" s="92"/>
    </row>
    <row r="49" spans="1:18" x14ac:dyDescent="0.25">
      <c r="A49" s="326">
        <v>2000</v>
      </c>
      <c r="B49" s="326" t="s">
        <v>805</v>
      </c>
      <c r="C49" s="264" t="s">
        <v>397</v>
      </c>
      <c r="D49" s="157" t="s">
        <v>442</v>
      </c>
      <c r="E49" s="44">
        <f t="shared" si="1"/>
        <v>36707</v>
      </c>
      <c r="F49" s="146" t="str">
        <f t="shared" si="2"/>
        <v>1999-00</v>
      </c>
      <c r="G49" s="1"/>
      <c r="H49" s="161"/>
      <c r="I49" s="37"/>
      <c r="J49" s="135">
        <f t="shared" si="4"/>
        <v>0.9161881535038825</v>
      </c>
      <c r="K49" s="112"/>
      <c r="L49" s="37">
        <v>37</v>
      </c>
      <c r="M49" s="37" t="s">
        <v>509</v>
      </c>
      <c r="N49" s="37">
        <v>1418.979009080326</v>
      </c>
      <c r="O49" s="130">
        <f t="shared" si="3"/>
        <v>52502.223335972063</v>
      </c>
      <c r="P49" s="132">
        <f t="shared" si="0"/>
        <v>48101.915053032695</v>
      </c>
      <c r="Q49" s="262">
        <v>1</v>
      </c>
      <c r="R49" s="92"/>
    </row>
    <row r="50" spans="1:18" x14ac:dyDescent="0.25">
      <c r="A50" s="326">
        <v>2000</v>
      </c>
      <c r="B50" s="326" t="s">
        <v>805</v>
      </c>
      <c r="C50" s="264" t="s">
        <v>397</v>
      </c>
      <c r="D50" s="157" t="s">
        <v>442</v>
      </c>
      <c r="E50" s="44">
        <f t="shared" si="1"/>
        <v>36707</v>
      </c>
      <c r="F50" s="146" t="str">
        <f t="shared" si="2"/>
        <v>1999-00</v>
      </c>
      <c r="G50" s="1"/>
      <c r="H50" s="161"/>
      <c r="I50" s="37"/>
      <c r="J50" s="135">
        <f t="shared" si="4"/>
        <v>0.9161881535038825</v>
      </c>
      <c r="K50" s="112"/>
      <c r="L50" s="37">
        <v>40</v>
      </c>
      <c r="M50" s="37" t="s">
        <v>509</v>
      </c>
      <c r="N50" s="37">
        <v>1309.455090104773</v>
      </c>
      <c r="O50" s="130">
        <f t="shared" si="3"/>
        <v>52378.203604190923</v>
      </c>
      <c r="P50" s="132">
        <f t="shared" si="0"/>
        <v>47988.289643974087</v>
      </c>
      <c r="Q50" s="262">
        <v>1</v>
      </c>
      <c r="R50" s="92"/>
    </row>
    <row r="51" spans="1:18" x14ac:dyDescent="0.25">
      <c r="A51" s="326">
        <v>2000</v>
      </c>
      <c r="B51" s="326" t="s">
        <v>805</v>
      </c>
      <c r="C51" s="264" t="s">
        <v>397</v>
      </c>
      <c r="D51" s="157" t="s">
        <v>442</v>
      </c>
      <c r="E51" s="44">
        <f t="shared" si="1"/>
        <v>36707</v>
      </c>
      <c r="F51" s="146" t="str">
        <f t="shared" si="2"/>
        <v>1999-00</v>
      </c>
      <c r="G51" s="1"/>
      <c r="H51" s="161"/>
      <c r="I51" s="37"/>
      <c r="J51" s="135">
        <f t="shared" si="4"/>
        <v>0.9161881535038825</v>
      </c>
      <c r="K51" s="112"/>
      <c r="L51" s="37">
        <v>56</v>
      </c>
      <c r="M51" s="37" t="s">
        <v>509</v>
      </c>
      <c r="N51" s="37">
        <v>1082.3540228172294</v>
      </c>
      <c r="O51" s="130">
        <f t="shared" si="3"/>
        <v>60611.825277764845</v>
      </c>
      <c r="P51" s="132">
        <f t="shared" si="0"/>
        <v>55531.836281735326</v>
      </c>
      <c r="Q51" s="262">
        <v>1</v>
      </c>
      <c r="R51" s="92"/>
    </row>
    <row r="52" spans="1:18" x14ac:dyDescent="0.25">
      <c r="A52" s="326">
        <v>2000</v>
      </c>
      <c r="B52" s="326" t="s">
        <v>805</v>
      </c>
      <c r="C52" s="264" t="s">
        <v>397</v>
      </c>
      <c r="D52" s="157" t="s">
        <v>442</v>
      </c>
      <c r="E52" s="44">
        <f t="shared" si="1"/>
        <v>36707</v>
      </c>
      <c r="F52" s="146" t="str">
        <f t="shared" si="2"/>
        <v>1999-00</v>
      </c>
      <c r="G52" s="1"/>
      <c r="H52" s="161"/>
      <c r="I52" s="37"/>
      <c r="J52" s="135">
        <f t="shared" si="4"/>
        <v>0.9161881535038825</v>
      </c>
      <c r="K52" s="112"/>
      <c r="L52" s="37">
        <v>20</v>
      </c>
      <c r="M52" s="37" t="s">
        <v>509</v>
      </c>
      <c r="N52" s="37">
        <v>808.54422537834705</v>
      </c>
      <c r="O52" s="130">
        <f t="shared" si="3"/>
        <v>16170.884507566941</v>
      </c>
      <c r="P52" s="132">
        <f t="shared" si="0"/>
        <v>14815.572817512297</v>
      </c>
      <c r="Q52" s="262">
        <v>1</v>
      </c>
      <c r="R52" s="92"/>
    </row>
    <row r="53" spans="1:18" x14ac:dyDescent="0.25">
      <c r="A53" s="326">
        <v>2001</v>
      </c>
      <c r="B53" s="326" t="s">
        <v>805</v>
      </c>
      <c r="C53" s="264" t="s">
        <v>398</v>
      </c>
      <c r="D53" s="157" t="s">
        <v>443</v>
      </c>
      <c r="E53" s="44">
        <f t="shared" si="1"/>
        <v>37072</v>
      </c>
      <c r="F53" s="146" t="str">
        <f t="shared" si="2"/>
        <v>2000-01</v>
      </c>
      <c r="G53" s="1"/>
      <c r="H53" s="161"/>
      <c r="I53" s="37"/>
      <c r="J53" s="135">
        <f t="shared" si="4"/>
        <v>0.9161881535038825</v>
      </c>
      <c r="K53" s="112"/>
      <c r="L53" s="37">
        <v>50</v>
      </c>
      <c r="M53" s="37" t="s">
        <v>509</v>
      </c>
      <c r="N53" s="37">
        <v>1418.979009080326</v>
      </c>
      <c r="O53" s="130">
        <f t="shared" si="3"/>
        <v>70948.950454016303</v>
      </c>
      <c r="P53" s="132">
        <f t="shared" si="0"/>
        <v>13000.517581900729</v>
      </c>
      <c r="Q53" s="262">
        <v>0.2</v>
      </c>
      <c r="R53" s="92"/>
    </row>
    <row r="54" spans="1:18" x14ac:dyDescent="0.25">
      <c r="A54" s="326">
        <v>2001</v>
      </c>
      <c r="B54" s="326" t="s">
        <v>805</v>
      </c>
      <c r="C54" s="264" t="s">
        <v>398</v>
      </c>
      <c r="D54" s="157" t="s">
        <v>443</v>
      </c>
      <c r="E54" s="44">
        <f t="shared" si="1"/>
        <v>37072</v>
      </c>
      <c r="F54" s="146" t="str">
        <f t="shared" si="2"/>
        <v>2000-01</v>
      </c>
      <c r="G54" s="1"/>
      <c r="H54" s="161"/>
      <c r="I54" s="37"/>
      <c r="J54" s="135">
        <f t="shared" si="4"/>
        <v>0.9161881535038825</v>
      </c>
      <c r="K54" s="112"/>
      <c r="L54" s="37">
        <v>27</v>
      </c>
      <c r="M54" s="37" t="s">
        <v>509</v>
      </c>
      <c r="N54" s="37">
        <v>1418.979009080326</v>
      </c>
      <c r="O54" s="130">
        <f t="shared" si="3"/>
        <v>38312.433245168802</v>
      </c>
      <c r="P54" s="132">
        <f t="shared" si="0"/>
        <v>7020.2794942263936</v>
      </c>
      <c r="Q54" s="262">
        <v>0.2</v>
      </c>
      <c r="R54" s="92"/>
    </row>
    <row r="55" spans="1:18" x14ac:dyDescent="0.25">
      <c r="A55" s="326">
        <v>2001</v>
      </c>
      <c r="B55" s="326" t="s">
        <v>805</v>
      </c>
      <c r="C55" s="264" t="s">
        <v>398</v>
      </c>
      <c r="D55" s="157" t="s">
        <v>444</v>
      </c>
      <c r="E55" s="44">
        <f t="shared" si="1"/>
        <v>37072</v>
      </c>
      <c r="F55" s="146" t="str">
        <f t="shared" si="2"/>
        <v>2000-01</v>
      </c>
      <c r="G55" s="1"/>
      <c r="H55" s="161"/>
      <c r="I55" s="37"/>
      <c r="J55" s="135">
        <f t="shared" si="4"/>
        <v>0.9161881535038825</v>
      </c>
      <c r="K55" s="112"/>
      <c r="L55" s="37">
        <v>50</v>
      </c>
      <c r="M55" s="37" t="s">
        <v>509</v>
      </c>
      <c r="N55" s="37">
        <v>1418.979009080326</v>
      </c>
      <c r="O55" s="130">
        <f t="shared" si="3"/>
        <v>70948.950454016303</v>
      </c>
      <c r="P55" s="132">
        <f t="shared" si="0"/>
        <v>13000.517581900729</v>
      </c>
      <c r="Q55" s="262">
        <v>0.2</v>
      </c>
      <c r="R55" s="92"/>
    </row>
    <row r="56" spans="1:18" x14ac:dyDescent="0.25">
      <c r="A56" s="326">
        <v>2001</v>
      </c>
      <c r="B56" s="326" t="s">
        <v>805</v>
      </c>
      <c r="C56" s="264" t="s">
        <v>398</v>
      </c>
      <c r="D56" s="157" t="s">
        <v>444</v>
      </c>
      <c r="E56" s="44">
        <f t="shared" si="1"/>
        <v>37072</v>
      </c>
      <c r="F56" s="146" t="str">
        <f t="shared" si="2"/>
        <v>2000-01</v>
      </c>
      <c r="G56" s="1"/>
      <c r="H56" s="161"/>
      <c r="I56" s="37"/>
      <c r="J56" s="135">
        <f t="shared" si="4"/>
        <v>0.9161881535038825</v>
      </c>
      <c r="K56" s="112"/>
      <c r="L56" s="37">
        <v>27</v>
      </c>
      <c r="M56" s="37" t="s">
        <v>509</v>
      </c>
      <c r="N56" s="37">
        <v>1418.979009080326</v>
      </c>
      <c r="O56" s="130">
        <f t="shared" si="3"/>
        <v>38312.433245168802</v>
      </c>
      <c r="P56" s="132">
        <f t="shared" si="0"/>
        <v>7020.2794942263936</v>
      </c>
      <c r="Q56" s="262">
        <v>0.2</v>
      </c>
      <c r="R56" s="92"/>
    </row>
    <row r="57" spans="1:18" x14ac:dyDescent="0.25">
      <c r="A57" s="326">
        <v>2001</v>
      </c>
      <c r="B57" s="326" t="s">
        <v>805</v>
      </c>
      <c r="C57" s="264" t="s">
        <v>398</v>
      </c>
      <c r="D57" s="157" t="s">
        <v>444</v>
      </c>
      <c r="E57" s="44">
        <f t="shared" si="1"/>
        <v>37072</v>
      </c>
      <c r="F57" s="146" t="str">
        <f t="shared" si="2"/>
        <v>2000-01</v>
      </c>
      <c r="G57" s="1"/>
      <c r="H57" s="161"/>
      <c r="I57" s="37"/>
      <c r="J57" s="135">
        <f t="shared" si="4"/>
        <v>0.9161881535038825</v>
      </c>
      <c r="K57" s="112"/>
      <c r="L57" s="37">
        <v>19</v>
      </c>
      <c r="M57" s="37" t="s">
        <v>509</v>
      </c>
      <c r="N57" s="37">
        <v>497.68957299185098</v>
      </c>
      <c r="O57" s="130">
        <f t="shared" si="3"/>
        <v>9456.1018868451683</v>
      </c>
      <c r="P57" s="132">
        <f t="shared" si="0"/>
        <v>1732.7137054106508</v>
      </c>
      <c r="Q57" s="262">
        <v>0.2</v>
      </c>
      <c r="R57" s="92"/>
    </row>
    <row r="58" spans="1:18" x14ac:dyDescent="0.25">
      <c r="A58" s="326">
        <v>2001</v>
      </c>
      <c r="B58" s="326" t="s">
        <v>805</v>
      </c>
      <c r="C58" s="264" t="s">
        <v>398</v>
      </c>
      <c r="D58" s="157" t="s">
        <v>444</v>
      </c>
      <c r="E58" s="44">
        <f t="shared" si="1"/>
        <v>37072</v>
      </c>
      <c r="F58" s="146" t="str">
        <f t="shared" si="2"/>
        <v>2000-01</v>
      </c>
      <c r="G58" s="1"/>
      <c r="H58" s="161"/>
      <c r="I58" s="37"/>
      <c r="J58" s="135">
        <f t="shared" si="4"/>
        <v>0.9161881535038825</v>
      </c>
      <c r="K58" s="112"/>
      <c r="L58" s="37">
        <v>3.2971420704800001</v>
      </c>
      <c r="M58" s="37" t="s">
        <v>509</v>
      </c>
      <c r="N58" s="37">
        <v>563.72605355064024</v>
      </c>
      <c r="O58" s="130">
        <f t="shared" si="3"/>
        <v>1858.6848873874774</v>
      </c>
      <c r="P58" s="132">
        <f t="shared" si="0"/>
        <v>340.58101498422093</v>
      </c>
      <c r="Q58" s="262">
        <v>0.2</v>
      </c>
      <c r="R58" s="92"/>
    </row>
    <row r="59" spans="1:18" x14ac:dyDescent="0.25">
      <c r="A59" s="326">
        <v>2001</v>
      </c>
      <c r="B59" s="326" t="s">
        <v>805</v>
      </c>
      <c r="C59" s="264" t="s">
        <v>398</v>
      </c>
      <c r="D59" s="157" t="s">
        <v>444</v>
      </c>
      <c r="E59" s="44">
        <f t="shared" si="1"/>
        <v>37072</v>
      </c>
      <c r="F59" s="146" t="str">
        <f t="shared" si="2"/>
        <v>2000-01</v>
      </c>
      <c r="G59" s="1"/>
      <c r="H59" s="161"/>
      <c r="I59" s="37"/>
      <c r="J59" s="135">
        <f t="shared" si="4"/>
        <v>0.9161881535038825</v>
      </c>
      <c r="K59" s="112"/>
      <c r="L59" s="37">
        <v>4.2965626027699999</v>
      </c>
      <c r="M59" s="37" t="s">
        <v>509</v>
      </c>
      <c r="N59" s="37">
        <v>959.94493690337606</v>
      </c>
      <c r="O59" s="130">
        <f t="shared" si="3"/>
        <v>4124.463516617453</v>
      </c>
      <c r="P59" s="132">
        <f t="shared" si="0"/>
        <v>755.75692269677484</v>
      </c>
      <c r="Q59" s="262">
        <v>0.2</v>
      </c>
      <c r="R59" s="92"/>
    </row>
    <row r="60" spans="1:18" x14ac:dyDescent="0.25">
      <c r="A60" s="326">
        <v>2001</v>
      </c>
      <c r="B60" s="326" t="s">
        <v>805</v>
      </c>
      <c r="C60" s="264" t="s">
        <v>398</v>
      </c>
      <c r="D60" s="157" t="s">
        <v>444</v>
      </c>
      <c r="E60" s="44">
        <f t="shared" si="1"/>
        <v>37072</v>
      </c>
      <c r="F60" s="146" t="str">
        <f t="shared" si="2"/>
        <v>2000-01</v>
      </c>
      <c r="G60" s="1"/>
      <c r="H60" s="161"/>
      <c r="I60" s="37"/>
      <c r="J60" s="135">
        <f t="shared" si="4"/>
        <v>0.9161881535038825</v>
      </c>
      <c r="K60" s="112"/>
      <c r="L60" s="37">
        <v>5.9863225773400002</v>
      </c>
      <c r="M60" s="37" t="s">
        <v>509</v>
      </c>
      <c r="N60" s="37">
        <v>864.91683073341096</v>
      </c>
      <c r="O60" s="130">
        <f t="shared" si="3"/>
        <v>5177.6711513407772</v>
      </c>
      <c r="P60" s="132">
        <f t="shared" si="0"/>
        <v>948.74419431944557</v>
      </c>
      <c r="Q60" s="262">
        <v>0.2</v>
      </c>
      <c r="R60" s="92"/>
    </row>
    <row r="61" spans="1:18" x14ac:dyDescent="0.25">
      <c r="A61" s="326">
        <v>2001</v>
      </c>
      <c r="B61" s="326" t="s">
        <v>805</v>
      </c>
      <c r="C61" s="264" t="s">
        <v>399</v>
      </c>
      <c r="D61" s="157" t="s">
        <v>445</v>
      </c>
      <c r="E61" s="44">
        <f t="shared" si="1"/>
        <v>37072</v>
      </c>
      <c r="F61" s="146" t="str">
        <f t="shared" si="2"/>
        <v>2000-01</v>
      </c>
      <c r="G61" s="1"/>
      <c r="H61" s="161"/>
      <c r="I61" s="37"/>
      <c r="J61" s="135">
        <f t="shared" si="4"/>
        <v>0.9161881535038825</v>
      </c>
      <c r="K61" s="112"/>
      <c r="L61" s="37">
        <v>85</v>
      </c>
      <c r="M61" s="37" t="s">
        <v>509</v>
      </c>
      <c r="N61" s="37">
        <v>1766.8785164144354</v>
      </c>
      <c r="O61" s="130">
        <f t="shared" si="3"/>
        <v>150184.673895227</v>
      </c>
      <c r="P61" s="132">
        <f t="shared" si="0"/>
        <v>30271.432193343171</v>
      </c>
      <c r="Q61" s="262">
        <v>0.22</v>
      </c>
      <c r="R61" s="92"/>
    </row>
    <row r="62" spans="1:18" x14ac:dyDescent="0.25">
      <c r="A62" s="326">
        <v>2001</v>
      </c>
      <c r="B62" s="326" t="s">
        <v>805</v>
      </c>
      <c r="C62" s="264" t="s">
        <v>399</v>
      </c>
      <c r="D62" s="157" t="s">
        <v>445</v>
      </c>
      <c r="E62" s="44">
        <f t="shared" si="1"/>
        <v>37072</v>
      </c>
      <c r="F62" s="146" t="str">
        <f t="shared" si="2"/>
        <v>2000-01</v>
      </c>
      <c r="G62" s="1"/>
      <c r="H62" s="161"/>
      <c r="I62" s="37"/>
      <c r="J62" s="135">
        <f t="shared" si="4"/>
        <v>0.9161881535038825</v>
      </c>
      <c r="K62" s="112"/>
      <c r="L62" s="37">
        <v>229</v>
      </c>
      <c r="M62" s="37" t="s">
        <v>509</v>
      </c>
      <c r="N62" s="37">
        <v>1472.130322700815</v>
      </c>
      <c r="O62" s="130">
        <f t="shared" si="3"/>
        <v>337117.84389848664</v>
      </c>
      <c r="P62" s="132">
        <f t="shared" si="0"/>
        <v>67949.942481204213</v>
      </c>
      <c r="Q62" s="262">
        <v>0.22</v>
      </c>
      <c r="R62" s="92"/>
    </row>
    <row r="63" spans="1:18" x14ac:dyDescent="0.25">
      <c r="A63" s="326">
        <v>2001</v>
      </c>
      <c r="B63" s="326" t="s">
        <v>805</v>
      </c>
      <c r="C63" s="264" t="s">
        <v>399</v>
      </c>
      <c r="D63" s="157" t="s">
        <v>445</v>
      </c>
      <c r="E63" s="44">
        <f t="shared" si="1"/>
        <v>37072</v>
      </c>
      <c r="F63" s="146" t="str">
        <f t="shared" si="2"/>
        <v>2000-01</v>
      </c>
      <c r="G63" s="1"/>
      <c r="H63" s="161"/>
      <c r="I63" s="37"/>
      <c r="J63" s="135">
        <f t="shared" si="4"/>
        <v>0.9161881535038825</v>
      </c>
      <c r="K63" s="112"/>
      <c r="L63" s="37">
        <v>95</v>
      </c>
      <c r="M63" s="37" t="s">
        <v>509</v>
      </c>
      <c r="N63" s="37">
        <v>563.72605355064024</v>
      </c>
      <c r="O63" s="130">
        <f t="shared" si="3"/>
        <v>53553.975087310821</v>
      </c>
      <c r="P63" s="132">
        <f t="shared" si="0"/>
        <v>10794.413860567969</v>
      </c>
      <c r="Q63" s="262">
        <v>0.22</v>
      </c>
      <c r="R63" s="92"/>
    </row>
    <row r="64" spans="1:18" x14ac:dyDescent="0.25">
      <c r="A64" s="326">
        <v>2001</v>
      </c>
      <c r="B64" s="326" t="s">
        <v>805</v>
      </c>
      <c r="C64" s="264" t="s">
        <v>399</v>
      </c>
      <c r="D64" s="157" t="s">
        <v>445</v>
      </c>
      <c r="E64" s="44">
        <f t="shared" si="1"/>
        <v>37072</v>
      </c>
      <c r="F64" s="146" t="str">
        <f t="shared" si="2"/>
        <v>2000-01</v>
      </c>
      <c r="G64" s="1"/>
      <c r="H64" s="161"/>
      <c r="I64" s="37"/>
      <c r="J64" s="135">
        <f t="shared" si="4"/>
        <v>0.9161881535038825</v>
      </c>
      <c r="K64" s="112"/>
      <c r="L64" s="37">
        <v>14.3934327386</v>
      </c>
      <c r="M64" s="37" t="s">
        <v>509</v>
      </c>
      <c r="N64" s="37">
        <v>497.68957299185098</v>
      </c>
      <c r="O64" s="130">
        <f t="shared" si="3"/>
        <v>7163.4613935607622</v>
      </c>
      <c r="P64" s="132">
        <f t="shared" si="0"/>
        <v>1443.8772627098124</v>
      </c>
      <c r="Q64" s="262">
        <v>0.22</v>
      </c>
      <c r="R64" s="92"/>
    </row>
    <row r="65" spans="1:18" x14ac:dyDescent="0.25">
      <c r="A65" s="326">
        <v>2001</v>
      </c>
      <c r="B65" s="326" t="s">
        <v>805</v>
      </c>
      <c r="C65" s="264" t="s">
        <v>400</v>
      </c>
      <c r="D65" s="157" t="s">
        <v>446</v>
      </c>
      <c r="E65" s="44">
        <f t="shared" si="1"/>
        <v>37072</v>
      </c>
      <c r="F65" s="146" t="str">
        <f t="shared" si="2"/>
        <v>2000-01</v>
      </c>
      <c r="G65" s="1"/>
      <c r="H65" s="161"/>
      <c r="I65" s="37"/>
      <c r="J65" s="135">
        <f t="shared" si="4"/>
        <v>0.9161881535038825</v>
      </c>
      <c r="K65" s="112"/>
      <c r="L65" s="37">
        <v>236</v>
      </c>
      <c r="M65" s="37" t="s">
        <v>509</v>
      </c>
      <c r="N65" s="37">
        <v>959.94493690337606</v>
      </c>
      <c r="O65" s="130">
        <f t="shared" si="3"/>
        <v>226547.00510919676</v>
      </c>
      <c r="P65" s="132">
        <f t="shared" si="0"/>
        <v>78872.67927127525</v>
      </c>
      <c r="Q65" s="262">
        <v>0.38</v>
      </c>
      <c r="R65" s="92"/>
    </row>
    <row r="66" spans="1:18" x14ac:dyDescent="0.25">
      <c r="A66" s="326">
        <v>2001</v>
      </c>
      <c r="B66" s="326" t="s">
        <v>805</v>
      </c>
      <c r="C66" s="264" t="s">
        <v>400</v>
      </c>
      <c r="D66" s="157" t="s">
        <v>446</v>
      </c>
      <c r="E66" s="44">
        <f t="shared" si="1"/>
        <v>37072</v>
      </c>
      <c r="F66" s="146" t="str">
        <f t="shared" si="2"/>
        <v>2000-01</v>
      </c>
      <c r="G66" s="1"/>
      <c r="H66" s="161"/>
      <c r="I66" s="37"/>
      <c r="J66" s="135">
        <f t="shared" si="4"/>
        <v>0.9161881535038825</v>
      </c>
      <c r="K66" s="112"/>
      <c r="L66" s="37">
        <v>557</v>
      </c>
      <c r="M66" s="37" t="s">
        <v>509</v>
      </c>
      <c r="N66" s="37">
        <v>563.72605355064024</v>
      </c>
      <c r="O66" s="130">
        <f t="shared" si="3"/>
        <v>313995.41182770662</v>
      </c>
      <c r="P66" s="132">
        <f t="shared" si="0"/>
        <v>109317.97309702472</v>
      </c>
      <c r="Q66" s="262">
        <v>0.38</v>
      </c>
      <c r="R66" s="92"/>
    </row>
    <row r="67" spans="1:18" x14ac:dyDescent="0.25">
      <c r="A67" s="326">
        <v>2001</v>
      </c>
      <c r="B67" s="326" t="s">
        <v>805</v>
      </c>
      <c r="C67" s="264" t="s">
        <v>400</v>
      </c>
      <c r="D67" s="157" t="s">
        <v>446</v>
      </c>
      <c r="E67" s="44">
        <f t="shared" si="1"/>
        <v>37072</v>
      </c>
      <c r="F67" s="146" t="str">
        <f t="shared" si="2"/>
        <v>2000-01</v>
      </c>
      <c r="G67" s="1"/>
      <c r="H67" s="161"/>
      <c r="I67" s="37"/>
      <c r="J67" s="135">
        <f t="shared" si="4"/>
        <v>0.9161881535038825</v>
      </c>
      <c r="K67" s="112"/>
      <c r="L67" s="37">
        <v>99</v>
      </c>
      <c r="M67" s="37" t="s">
        <v>509</v>
      </c>
      <c r="N67" s="37">
        <v>497.68957299185098</v>
      </c>
      <c r="O67" s="130">
        <f t="shared" si="3"/>
        <v>49271.267726193248</v>
      </c>
      <c r="P67" s="132">
        <f t="shared" si="0"/>
        <v>17153.865683565444</v>
      </c>
      <c r="Q67" s="262">
        <v>0.38</v>
      </c>
      <c r="R67" s="92"/>
    </row>
    <row r="68" spans="1:18" x14ac:dyDescent="0.25">
      <c r="A68" s="326">
        <v>2001</v>
      </c>
      <c r="B68" s="326" t="s">
        <v>805</v>
      </c>
      <c r="C68" s="264" t="s">
        <v>400</v>
      </c>
      <c r="D68" s="157" t="s">
        <v>446</v>
      </c>
      <c r="E68" s="44">
        <f t="shared" si="1"/>
        <v>37072</v>
      </c>
      <c r="F68" s="146" t="str">
        <f t="shared" si="2"/>
        <v>2000-01</v>
      </c>
      <c r="G68" s="1"/>
      <c r="H68" s="161"/>
      <c r="I68" s="37"/>
      <c r="J68" s="135">
        <f t="shared" si="4"/>
        <v>0.9161881535038825</v>
      </c>
      <c r="K68" s="112"/>
      <c r="L68" s="37">
        <v>239</v>
      </c>
      <c r="M68" s="37" t="s">
        <v>509</v>
      </c>
      <c r="N68" s="37">
        <v>864.91683073341096</v>
      </c>
      <c r="O68" s="130">
        <f t="shared" si="3"/>
        <v>206715.12254528521</v>
      </c>
      <c r="P68" s="132">
        <f t="shared" si="0"/>
        <v>71968.179641915587</v>
      </c>
      <c r="Q68" s="262">
        <v>0.38</v>
      </c>
      <c r="R68" s="92"/>
    </row>
    <row r="69" spans="1:18" x14ac:dyDescent="0.25">
      <c r="A69" s="326">
        <v>2001</v>
      </c>
      <c r="B69" s="326" t="s">
        <v>805</v>
      </c>
      <c r="C69" s="264" t="s">
        <v>399</v>
      </c>
      <c r="D69" s="157" t="s">
        <v>447</v>
      </c>
      <c r="E69" s="44">
        <f t="shared" si="1"/>
        <v>37072</v>
      </c>
      <c r="F69" s="146" t="str">
        <f t="shared" si="2"/>
        <v>2000-01</v>
      </c>
      <c r="G69" s="1"/>
      <c r="H69" s="161"/>
      <c r="I69" s="37"/>
      <c r="J69" s="135">
        <f t="shared" si="4"/>
        <v>0.9161881535038825</v>
      </c>
      <c r="K69" s="112"/>
      <c r="L69" s="37">
        <v>16</v>
      </c>
      <c r="M69" s="37" t="s">
        <v>509</v>
      </c>
      <c r="N69" s="37">
        <v>1766.8785164144354</v>
      </c>
      <c r="O69" s="130">
        <f t="shared" si="3"/>
        <v>28270.056262630966</v>
      </c>
      <c r="P69" s="132">
        <f t="shared" si="0"/>
        <v>25900.690646710733</v>
      </c>
      <c r="Q69" s="262">
        <v>1</v>
      </c>
      <c r="R69" s="92"/>
    </row>
    <row r="70" spans="1:18" x14ac:dyDescent="0.25">
      <c r="A70" s="326">
        <v>2001</v>
      </c>
      <c r="B70" s="326" t="s">
        <v>805</v>
      </c>
      <c r="C70" s="264" t="s">
        <v>399</v>
      </c>
      <c r="D70" s="157" t="s">
        <v>447</v>
      </c>
      <c r="E70" s="44">
        <f t="shared" si="1"/>
        <v>37072</v>
      </c>
      <c r="F70" s="146" t="str">
        <f t="shared" si="2"/>
        <v>2000-01</v>
      </c>
      <c r="G70" s="1"/>
      <c r="H70" s="161"/>
      <c r="I70" s="37"/>
      <c r="J70" s="135">
        <f t="shared" si="4"/>
        <v>0.9161881535038825</v>
      </c>
      <c r="K70" s="112"/>
      <c r="L70" s="37">
        <v>88</v>
      </c>
      <c r="M70" s="37" t="s">
        <v>509</v>
      </c>
      <c r="N70" s="37">
        <v>1472.130322700815</v>
      </c>
      <c r="O70" s="130">
        <f t="shared" si="3"/>
        <v>129547.46839767172</v>
      </c>
      <c r="P70" s="132">
        <f t="shared" si="0"/>
        <v>118689.85586236542</v>
      </c>
      <c r="Q70" s="262">
        <v>1</v>
      </c>
      <c r="R70" s="92"/>
    </row>
    <row r="71" spans="1:18" x14ac:dyDescent="0.25">
      <c r="A71" s="326">
        <v>2002</v>
      </c>
      <c r="B71" s="326" t="s">
        <v>805</v>
      </c>
      <c r="C71" s="264" t="s">
        <v>401</v>
      </c>
      <c r="D71" s="157" t="s">
        <v>448</v>
      </c>
      <c r="E71" s="44">
        <f t="shared" si="1"/>
        <v>37437</v>
      </c>
      <c r="F71" s="146" t="str">
        <f t="shared" si="2"/>
        <v>2001-02</v>
      </c>
      <c r="G71" s="1"/>
      <c r="H71" s="161"/>
      <c r="I71" s="37"/>
      <c r="J71" s="135">
        <f t="shared" si="4"/>
        <v>0.9161881535038825</v>
      </c>
      <c r="K71" s="112"/>
      <c r="L71" s="37">
        <v>5.2103870297699997</v>
      </c>
      <c r="M71" s="37" t="s">
        <v>509</v>
      </c>
      <c r="N71" s="37">
        <v>3200.3533383003496</v>
      </c>
      <c r="O71" s="130">
        <f t="shared" si="3"/>
        <v>16675.079524561261</v>
      </c>
      <c r="P71" s="132">
        <f t="shared" si="0"/>
        <v>1527.7510319138182</v>
      </c>
      <c r="Q71" s="262">
        <v>0.1</v>
      </c>
      <c r="R71" s="92"/>
    </row>
    <row r="72" spans="1:18" x14ac:dyDescent="0.25">
      <c r="A72" s="326">
        <v>2002</v>
      </c>
      <c r="B72" s="326" t="s">
        <v>805</v>
      </c>
      <c r="C72" s="264" t="s">
        <v>401</v>
      </c>
      <c r="D72" s="157" t="s">
        <v>448</v>
      </c>
      <c r="E72" s="44">
        <f t="shared" si="1"/>
        <v>37437</v>
      </c>
      <c r="F72" s="146" t="str">
        <f t="shared" si="2"/>
        <v>2001-02</v>
      </c>
      <c r="G72" s="1"/>
      <c r="H72" s="161"/>
      <c r="I72" s="37"/>
      <c r="J72" s="135">
        <f t="shared" si="4"/>
        <v>0.9161881535038825</v>
      </c>
      <c r="K72" s="112"/>
      <c r="L72" s="37">
        <v>60</v>
      </c>
      <c r="M72" s="37" t="s">
        <v>509</v>
      </c>
      <c r="N72" s="37">
        <v>3200.3533383003496</v>
      </c>
      <c r="O72" s="130">
        <f t="shared" si="3"/>
        <v>192021.20029802097</v>
      </c>
      <c r="P72" s="132">
        <f t="shared" si="0"/>
        <v>17592.754893464302</v>
      </c>
      <c r="Q72" s="262">
        <v>0.1</v>
      </c>
      <c r="R72" s="92"/>
    </row>
    <row r="73" spans="1:18" x14ac:dyDescent="0.25">
      <c r="A73" s="326">
        <v>2002</v>
      </c>
      <c r="B73" s="326" t="s">
        <v>805</v>
      </c>
      <c r="C73" s="264" t="s">
        <v>401</v>
      </c>
      <c r="D73" s="157" t="s">
        <v>448</v>
      </c>
      <c r="E73" s="44">
        <f t="shared" si="1"/>
        <v>37437</v>
      </c>
      <c r="F73" s="146" t="str">
        <f t="shared" si="2"/>
        <v>2001-02</v>
      </c>
      <c r="G73" s="1"/>
      <c r="H73" s="161"/>
      <c r="I73" s="37"/>
      <c r="J73" s="135">
        <f t="shared" si="4"/>
        <v>0.9161881535038825</v>
      </c>
      <c r="K73" s="112"/>
      <c r="L73" s="37">
        <v>57</v>
      </c>
      <c r="M73" s="37" t="s">
        <v>509</v>
      </c>
      <c r="N73" s="37">
        <v>2366.038779045402</v>
      </c>
      <c r="O73" s="130">
        <f t="shared" si="3"/>
        <v>134864.21040558792</v>
      </c>
      <c r="P73" s="132">
        <f t="shared" si="0"/>
        <v>12356.09919052547</v>
      </c>
      <c r="Q73" s="262">
        <v>0.1</v>
      </c>
      <c r="R73" s="92"/>
    </row>
    <row r="74" spans="1:18" x14ac:dyDescent="0.25">
      <c r="A74" s="326">
        <v>2002</v>
      </c>
      <c r="B74" s="326" t="s">
        <v>805</v>
      </c>
      <c r="C74" s="264" t="s">
        <v>401</v>
      </c>
      <c r="D74" s="157" t="s">
        <v>448</v>
      </c>
      <c r="E74" s="44">
        <f t="shared" si="1"/>
        <v>37437</v>
      </c>
      <c r="F74" s="146" t="str">
        <f t="shared" si="2"/>
        <v>2001-02</v>
      </c>
      <c r="G74" s="1"/>
      <c r="H74" s="161"/>
      <c r="I74" s="37"/>
      <c r="J74" s="135">
        <f t="shared" si="4"/>
        <v>0.9161881535038825</v>
      </c>
      <c r="K74" s="112"/>
      <c r="L74" s="37">
        <v>1</v>
      </c>
      <c r="M74" s="37" t="s">
        <v>509</v>
      </c>
      <c r="N74" s="37">
        <v>1082.3540228172294</v>
      </c>
      <c r="O74" s="130">
        <f t="shared" si="3"/>
        <v>1082.3540228172294</v>
      </c>
      <c r="P74" s="132">
        <f t="shared" si="0"/>
        <v>99.163993360241648</v>
      </c>
      <c r="Q74" s="262">
        <v>0.1</v>
      </c>
      <c r="R74" s="92"/>
    </row>
    <row r="75" spans="1:18" x14ac:dyDescent="0.25">
      <c r="A75" s="326">
        <v>2002</v>
      </c>
      <c r="B75" s="326" t="s">
        <v>805</v>
      </c>
      <c r="C75" s="264"/>
      <c r="D75" s="157" t="s">
        <v>449</v>
      </c>
      <c r="E75" s="44">
        <f t="shared" si="1"/>
        <v>37437</v>
      </c>
      <c r="F75" s="146" t="str">
        <f t="shared" si="2"/>
        <v>2001-02</v>
      </c>
      <c r="G75" s="1"/>
      <c r="H75" s="161"/>
      <c r="I75" s="37"/>
      <c r="J75" s="135">
        <f t="shared" si="4"/>
        <v>0.9161881535038825</v>
      </c>
      <c r="K75" s="112"/>
      <c r="L75" s="37">
        <v>74.741042613929991</v>
      </c>
      <c r="M75" s="37" t="s">
        <v>509</v>
      </c>
      <c r="N75" s="37">
        <v>670.02868079161817</v>
      </c>
      <c r="O75" s="130">
        <f t="shared" si="3"/>
        <v>50078.642183601631</v>
      </c>
      <c r="P75" s="132">
        <f t="shared" si="0"/>
        <v>9176.2917424351235</v>
      </c>
      <c r="Q75" s="262">
        <v>0.2</v>
      </c>
      <c r="R75" s="92"/>
    </row>
    <row r="76" spans="1:18" x14ac:dyDescent="0.25">
      <c r="A76" s="326">
        <v>2002</v>
      </c>
      <c r="B76" s="326" t="s">
        <v>805</v>
      </c>
      <c r="C76" s="264"/>
      <c r="D76" s="157" t="s">
        <v>450</v>
      </c>
      <c r="E76" s="44">
        <f t="shared" si="1"/>
        <v>37437</v>
      </c>
      <c r="F76" s="146" t="str">
        <f t="shared" si="2"/>
        <v>2001-02</v>
      </c>
      <c r="G76" s="1"/>
      <c r="H76" s="161"/>
      <c r="I76" s="37"/>
      <c r="J76" s="135">
        <f t="shared" si="4"/>
        <v>0.9161881535038825</v>
      </c>
      <c r="K76" s="112"/>
      <c r="L76" s="37">
        <v>20.2496096012</v>
      </c>
      <c r="M76" s="37" t="s">
        <v>509</v>
      </c>
      <c r="N76" s="37">
        <v>634.59447171129227</v>
      </c>
      <c r="O76" s="130">
        <f t="shared" si="3"/>
        <v>12850.290307233425</v>
      </c>
      <c r="P76" s="132">
        <f t="shared" si="0"/>
        <v>2354.6567497146061</v>
      </c>
      <c r="Q76" s="262">
        <v>0.2</v>
      </c>
      <c r="R76" s="92"/>
    </row>
    <row r="77" spans="1:18" x14ac:dyDescent="0.25">
      <c r="A77" s="326">
        <v>2002</v>
      </c>
      <c r="B77" s="326" t="s">
        <v>805</v>
      </c>
      <c r="C77" s="264"/>
      <c r="D77" s="157" t="s">
        <v>450</v>
      </c>
      <c r="E77" s="44">
        <f t="shared" si="1"/>
        <v>37437</v>
      </c>
      <c r="F77" s="146" t="str">
        <f t="shared" si="2"/>
        <v>2001-02</v>
      </c>
      <c r="G77" s="1"/>
      <c r="H77" s="161"/>
      <c r="I77" s="37"/>
      <c r="J77" s="135">
        <f t="shared" si="4"/>
        <v>0.9161881535038825</v>
      </c>
      <c r="K77" s="112"/>
      <c r="L77" s="37">
        <v>11.6114142549</v>
      </c>
      <c r="M77" s="37" t="s">
        <v>509</v>
      </c>
      <c r="N77" s="37">
        <v>634.59447171129227</v>
      </c>
      <c r="O77" s="130">
        <f t="shared" si="3"/>
        <v>7368.5392949092338</v>
      </c>
      <c r="P77" s="132">
        <f t="shared" si="0"/>
        <v>1350.1936821247382</v>
      </c>
      <c r="Q77" s="262">
        <v>0.2</v>
      </c>
      <c r="R77" s="92"/>
    </row>
    <row r="78" spans="1:18" x14ac:dyDescent="0.25">
      <c r="A78" s="326">
        <v>2002</v>
      </c>
      <c r="B78" s="326" t="s">
        <v>805</v>
      </c>
      <c r="C78" s="264"/>
      <c r="D78" s="157" t="s">
        <v>450</v>
      </c>
      <c r="E78" s="44">
        <f t="shared" si="1"/>
        <v>37437</v>
      </c>
      <c r="F78" s="146" t="str">
        <f t="shared" si="2"/>
        <v>2001-02</v>
      </c>
      <c r="G78" s="1"/>
      <c r="H78" s="161"/>
      <c r="I78" s="37"/>
      <c r="J78" s="135">
        <f t="shared" si="4"/>
        <v>0.9161881535038825</v>
      </c>
      <c r="K78" s="112"/>
      <c r="L78" s="37">
        <v>9.5876790204900004</v>
      </c>
      <c r="M78" s="37" t="s">
        <v>509</v>
      </c>
      <c r="N78" s="37">
        <v>565.33669941792778</v>
      </c>
      <c r="O78" s="130">
        <f t="shared" si="3"/>
        <v>5420.2668125223272</v>
      </c>
      <c r="P78" s="132">
        <f t="shared" si="0"/>
        <v>993.19684849264127</v>
      </c>
      <c r="Q78" s="262">
        <v>0.2</v>
      </c>
      <c r="R78" s="92"/>
    </row>
    <row r="79" spans="1:18" x14ac:dyDescent="0.25">
      <c r="A79" s="326">
        <v>2002</v>
      </c>
      <c r="B79" s="326" t="s">
        <v>805</v>
      </c>
      <c r="C79" s="264"/>
      <c r="D79" s="157" t="s">
        <v>450</v>
      </c>
      <c r="E79" s="44">
        <f t="shared" si="1"/>
        <v>37437</v>
      </c>
      <c r="F79" s="146" t="str">
        <f t="shared" si="2"/>
        <v>2001-02</v>
      </c>
      <c r="G79" s="1"/>
      <c r="H79" s="161"/>
      <c r="I79" s="37"/>
      <c r="J79" s="135">
        <f t="shared" si="4"/>
        <v>0.9161881535038825</v>
      </c>
      <c r="K79" s="112"/>
      <c r="L79" s="37">
        <v>5.1642519303399999</v>
      </c>
      <c r="M79" s="37" t="s">
        <v>509</v>
      </c>
      <c r="N79" s="37">
        <v>1138.7266281722934</v>
      </c>
      <c r="O79" s="130">
        <f t="shared" si="3"/>
        <v>5880.6711876683257</v>
      </c>
      <c r="P79" s="132">
        <f t="shared" si="0"/>
        <v>1077.5602553586655</v>
      </c>
      <c r="Q79" s="262">
        <v>0.2</v>
      </c>
      <c r="R79" s="92"/>
    </row>
    <row r="80" spans="1:18" x14ac:dyDescent="0.25">
      <c r="A80" s="326">
        <v>2002</v>
      </c>
      <c r="B80" s="326" t="s">
        <v>805</v>
      </c>
      <c r="C80" s="264"/>
      <c r="D80" s="157" t="s">
        <v>450</v>
      </c>
      <c r="E80" s="44">
        <f t="shared" si="1"/>
        <v>37437</v>
      </c>
      <c r="F80" s="146" t="str">
        <f t="shared" si="2"/>
        <v>2001-02</v>
      </c>
      <c r="G80" s="1"/>
      <c r="H80" s="161"/>
      <c r="I80" s="37"/>
      <c r="J80" s="135">
        <f t="shared" si="4"/>
        <v>0.9161881535038825</v>
      </c>
      <c r="K80" s="112"/>
      <c r="L80" s="37">
        <v>6.51591052732</v>
      </c>
      <c r="M80" s="37" t="s">
        <v>509</v>
      </c>
      <c r="N80" s="37">
        <v>634.59447171129227</v>
      </c>
      <c r="O80" s="130">
        <f t="shared" si="3"/>
        <v>4134.9607988026828</v>
      </c>
      <c r="P80" s="132">
        <f t="shared" si="0"/>
        <v>757.68041981319379</v>
      </c>
      <c r="Q80" s="262">
        <v>0.2</v>
      </c>
      <c r="R80" s="92"/>
    </row>
    <row r="81" spans="1:18" x14ac:dyDescent="0.25">
      <c r="A81" s="326">
        <v>2002</v>
      </c>
      <c r="B81" s="326" t="s">
        <v>805</v>
      </c>
      <c r="C81" s="264"/>
      <c r="D81" s="157" t="s">
        <v>451</v>
      </c>
      <c r="E81" s="44">
        <f t="shared" si="1"/>
        <v>37437</v>
      </c>
      <c r="F81" s="146" t="str">
        <f t="shared" si="2"/>
        <v>2001-02</v>
      </c>
      <c r="G81" s="1"/>
      <c r="H81" s="161"/>
      <c r="I81" s="37"/>
      <c r="J81" s="135">
        <f t="shared" si="4"/>
        <v>0.9161881535038825</v>
      </c>
      <c r="K81" s="112"/>
      <c r="L81" s="37">
        <v>14.755076064179999</v>
      </c>
      <c r="M81" s="37" t="s">
        <v>509</v>
      </c>
      <c r="N81" s="37">
        <v>1066.2475641443541</v>
      </c>
      <c r="O81" s="130">
        <f t="shared" si="3"/>
        <v>15732.563912196587</v>
      </c>
      <c r="P81" s="132">
        <f t="shared" si="0"/>
        <v>2882.7977361194421</v>
      </c>
      <c r="Q81" s="262">
        <v>0.2</v>
      </c>
      <c r="R81" s="92"/>
    </row>
    <row r="82" spans="1:18" x14ac:dyDescent="0.25">
      <c r="A82" s="326">
        <v>2002</v>
      </c>
      <c r="B82" s="326" t="s">
        <v>805</v>
      </c>
      <c r="C82" s="264"/>
      <c r="D82" s="157" t="s">
        <v>452</v>
      </c>
      <c r="E82" s="44">
        <f t="shared" si="1"/>
        <v>37437</v>
      </c>
      <c r="F82" s="146" t="str">
        <f t="shared" si="2"/>
        <v>2001-02</v>
      </c>
      <c r="G82" s="1"/>
      <c r="H82" s="161"/>
      <c r="I82" s="37"/>
      <c r="J82" s="135">
        <f t="shared" si="4"/>
        <v>0.9161881535038825</v>
      </c>
      <c r="K82" s="112"/>
      <c r="L82" s="37">
        <v>16.515467357510001</v>
      </c>
      <c r="M82" s="37" t="s">
        <v>509</v>
      </c>
      <c r="N82" s="37">
        <v>893.90845634458674</v>
      </c>
      <c r="O82" s="130">
        <f t="shared" si="3"/>
        <v>14763.315931361176</v>
      </c>
      <c r="P82" s="132">
        <f t="shared" si="0"/>
        <v>2705.1950325496496</v>
      </c>
      <c r="Q82" s="262">
        <v>0.2</v>
      </c>
      <c r="R82" s="92"/>
    </row>
    <row r="83" spans="1:18" x14ac:dyDescent="0.25">
      <c r="A83" s="326">
        <v>2002</v>
      </c>
      <c r="B83" s="326" t="s">
        <v>805</v>
      </c>
      <c r="C83" s="264"/>
      <c r="D83" s="157" t="s">
        <v>453</v>
      </c>
      <c r="E83" s="44">
        <f t="shared" si="1"/>
        <v>37437</v>
      </c>
      <c r="F83" s="146" t="str">
        <f t="shared" si="2"/>
        <v>2001-02</v>
      </c>
      <c r="G83" s="1"/>
      <c r="H83" s="161"/>
      <c r="I83" s="37"/>
      <c r="J83" s="135">
        <f t="shared" si="4"/>
        <v>0.9161881535038825</v>
      </c>
      <c r="K83" s="112"/>
      <c r="L83" s="37">
        <v>2.5000359997400001</v>
      </c>
      <c r="M83" s="37" t="s">
        <v>509</v>
      </c>
      <c r="N83" s="37">
        <v>565.33669941792778</v>
      </c>
      <c r="O83" s="130">
        <f t="shared" si="3"/>
        <v>1413.3621005190109</v>
      </c>
      <c r="P83" s="132">
        <f t="shared" si="0"/>
        <v>1294.9056131068814</v>
      </c>
      <c r="Q83" s="262">
        <v>1</v>
      </c>
      <c r="R83" s="92"/>
    </row>
    <row r="84" spans="1:18" x14ac:dyDescent="0.25">
      <c r="A84" s="326">
        <v>2002</v>
      </c>
      <c r="B84" s="326" t="s">
        <v>805</v>
      </c>
      <c r="C84" s="264"/>
      <c r="D84" s="157" t="s">
        <v>453</v>
      </c>
      <c r="E84" s="44">
        <f t="shared" si="1"/>
        <v>37437</v>
      </c>
      <c r="F84" s="146" t="str">
        <f t="shared" si="2"/>
        <v>2001-02</v>
      </c>
      <c r="G84" s="1"/>
      <c r="H84" s="161"/>
      <c r="I84" s="37"/>
      <c r="J84" s="135">
        <f t="shared" si="4"/>
        <v>0.9161881535038825</v>
      </c>
      <c r="K84" s="112"/>
      <c r="L84" s="37">
        <v>27.999698605500001</v>
      </c>
      <c r="M84" s="37" t="s">
        <v>509</v>
      </c>
      <c r="N84" s="37">
        <v>565.33669941792778</v>
      </c>
      <c r="O84" s="130">
        <f t="shared" si="3"/>
        <v>15829.257194330125</v>
      </c>
      <c r="P84" s="132">
        <f t="shared" si="0"/>
        <v>14502.577920211364</v>
      </c>
      <c r="Q84" s="262">
        <v>1</v>
      </c>
      <c r="R84" s="92"/>
    </row>
    <row r="85" spans="1:18" x14ac:dyDescent="0.25">
      <c r="A85" s="326">
        <v>2003</v>
      </c>
      <c r="B85" s="326" t="s">
        <v>805</v>
      </c>
      <c r="C85" s="264" t="s">
        <v>402</v>
      </c>
      <c r="D85" s="157" t="s">
        <v>454</v>
      </c>
      <c r="E85" s="44">
        <f t="shared" si="1"/>
        <v>37802</v>
      </c>
      <c r="F85" s="146" t="str">
        <f t="shared" si="2"/>
        <v>2002-03</v>
      </c>
      <c r="G85" s="1"/>
      <c r="H85" s="161"/>
      <c r="I85" s="37"/>
      <c r="J85" s="135">
        <f t="shared" si="4"/>
        <v>0.9161881535038825</v>
      </c>
      <c r="K85" s="112"/>
      <c r="L85" s="37">
        <v>47</v>
      </c>
      <c r="M85" s="37" t="s">
        <v>509</v>
      </c>
      <c r="N85" s="37">
        <v>634.59447171129227</v>
      </c>
      <c r="O85" s="130">
        <f t="shared" si="3"/>
        <v>29825.940170430738</v>
      </c>
      <c r="P85" s="132">
        <f t="shared" si="0"/>
        <v>5465.2346102528427</v>
      </c>
      <c r="Q85" s="262">
        <v>0.2</v>
      </c>
      <c r="R85" s="92"/>
    </row>
    <row r="86" spans="1:18" x14ac:dyDescent="0.25">
      <c r="A86" s="326">
        <v>2003</v>
      </c>
      <c r="B86" s="326" t="s">
        <v>805</v>
      </c>
      <c r="C86" s="264" t="s">
        <v>402</v>
      </c>
      <c r="D86" s="157" t="s">
        <v>454</v>
      </c>
      <c r="E86" s="44">
        <f t="shared" si="1"/>
        <v>37802</v>
      </c>
      <c r="F86" s="146" t="str">
        <f t="shared" si="2"/>
        <v>2002-03</v>
      </c>
      <c r="G86" s="1"/>
      <c r="H86" s="161"/>
      <c r="I86" s="37"/>
      <c r="J86" s="135">
        <f t="shared" si="4"/>
        <v>0.9161881535038825</v>
      </c>
      <c r="K86" s="112"/>
      <c r="L86" s="37">
        <v>85</v>
      </c>
      <c r="M86" s="37" t="s">
        <v>509</v>
      </c>
      <c r="N86" s="37">
        <v>827.87197578579753</v>
      </c>
      <c r="O86" s="130">
        <f t="shared" si="3"/>
        <v>70369.117941792792</v>
      </c>
      <c r="P86" s="132">
        <f t="shared" si="0"/>
        <v>12894.270446157614</v>
      </c>
      <c r="Q86" s="262">
        <v>0.2</v>
      </c>
      <c r="R86" s="92"/>
    </row>
    <row r="87" spans="1:18" x14ac:dyDescent="0.25">
      <c r="A87" s="326">
        <v>2003</v>
      </c>
      <c r="B87" s="326" t="s">
        <v>805</v>
      </c>
      <c r="C87" s="264" t="s">
        <v>403</v>
      </c>
      <c r="D87" s="157" t="s">
        <v>455</v>
      </c>
      <c r="E87" s="44">
        <f t="shared" si="1"/>
        <v>37802</v>
      </c>
      <c r="F87" s="146" t="str">
        <f t="shared" si="2"/>
        <v>2002-03</v>
      </c>
      <c r="G87" s="1"/>
      <c r="H87" s="161"/>
      <c r="I87" s="37"/>
      <c r="J87" s="135">
        <f t="shared" si="4"/>
        <v>0.9161881535038825</v>
      </c>
      <c r="K87" s="112"/>
      <c r="L87" s="37">
        <v>6.6894323376499996</v>
      </c>
      <c r="M87" s="37" t="s">
        <v>509</v>
      </c>
      <c r="N87" s="37">
        <v>565.33669941792778</v>
      </c>
      <c r="O87" s="130">
        <f t="shared" si="3"/>
        <v>3781.7815987466038</v>
      </c>
      <c r="P87" s="132">
        <f t="shared" ref="P87:P150" si="5">IF(O87="-","-",IF(OR(E87&lt;$E$15,E87&gt;$E$16),0,O87*J87))*Q87</f>
        <v>692.9646999821224</v>
      </c>
      <c r="Q87" s="262">
        <v>0.2</v>
      </c>
      <c r="R87" s="92"/>
    </row>
    <row r="88" spans="1:18" x14ac:dyDescent="0.25">
      <c r="A88" s="326">
        <v>2003</v>
      </c>
      <c r="B88" s="326" t="s">
        <v>805</v>
      </c>
      <c r="C88" s="264"/>
      <c r="D88" s="157" t="s">
        <v>455</v>
      </c>
      <c r="E88" s="44">
        <f t="shared" ref="E88:E116" si="6">DATEVALUE("30 Jun "&amp;A88)</f>
        <v>37802</v>
      </c>
      <c r="F88" s="146" t="str">
        <f t="shared" ref="F88:F151" si="7">IF(E88="","-",IF(OR(E88&lt;$E$15,E88&gt;$E$16),"ERROR - date outside of range",IF(MONTH(E88)&gt;=7,YEAR(E88)&amp;"-"&amp;IF(YEAR(E88)=1999,"00",IF(AND(YEAR(E88)&gt;=2000,YEAR(E88)&lt;2009),"0","")&amp;RIGHT(YEAR(E88),2)+1),RIGHT(YEAR(E88),4)-1&amp;"-"&amp;RIGHT(YEAR(E88),2))))</f>
        <v>2002-03</v>
      </c>
      <c r="G88" s="1"/>
      <c r="H88" s="161"/>
      <c r="I88" s="37"/>
      <c r="J88" s="135">
        <f t="shared" si="4"/>
        <v>0.9161881535038825</v>
      </c>
      <c r="K88" s="112"/>
      <c r="L88" s="37">
        <v>5.1803286575299996</v>
      </c>
      <c r="M88" s="37" t="s">
        <v>509</v>
      </c>
      <c r="N88" s="37">
        <v>565.33669941792778</v>
      </c>
      <c r="O88" s="130">
        <f t="shared" ref="O88:O151" si="8">IF(N88="","-",L88*N88)</f>
        <v>2928.6299051481146</v>
      </c>
      <c r="P88" s="132">
        <f t="shared" si="5"/>
        <v>536.63520501878043</v>
      </c>
      <c r="Q88" s="262">
        <v>0.2</v>
      </c>
      <c r="R88" s="92"/>
    </row>
    <row r="89" spans="1:18" ht="23" x14ac:dyDescent="0.25">
      <c r="A89" s="326">
        <v>2003</v>
      </c>
      <c r="B89" s="326" t="s">
        <v>805</v>
      </c>
      <c r="C89" s="264" t="s">
        <v>404</v>
      </c>
      <c r="D89" s="157" t="s">
        <v>456</v>
      </c>
      <c r="E89" s="44">
        <f t="shared" si="6"/>
        <v>37802</v>
      </c>
      <c r="F89" s="146" t="str">
        <f t="shared" si="7"/>
        <v>2002-03</v>
      </c>
      <c r="G89" s="1"/>
      <c r="H89" s="161"/>
      <c r="I89" s="37"/>
      <c r="J89" s="135">
        <f t="shared" ref="J89:J152" si="9">J88</f>
        <v>0.9161881535038825</v>
      </c>
      <c r="K89" s="112"/>
      <c r="L89" s="37">
        <v>41.3922539613</v>
      </c>
      <c r="M89" s="37" t="s">
        <v>509</v>
      </c>
      <c r="N89" s="37">
        <v>1418.979009080326</v>
      </c>
      <c r="O89" s="130">
        <f t="shared" si="8"/>
        <v>58734.739509606676</v>
      </c>
      <c r="P89" s="132">
        <f t="shared" si="5"/>
        <v>10762.414507567615</v>
      </c>
      <c r="Q89" s="262">
        <v>0.2</v>
      </c>
      <c r="R89" s="92"/>
    </row>
    <row r="90" spans="1:18" ht="23" x14ac:dyDescent="0.25">
      <c r="A90" s="326">
        <v>2003</v>
      </c>
      <c r="B90" s="326" t="s">
        <v>805</v>
      </c>
      <c r="C90" s="264" t="s">
        <v>404</v>
      </c>
      <c r="D90" s="157" t="s">
        <v>456</v>
      </c>
      <c r="E90" s="44">
        <f t="shared" si="6"/>
        <v>37802</v>
      </c>
      <c r="F90" s="146" t="str">
        <f t="shared" si="7"/>
        <v>2002-03</v>
      </c>
      <c r="G90" s="1"/>
      <c r="H90" s="161"/>
      <c r="I90" s="37"/>
      <c r="J90" s="135">
        <f t="shared" si="9"/>
        <v>0.9161881535038825</v>
      </c>
      <c r="K90" s="112"/>
      <c r="L90" s="37">
        <v>106.368031598</v>
      </c>
      <c r="M90" s="37" t="s">
        <v>509</v>
      </c>
      <c r="N90" s="37">
        <v>1309.455090104773</v>
      </c>
      <c r="O90" s="130">
        <f t="shared" si="8"/>
        <v>139284.16040042645</v>
      </c>
      <c r="P90" s="132">
        <f t="shared" si="5"/>
        <v>25522.099545921061</v>
      </c>
      <c r="Q90" s="262">
        <v>0.2</v>
      </c>
      <c r="R90" s="92"/>
    </row>
    <row r="91" spans="1:18" ht="23" x14ac:dyDescent="0.25">
      <c r="A91" s="326">
        <v>2003</v>
      </c>
      <c r="B91" s="326" t="s">
        <v>805</v>
      </c>
      <c r="C91" s="264" t="s">
        <v>404</v>
      </c>
      <c r="D91" s="157" t="s">
        <v>456</v>
      </c>
      <c r="E91" s="44">
        <f t="shared" si="6"/>
        <v>37802</v>
      </c>
      <c r="F91" s="146" t="str">
        <f t="shared" si="7"/>
        <v>2002-03</v>
      </c>
      <c r="G91" s="1"/>
      <c r="H91" s="161"/>
      <c r="I91" s="37"/>
      <c r="J91" s="135">
        <f t="shared" si="9"/>
        <v>0.9161881535038825</v>
      </c>
      <c r="K91" s="112"/>
      <c r="L91" s="37">
        <v>28.031800263299999</v>
      </c>
      <c r="M91" s="37" t="s">
        <v>509</v>
      </c>
      <c r="N91" s="37">
        <v>881.02328940628638</v>
      </c>
      <c r="O91" s="130">
        <f t="shared" si="8"/>
        <v>24696.668875952571</v>
      </c>
      <c r="P91" s="132">
        <f t="shared" si="5"/>
        <v>4525.3590910311586</v>
      </c>
      <c r="Q91" s="262">
        <v>0.2</v>
      </c>
      <c r="R91" s="92"/>
    </row>
    <row r="92" spans="1:18" ht="23" x14ac:dyDescent="0.25">
      <c r="A92" s="326">
        <v>2003</v>
      </c>
      <c r="B92" s="326" t="s">
        <v>805</v>
      </c>
      <c r="C92" s="264" t="s">
        <v>404</v>
      </c>
      <c r="D92" s="157" t="s">
        <v>456</v>
      </c>
      <c r="E92" s="44">
        <f t="shared" si="6"/>
        <v>37802</v>
      </c>
      <c r="F92" s="146" t="str">
        <f t="shared" si="7"/>
        <v>2002-03</v>
      </c>
      <c r="G92" s="1"/>
      <c r="H92" s="161"/>
      <c r="I92" s="37"/>
      <c r="J92" s="135">
        <f t="shared" si="9"/>
        <v>0.9161881535038825</v>
      </c>
      <c r="K92" s="112"/>
      <c r="L92" s="37">
        <v>13</v>
      </c>
      <c r="M92" s="37" t="s">
        <v>509</v>
      </c>
      <c r="N92" s="37">
        <v>881.02328940628638</v>
      </c>
      <c r="O92" s="130">
        <f t="shared" si="8"/>
        <v>11453.302762281723</v>
      </c>
      <c r="P92" s="132">
        <f t="shared" si="5"/>
        <v>2098.6760618591616</v>
      </c>
      <c r="Q92" s="262">
        <v>0.2</v>
      </c>
      <c r="R92" s="92"/>
    </row>
    <row r="93" spans="1:18" ht="23" x14ac:dyDescent="0.25">
      <c r="A93" s="326">
        <v>2003</v>
      </c>
      <c r="B93" s="326" t="s">
        <v>805</v>
      </c>
      <c r="C93" s="264" t="s">
        <v>404</v>
      </c>
      <c r="D93" s="157" t="s">
        <v>456</v>
      </c>
      <c r="E93" s="44">
        <f t="shared" si="6"/>
        <v>37802</v>
      </c>
      <c r="F93" s="146" t="str">
        <f t="shared" si="7"/>
        <v>2002-03</v>
      </c>
      <c r="G93" s="1"/>
      <c r="H93" s="161"/>
      <c r="I93" s="37"/>
      <c r="J93" s="135">
        <f t="shared" si="9"/>
        <v>0.9161881535038825</v>
      </c>
      <c r="K93" s="112"/>
      <c r="L93" s="37">
        <v>58</v>
      </c>
      <c r="M93" s="37" t="s">
        <v>509</v>
      </c>
      <c r="N93" s="37">
        <v>808.54422537834705</v>
      </c>
      <c r="O93" s="130">
        <f t="shared" si="8"/>
        <v>46895.565071944126</v>
      </c>
      <c r="P93" s="132">
        <f t="shared" si="5"/>
        <v>8593.0322341571318</v>
      </c>
      <c r="Q93" s="262">
        <v>0.2</v>
      </c>
      <c r="R93" s="92"/>
    </row>
    <row r="94" spans="1:18" x14ac:dyDescent="0.25">
      <c r="A94" s="326">
        <v>2003</v>
      </c>
      <c r="B94" s="326" t="s">
        <v>805</v>
      </c>
      <c r="C94" s="264"/>
      <c r="D94" s="157" t="s">
        <v>457</v>
      </c>
      <c r="E94" s="44">
        <f t="shared" si="6"/>
        <v>37802</v>
      </c>
      <c r="F94" s="146" t="str">
        <f t="shared" si="7"/>
        <v>2002-03</v>
      </c>
      <c r="G94" s="1"/>
      <c r="H94" s="161"/>
      <c r="I94" s="37"/>
      <c r="J94" s="135">
        <f t="shared" si="9"/>
        <v>0.9161881535038825</v>
      </c>
      <c r="K94" s="112"/>
      <c r="L94" s="37">
        <v>16.380782917800001</v>
      </c>
      <c r="M94" s="37" t="s">
        <v>509</v>
      </c>
      <c r="N94" s="37">
        <v>827.87197578579753</v>
      </c>
      <c r="O94" s="130">
        <f t="shared" si="8"/>
        <v>13561.191119077328</v>
      </c>
      <c r="P94" s="132">
        <f t="shared" si="5"/>
        <v>2484.9205301401416</v>
      </c>
      <c r="Q94" s="262">
        <v>0.2</v>
      </c>
      <c r="R94" s="92"/>
    </row>
    <row r="95" spans="1:18" x14ac:dyDescent="0.25">
      <c r="A95" s="326">
        <v>2003</v>
      </c>
      <c r="B95" s="326" t="s">
        <v>805</v>
      </c>
      <c r="C95" s="264"/>
      <c r="D95" s="157" t="s">
        <v>457</v>
      </c>
      <c r="E95" s="44">
        <f t="shared" si="6"/>
        <v>37802</v>
      </c>
      <c r="F95" s="146" t="str">
        <f t="shared" si="7"/>
        <v>2002-03</v>
      </c>
      <c r="G95" s="1"/>
      <c r="H95" s="161"/>
      <c r="I95" s="37"/>
      <c r="J95" s="135">
        <f t="shared" si="9"/>
        <v>0.9161881535038825</v>
      </c>
      <c r="K95" s="112"/>
      <c r="L95" s="37">
        <v>5.1568968382199998</v>
      </c>
      <c r="M95" s="37" t="s">
        <v>509</v>
      </c>
      <c r="N95" s="37">
        <v>827.87197578579753</v>
      </c>
      <c r="O95" s="130">
        <f t="shared" si="8"/>
        <v>4269.2503743807238</v>
      </c>
      <c r="P95" s="132">
        <f t="shared" si="5"/>
        <v>782.28732346992683</v>
      </c>
      <c r="Q95" s="262">
        <v>0.2</v>
      </c>
      <c r="R95" s="92"/>
    </row>
    <row r="96" spans="1:18" x14ac:dyDescent="0.25">
      <c r="A96" s="326">
        <v>2003</v>
      </c>
      <c r="B96" s="326" t="s">
        <v>805</v>
      </c>
      <c r="C96" s="264" t="s">
        <v>405</v>
      </c>
      <c r="D96" s="157" t="s">
        <v>458</v>
      </c>
      <c r="E96" s="44">
        <f t="shared" si="6"/>
        <v>37802</v>
      </c>
      <c r="F96" s="146" t="str">
        <f t="shared" si="7"/>
        <v>2002-03</v>
      </c>
      <c r="G96" s="1"/>
      <c r="H96" s="161"/>
      <c r="I96" s="37"/>
      <c r="J96" s="135">
        <f t="shared" si="9"/>
        <v>0.9161881535038825</v>
      </c>
      <c r="K96" s="112"/>
      <c r="L96" s="37">
        <v>10.7414482566</v>
      </c>
      <c r="M96" s="37" t="s">
        <v>509</v>
      </c>
      <c r="N96" s="37">
        <v>2989.3587296856813</v>
      </c>
      <c r="O96" s="130">
        <f t="shared" si="8"/>
        <v>32110.04211533425</v>
      </c>
      <c r="P96" s="132">
        <f t="shared" si="5"/>
        <v>5883.7680389159977</v>
      </c>
      <c r="Q96" s="262">
        <v>0.2</v>
      </c>
      <c r="R96" s="92"/>
    </row>
    <row r="97" spans="1:18" x14ac:dyDescent="0.25">
      <c r="A97" s="326">
        <v>2003</v>
      </c>
      <c r="B97" s="326" t="s">
        <v>805</v>
      </c>
      <c r="C97" s="264" t="s">
        <v>405</v>
      </c>
      <c r="D97" s="157" t="s">
        <v>458</v>
      </c>
      <c r="E97" s="44">
        <f t="shared" si="6"/>
        <v>37802</v>
      </c>
      <c r="F97" s="146" t="str">
        <f t="shared" si="7"/>
        <v>2002-03</v>
      </c>
      <c r="G97" s="1"/>
      <c r="H97" s="161"/>
      <c r="I97" s="37"/>
      <c r="J97" s="135">
        <f t="shared" si="9"/>
        <v>0.9161881535038825</v>
      </c>
      <c r="K97" s="112"/>
      <c r="L97" s="37">
        <v>114</v>
      </c>
      <c r="M97" s="37" t="s">
        <v>509</v>
      </c>
      <c r="N97" s="37">
        <v>2366.038779045402</v>
      </c>
      <c r="O97" s="130">
        <f t="shared" si="8"/>
        <v>269728.42081117583</v>
      </c>
      <c r="P97" s="132">
        <f t="shared" si="5"/>
        <v>49424.396762101882</v>
      </c>
      <c r="Q97" s="262">
        <v>0.2</v>
      </c>
      <c r="R97" s="92"/>
    </row>
    <row r="98" spans="1:18" x14ac:dyDescent="0.25">
      <c r="A98" s="326">
        <v>2003</v>
      </c>
      <c r="B98" s="326" t="s">
        <v>805</v>
      </c>
      <c r="C98" s="264" t="s">
        <v>405</v>
      </c>
      <c r="D98" s="157" t="s">
        <v>458</v>
      </c>
      <c r="E98" s="44">
        <f t="shared" si="6"/>
        <v>37802</v>
      </c>
      <c r="F98" s="146" t="str">
        <f t="shared" si="7"/>
        <v>2002-03</v>
      </c>
      <c r="G98" s="1"/>
      <c r="H98" s="161"/>
      <c r="I98" s="37"/>
      <c r="J98" s="135">
        <f t="shared" si="9"/>
        <v>0.9161881535038825</v>
      </c>
      <c r="K98" s="112"/>
      <c r="L98" s="37">
        <v>5</v>
      </c>
      <c r="M98" s="37" t="s">
        <v>509</v>
      </c>
      <c r="N98" s="37">
        <v>1916.6685820721768</v>
      </c>
      <c r="O98" s="130">
        <f t="shared" si="8"/>
        <v>9583.3429103608833</v>
      </c>
      <c r="P98" s="132">
        <f t="shared" si="5"/>
        <v>1756.0290490876123</v>
      </c>
      <c r="Q98" s="262">
        <v>0.2</v>
      </c>
      <c r="R98" s="92"/>
    </row>
    <row r="99" spans="1:18" x14ac:dyDescent="0.25">
      <c r="A99" s="326">
        <v>2003</v>
      </c>
      <c r="B99" s="326" t="s">
        <v>805</v>
      </c>
      <c r="C99" s="264" t="s">
        <v>405</v>
      </c>
      <c r="D99" s="157" t="s">
        <v>458</v>
      </c>
      <c r="E99" s="44">
        <f t="shared" si="6"/>
        <v>37802</v>
      </c>
      <c r="F99" s="146" t="str">
        <f t="shared" si="7"/>
        <v>2002-03</v>
      </c>
      <c r="G99" s="1"/>
      <c r="H99" s="161"/>
      <c r="I99" s="37"/>
      <c r="J99" s="135">
        <f t="shared" si="9"/>
        <v>0.9161881535038825</v>
      </c>
      <c r="K99" s="112"/>
      <c r="L99" s="37">
        <v>130</v>
      </c>
      <c r="M99" s="37" t="s">
        <v>509</v>
      </c>
      <c r="N99" s="37">
        <v>2071.2905853317811</v>
      </c>
      <c r="O99" s="130">
        <f t="shared" si="8"/>
        <v>269267.77609313157</v>
      </c>
      <c r="P99" s="132">
        <f t="shared" si="5"/>
        <v>49339.989315372623</v>
      </c>
      <c r="Q99" s="262">
        <v>0.2</v>
      </c>
      <c r="R99" s="92"/>
    </row>
    <row r="100" spans="1:18" x14ac:dyDescent="0.25">
      <c r="A100" s="326">
        <v>2003</v>
      </c>
      <c r="B100" s="326" t="s">
        <v>805</v>
      </c>
      <c r="C100" s="264" t="s">
        <v>405</v>
      </c>
      <c r="D100" s="157" t="s">
        <v>458</v>
      </c>
      <c r="E100" s="44">
        <f t="shared" si="6"/>
        <v>37802</v>
      </c>
      <c r="F100" s="146" t="str">
        <f t="shared" si="7"/>
        <v>2002-03</v>
      </c>
      <c r="G100" s="1"/>
      <c r="H100" s="161"/>
      <c r="I100" s="37"/>
      <c r="J100" s="135">
        <f t="shared" si="9"/>
        <v>0.9161881535038825</v>
      </c>
      <c r="K100" s="112"/>
      <c r="L100" s="37">
        <v>141</v>
      </c>
      <c r="M100" s="37" t="s">
        <v>509</v>
      </c>
      <c r="N100" s="37">
        <v>1472.130322700815</v>
      </c>
      <c r="O100" s="130">
        <f t="shared" si="8"/>
        <v>207570.3755008149</v>
      </c>
      <c r="P100" s="132">
        <f t="shared" si="5"/>
        <v>38034.703810439831</v>
      </c>
      <c r="Q100" s="262">
        <v>0.2</v>
      </c>
      <c r="R100" s="92"/>
    </row>
    <row r="101" spans="1:18" x14ac:dyDescent="0.25">
      <c r="A101" s="326">
        <v>2003</v>
      </c>
      <c r="B101" s="326" t="s">
        <v>805</v>
      </c>
      <c r="C101" s="264" t="s">
        <v>405</v>
      </c>
      <c r="D101" s="157" t="s">
        <v>458</v>
      </c>
      <c r="E101" s="44">
        <f t="shared" si="6"/>
        <v>37802</v>
      </c>
      <c r="F101" s="146" t="str">
        <f t="shared" si="7"/>
        <v>2002-03</v>
      </c>
      <c r="G101" s="1"/>
      <c r="H101" s="161"/>
      <c r="I101" s="37"/>
      <c r="J101" s="135">
        <f t="shared" si="9"/>
        <v>0.9161881535038825</v>
      </c>
      <c r="K101" s="112"/>
      <c r="L101" s="37">
        <v>3</v>
      </c>
      <c r="M101" s="37" t="s">
        <v>509</v>
      </c>
      <c r="N101" s="37">
        <v>670.02868079161817</v>
      </c>
      <c r="O101" s="130">
        <f t="shared" si="8"/>
        <v>2010.0860423748545</v>
      </c>
      <c r="P101" s="132">
        <f t="shared" si="5"/>
        <v>368.32340390946899</v>
      </c>
      <c r="Q101" s="262">
        <v>0.2</v>
      </c>
      <c r="R101" s="92"/>
    </row>
    <row r="102" spans="1:18" x14ac:dyDescent="0.25">
      <c r="A102" s="326">
        <v>2004</v>
      </c>
      <c r="B102" s="326" t="s">
        <v>805</v>
      </c>
      <c r="C102" s="264" t="s">
        <v>406</v>
      </c>
      <c r="D102" s="157" t="s">
        <v>459</v>
      </c>
      <c r="E102" s="44">
        <f t="shared" si="6"/>
        <v>38168</v>
      </c>
      <c r="F102" s="146" t="str">
        <f t="shared" si="7"/>
        <v>2003-04</v>
      </c>
      <c r="G102" s="1"/>
      <c r="H102" s="161"/>
      <c r="I102" s="37"/>
      <c r="J102" s="135">
        <f t="shared" si="9"/>
        <v>0.9161881535038825</v>
      </c>
      <c r="K102" s="112"/>
      <c r="L102" s="37">
        <v>107</v>
      </c>
      <c r="M102" s="37" t="s">
        <v>509</v>
      </c>
      <c r="N102" s="37">
        <v>893.90845634458674</v>
      </c>
      <c r="O102" s="130">
        <f t="shared" si="8"/>
        <v>95648.204828870774</v>
      </c>
      <c r="P102" s="132">
        <f t="shared" si="5"/>
        <v>8763.1752168124258</v>
      </c>
      <c r="Q102" s="262">
        <v>0.1</v>
      </c>
      <c r="R102" s="92"/>
    </row>
    <row r="103" spans="1:18" x14ac:dyDescent="0.25">
      <c r="A103" s="326">
        <v>2004</v>
      </c>
      <c r="B103" s="326" t="s">
        <v>805</v>
      </c>
      <c r="C103" s="264" t="s">
        <v>406</v>
      </c>
      <c r="D103" s="157" t="s">
        <v>459</v>
      </c>
      <c r="E103" s="44">
        <f t="shared" si="6"/>
        <v>38168</v>
      </c>
      <c r="F103" s="146" t="str">
        <f t="shared" si="7"/>
        <v>2003-04</v>
      </c>
      <c r="G103" s="1"/>
      <c r="H103" s="161"/>
      <c r="I103" s="37"/>
      <c r="J103" s="135">
        <f t="shared" si="9"/>
        <v>0.9161881535038825</v>
      </c>
      <c r="K103" s="112"/>
      <c r="L103" s="37">
        <v>3</v>
      </c>
      <c r="M103" s="37" t="s">
        <v>509</v>
      </c>
      <c r="N103" s="37">
        <v>737.67580721769491</v>
      </c>
      <c r="O103" s="130">
        <f t="shared" si="8"/>
        <v>2213.0274216530847</v>
      </c>
      <c r="P103" s="132">
        <f t="shared" si="5"/>
        <v>202.75495070977979</v>
      </c>
      <c r="Q103" s="262">
        <v>0.1</v>
      </c>
      <c r="R103" s="92"/>
    </row>
    <row r="104" spans="1:18" x14ac:dyDescent="0.25">
      <c r="A104" s="326">
        <v>2004</v>
      </c>
      <c r="B104" s="326" t="s">
        <v>805</v>
      </c>
      <c r="C104" s="264" t="s">
        <v>406</v>
      </c>
      <c r="D104" s="157" t="s">
        <v>459</v>
      </c>
      <c r="E104" s="44">
        <f t="shared" si="6"/>
        <v>38168</v>
      </c>
      <c r="F104" s="146" t="str">
        <f t="shared" si="7"/>
        <v>2003-04</v>
      </c>
      <c r="G104" s="1"/>
      <c r="H104" s="161"/>
      <c r="I104" s="37"/>
      <c r="J104" s="135">
        <f t="shared" si="9"/>
        <v>0.9161881535038825</v>
      </c>
      <c r="K104" s="112"/>
      <c r="L104" s="37">
        <v>14</v>
      </c>
      <c r="M104" s="37" t="s">
        <v>509</v>
      </c>
      <c r="N104" s="37">
        <v>893.90845634458674</v>
      </c>
      <c r="O104" s="130">
        <f t="shared" si="8"/>
        <v>12514.718388824214</v>
      </c>
      <c r="P104" s="132">
        <f t="shared" si="5"/>
        <v>1146.583673227794</v>
      </c>
      <c r="Q104" s="262">
        <v>0.1</v>
      </c>
      <c r="R104" s="92"/>
    </row>
    <row r="105" spans="1:18" x14ac:dyDescent="0.25">
      <c r="A105" s="326">
        <v>2004</v>
      </c>
      <c r="B105" s="326" t="s">
        <v>805</v>
      </c>
      <c r="C105" s="264"/>
      <c r="D105" s="157" t="s">
        <v>460</v>
      </c>
      <c r="E105" s="44">
        <f t="shared" si="6"/>
        <v>38168</v>
      </c>
      <c r="F105" s="146" t="str">
        <f t="shared" si="7"/>
        <v>2003-04</v>
      </c>
      <c r="G105" s="1"/>
      <c r="H105" s="161"/>
      <c r="I105" s="37"/>
      <c r="J105" s="135">
        <f t="shared" si="9"/>
        <v>0.9161881535038825</v>
      </c>
      <c r="K105" s="112"/>
      <c r="L105" s="37">
        <v>11.5199920139</v>
      </c>
      <c r="M105" s="37" t="s">
        <v>509</v>
      </c>
      <c r="N105" s="37">
        <v>634.59447171129227</v>
      </c>
      <c r="O105" s="130">
        <f t="shared" si="8"/>
        <v>7310.5232461791766</v>
      </c>
      <c r="P105" s="132">
        <f t="shared" si="5"/>
        <v>1339.5629588128218</v>
      </c>
      <c r="Q105" s="262">
        <v>0.2</v>
      </c>
      <c r="R105" s="92"/>
    </row>
    <row r="106" spans="1:18" x14ac:dyDescent="0.25">
      <c r="A106" s="326">
        <v>2004</v>
      </c>
      <c r="B106" s="326" t="s">
        <v>805</v>
      </c>
      <c r="C106" s="264"/>
      <c r="D106" s="157" t="s">
        <v>460</v>
      </c>
      <c r="E106" s="44">
        <f t="shared" si="6"/>
        <v>38168</v>
      </c>
      <c r="F106" s="146" t="str">
        <f t="shared" si="7"/>
        <v>2003-04</v>
      </c>
      <c r="G106" s="1"/>
      <c r="H106" s="161"/>
      <c r="I106" s="37"/>
      <c r="J106" s="135">
        <f t="shared" si="9"/>
        <v>0.9161881535038825</v>
      </c>
      <c r="K106" s="112"/>
      <c r="L106" s="37">
        <v>22.791332584999999</v>
      </c>
      <c r="M106" s="37" t="s">
        <v>509</v>
      </c>
      <c r="N106" s="37">
        <v>634.59447171129227</v>
      </c>
      <c r="O106" s="130">
        <f t="shared" si="8"/>
        <v>14463.253661374436</v>
      </c>
      <c r="P106" s="132">
        <f t="shared" si="5"/>
        <v>2650.2123331345829</v>
      </c>
      <c r="Q106" s="262">
        <v>0.2</v>
      </c>
      <c r="R106" s="92"/>
    </row>
    <row r="107" spans="1:18" x14ac:dyDescent="0.25">
      <c r="A107" s="326">
        <v>2004</v>
      </c>
      <c r="B107" s="326" t="s">
        <v>805</v>
      </c>
      <c r="C107" s="264" t="s">
        <v>407</v>
      </c>
      <c r="D107" s="157" t="s">
        <v>461</v>
      </c>
      <c r="E107" s="44">
        <f t="shared" si="6"/>
        <v>38168</v>
      </c>
      <c r="F107" s="146" t="str">
        <f t="shared" si="7"/>
        <v>2003-04</v>
      </c>
      <c r="G107" s="1"/>
      <c r="H107" s="161"/>
      <c r="I107" s="37"/>
      <c r="J107" s="135">
        <f t="shared" si="9"/>
        <v>0.9161881535038825</v>
      </c>
      <c r="K107" s="112"/>
      <c r="L107" s="37">
        <v>224.23520079599999</v>
      </c>
      <c r="M107" s="37" t="s">
        <v>509</v>
      </c>
      <c r="N107" s="37">
        <v>1418.979009080326</v>
      </c>
      <c r="O107" s="130">
        <f t="shared" si="8"/>
        <v>318185.043026436</v>
      </c>
      <c r="P107" s="132">
        <f t="shared" si="5"/>
        <v>58303.473408588769</v>
      </c>
      <c r="Q107" s="262">
        <v>0.2</v>
      </c>
      <c r="R107" s="92"/>
    </row>
    <row r="108" spans="1:18" x14ac:dyDescent="0.25">
      <c r="A108" s="326">
        <v>2004</v>
      </c>
      <c r="B108" s="326" t="s">
        <v>805</v>
      </c>
      <c r="C108" s="264" t="s">
        <v>407</v>
      </c>
      <c r="D108" s="157" t="s">
        <v>461</v>
      </c>
      <c r="E108" s="44">
        <f t="shared" si="6"/>
        <v>38168</v>
      </c>
      <c r="F108" s="146" t="str">
        <f t="shared" si="7"/>
        <v>2003-04</v>
      </c>
      <c r="G108" s="1"/>
      <c r="H108" s="161"/>
      <c r="I108" s="37"/>
      <c r="J108" s="135">
        <f t="shared" si="9"/>
        <v>0.9161881535038825</v>
      </c>
      <c r="K108" s="112"/>
      <c r="L108" s="37">
        <v>3</v>
      </c>
      <c r="M108" s="37" t="s">
        <v>509</v>
      </c>
      <c r="N108" s="37">
        <v>1066.2475641443541</v>
      </c>
      <c r="O108" s="130">
        <f t="shared" si="8"/>
        <v>3198.7426924330621</v>
      </c>
      <c r="P108" s="132">
        <f t="shared" si="5"/>
        <v>586.13003218285701</v>
      </c>
      <c r="Q108" s="262">
        <v>0.2</v>
      </c>
      <c r="R108" s="92"/>
    </row>
    <row r="109" spans="1:18" x14ac:dyDescent="0.25">
      <c r="A109" s="326">
        <v>2004</v>
      </c>
      <c r="B109" s="326" t="s">
        <v>805</v>
      </c>
      <c r="C109" s="264" t="s">
        <v>407</v>
      </c>
      <c r="D109" s="157" t="s">
        <v>461</v>
      </c>
      <c r="E109" s="44">
        <f t="shared" si="6"/>
        <v>38168</v>
      </c>
      <c r="F109" s="146" t="str">
        <f t="shared" si="7"/>
        <v>2003-04</v>
      </c>
      <c r="G109" s="1"/>
      <c r="H109" s="161"/>
      <c r="I109" s="37"/>
      <c r="J109" s="135">
        <f t="shared" si="9"/>
        <v>0.9161881535038825</v>
      </c>
      <c r="K109" s="112"/>
      <c r="L109" s="37">
        <v>51</v>
      </c>
      <c r="M109" s="37" t="s">
        <v>509</v>
      </c>
      <c r="N109" s="37">
        <v>1066.2475641443541</v>
      </c>
      <c r="O109" s="130">
        <f t="shared" si="8"/>
        <v>54378.625771362058</v>
      </c>
      <c r="P109" s="132">
        <f t="shared" si="5"/>
        <v>9964.2105471085688</v>
      </c>
      <c r="Q109" s="262">
        <v>0.2</v>
      </c>
      <c r="R109" s="92"/>
    </row>
    <row r="110" spans="1:18" x14ac:dyDescent="0.25">
      <c r="A110" s="326">
        <v>2004</v>
      </c>
      <c r="B110" s="326" t="s">
        <v>805</v>
      </c>
      <c r="C110" s="264" t="s">
        <v>407</v>
      </c>
      <c r="D110" s="157" t="s">
        <v>462</v>
      </c>
      <c r="E110" s="44">
        <f t="shared" si="6"/>
        <v>38168</v>
      </c>
      <c r="F110" s="146" t="str">
        <f t="shared" si="7"/>
        <v>2003-04</v>
      </c>
      <c r="G110" s="1"/>
      <c r="H110" s="161"/>
      <c r="I110" s="37"/>
      <c r="J110" s="135">
        <f t="shared" si="9"/>
        <v>0.9161881535038825</v>
      </c>
      <c r="K110" s="112"/>
      <c r="L110" s="37">
        <v>6.7653458891599998</v>
      </c>
      <c r="M110" s="37" t="s">
        <v>509</v>
      </c>
      <c r="N110" s="37">
        <v>565.33669941792778</v>
      </c>
      <c r="O110" s="130">
        <f t="shared" si="8"/>
        <v>3824.6983153983601</v>
      </c>
      <c r="P110" s="132">
        <f t="shared" si="5"/>
        <v>700.82865745884681</v>
      </c>
      <c r="Q110" s="262">
        <v>0.2</v>
      </c>
      <c r="R110" s="92"/>
    </row>
    <row r="111" spans="1:18" x14ac:dyDescent="0.25">
      <c r="A111" s="326">
        <v>2004</v>
      </c>
      <c r="B111" s="326" t="s">
        <v>805</v>
      </c>
      <c r="C111" s="264" t="s">
        <v>408</v>
      </c>
      <c r="D111" s="157" t="s">
        <v>463</v>
      </c>
      <c r="E111" s="44">
        <f t="shared" si="6"/>
        <v>38168</v>
      </c>
      <c r="F111" s="146" t="str">
        <f t="shared" si="7"/>
        <v>2003-04</v>
      </c>
      <c r="G111" s="1"/>
      <c r="H111" s="161"/>
      <c r="I111" s="37"/>
      <c r="J111" s="135">
        <f t="shared" si="9"/>
        <v>0.9161881535038825</v>
      </c>
      <c r="K111" s="112"/>
      <c r="L111" s="37">
        <v>16</v>
      </c>
      <c r="M111" s="37" t="s">
        <v>509</v>
      </c>
      <c r="N111" s="37">
        <v>881.02328940628638</v>
      </c>
      <c r="O111" s="130">
        <f t="shared" si="8"/>
        <v>14096.372630500582</v>
      </c>
      <c r="P111" s="132">
        <f t="shared" si="5"/>
        <v>2582.9859222881992</v>
      </c>
      <c r="Q111" s="262">
        <v>0.2</v>
      </c>
      <c r="R111" s="92"/>
    </row>
    <row r="112" spans="1:18" x14ac:dyDescent="0.25">
      <c r="A112" s="326">
        <v>2004</v>
      </c>
      <c r="B112" s="326" t="s">
        <v>805</v>
      </c>
      <c r="C112" s="264" t="s">
        <v>408</v>
      </c>
      <c r="D112" s="157" t="s">
        <v>464</v>
      </c>
      <c r="E112" s="44">
        <f t="shared" si="6"/>
        <v>38168</v>
      </c>
      <c r="F112" s="146" t="str">
        <f t="shared" si="7"/>
        <v>2003-04</v>
      </c>
      <c r="G112" s="1"/>
      <c r="H112" s="161"/>
      <c r="I112" s="37"/>
      <c r="J112" s="135">
        <f t="shared" si="9"/>
        <v>0.9161881535038825</v>
      </c>
      <c r="K112" s="112"/>
      <c r="L112" s="37">
        <v>3.47654843199</v>
      </c>
      <c r="M112" s="37" t="s">
        <v>509</v>
      </c>
      <c r="N112" s="37">
        <v>1082.3540228172294</v>
      </c>
      <c r="O112" s="130">
        <f t="shared" si="8"/>
        <v>3762.8561808833074</v>
      </c>
      <c r="P112" s="132">
        <f t="shared" si="5"/>
        <v>689.49685125282986</v>
      </c>
      <c r="Q112" s="262">
        <v>0.2</v>
      </c>
      <c r="R112" s="92"/>
    </row>
    <row r="113" spans="1:18" x14ac:dyDescent="0.25">
      <c r="A113" s="326">
        <v>2004</v>
      </c>
      <c r="B113" s="326" t="s">
        <v>805</v>
      </c>
      <c r="C113" s="264" t="s">
        <v>408</v>
      </c>
      <c r="D113" s="157" t="s">
        <v>464</v>
      </c>
      <c r="E113" s="44">
        <f t="shared" si="6"/>
        <v>38168</v>
      </c>
      <c r="F113" s="146" t="str">
        <f t="shared" si="7"/>
        <v>2003-04</v>
      </c>
      <c r="G113" s="1"/>
      <c r="H113" s="161"/>
      <c r="I113" s="37"/>
      <c r="J113" s="135">
        <f t="shared" si="9"/>
        <v>0.9161881535038825</v>
      </c>
      <c r="K113" s="112"/>
      <c r="L113" s="37">
        <v>7</v>
      </c>
      <c r="M113" s="37" t="s">
        <v>509</v>
      </c>
      <c r="N113" s="37">
        <v>893.90845634458674</v>
      </c>
      <c r="O113" s="130">
        <f t="shared" si="8"/>
        <v>6257.3591944121072</v>
      </c>
      <c r="P113" s="132">
        <f t="shared" si="5"/>
        <v>1146.583673227794</v>
      </c>
      <c r="Q113" s="262">
        <v>0.2</v>
      </c>
      <c r="R113" s="92"/>
    </row>
    <row r="114" spans="1:18" x14ac:dyDescent="0.25">
      <c r="A114" s="326">
        <v>2005</v>
      </c>
      <c r="B114" s="326" t="s">
        <v>805</v>
      </c>
      <c r="C114" s="264" t="s">
        <v>409</v>
      </c>
      <c r="D114" s="157" t="s">
        <v>465</v>
      </c>
      <c r="E114" s="44">
        <f t="shared" si="6"/>
        <v>38533</v>
      </c>
      <c r="F114" s="146" t="str">
        <f t="shared" si="7"/>
        <v>2004-05</v>
      </c>
      <c r="G114" s="1"/>
      <c r="H114" s="161"/>
      <c r="I114" s="37"/>
      <c r="J114" s="135">
        <f t="shared" si="9"/>
        <v>0.9161881535038825</v>
      </c>
      <c r="K114" s="112"/>
      <c r="L114" s="37">
        <v>14.611885059800001</v>
      </c>
      <c r="M114" s="37" t="s">
        <v>509</v>
      </c>
      <c r="N114" s="37">
        <v>565.33669941792778</v>
      </c>
      <c r="O114" s="130">
        <f t="shared" si="8"/>
        <v>8260.6348719814632</v>
      </c>
      <c r="P114" s="132">
        <f t="shared" si="5"/>
        <v>1513.6591620260956</v>
      </c>
      <c r="Q114" s="262">
        <v>0.2</v>
      </c>
      <c r="R114" s="92"/>
    </row>
    <row r="115" spans="1:18" x14ac:dyDescent="0.25">
      <c r="A115" s="326">
        <v>2005</v>
      </c>
      <c r="B115" s="326" t="s">
        <v>805</v>
      </c>
      <c r="C115" s="264" t="s">
        <v>409</v>
      </c>
      <c r="D115" s="157" t="s">
        <v>465</v>
      </c>
      <c r="E115" s="44">
        <f t="shared" si="6"/>
        <v>38533</v>
      </c>
      <c r="F115" s="146" t="str">
        <f t="shared" si="7"/>
        <v>2004-05</v>
      </c>
      <c r="G115" s="1"/>
      <c r="H115" s="161"/>
      <c r="I115" s="37"/>
      <c r="J115" s="135">
        <f t="shared" si="9"/>
        <v>0.9161881535038825</v>
      </c>
      <c r="K115" s="112"/>
      <c r="L115" s="37">
        <v>10.045676482899999</v>
      </c>
      <c r="M115" s="37" t="s">
        <v>509</v>
      </c>
      <c r="N115" s="37">
        <v>926.12137369033769</v>
      </c>
      <c r="O115" s="130">
        <f t="shared" si="8"/>
        <v>9303.5157039920668</v>
      </c>
      <c r="P115" s="132">
        <f t="shared" si="5"/>
        <v>1704.7541747869732</v>
      </c>
      <c r="Q115" s="262">
        <v>0.2</v>
      </c>
      <c r="R115" s="92"/>
    </row>
    <row r="116" spans="1:18" x14ac:dyDescent="0.25">
      <c r="A116" s="326">
        <v>2005</v>
      </c>
      <c r="B116" s="326" t="s">
        <v>805</v>
      </c>
      <c r="C116" s="264" t="s">
        <v>410</v>
      </c>
      <c r="D116" s="157" t="s">
        <v>512</v>
      </c>
      <c r="E116" s="44">
        <f t="shared" si="6"/>
        <v>38533</v>
      </c>
      <c r="F116" s="146" t="str">
        <f t="shared" si="7"/>
        <v>2004-05</v>
      </c>
      <c r="G116" s="1"/>
      <c r="H116" s="161"/>
      <c r="I116" s="37"/>
      <c r="J116" s="135">
        <f t="shared" si="9"/>
        <v>0.9161881535038825</v>
      </c>
      <c r="K116" s="112"/>
      <c r="L116" s="37">
        <v>4.9672633097799999</v>
      </c>
      <c r="M116" s="37" t="s">
        <v>509</v>
      </c>
      <c r="N116" s="37">
        <v>737.67580721769491</v>
      </c>
      <c r="O116" s="130">
        <f t="shared" si="8"/>
        <v>3664.2299717048004</v>
      </c>
      <c r="P116" s="132">
        <f t="shared" si="5"/>
        <v>3357.1240917898049</v>
      </c>
      <c r="Q116" s="262">
        <v>1</v>
      </c>
      <c r="R116" s="92"/>
    </row>
    <row r="117" spans="1:18" x14ac:dyDescent="0.25">
      <c r="C117" s="264"/>
      <c r="D117" s="157"/>
      <c r="E117" s="44"/>
      <c r="F117" s="146"/>
      <c r="G117" s="1"/>
      <c r="H117" s="161"/>
      <c r="I117" s="37"/>
      <c r="J117" s="135">
        <f t="shared" si="9"/>
        <v>0.9161881535038825</v>
      </c>
      <c r="K117" s="112"/>
      <c r="L117" s="37"/>
      <c r="M117" s="37"/>
      <c r="N117" s="37"/>
      <c r="O117" s="130"/>
      <c r="P117" s="132"/>
      <c r="Q117" s="262"/>
      <c r="R117" s="92"/>
    </row>
    <row r="118" spans="1:18" x14ac:dyDescent="0.25">
      <c r="A118" s="326">
        <v>38891</v>
      </c>
      <c r="B118" s="326" t="s">
        <v>805</v>
      </c>
      <c r="C118" s="264" t="s">
        <v>411</v>
      </c>
      <c r="D118" s="157" t="s">
        <v>513</v>
      </c>
      <c r="E118" s="44">
        <f t="shared" ref="E118:E181" si="10">A118</f>
        <v>38891</v>
      </c>
      <c r="F118" s="146" t="str">
        <f t="shared" si="7"/>
        <v>2005-06</v>
      </c>
      <c r="G118" s="1"/>
      <c r="H118" s="161"/>
      <c r="I118" s="37"/>
      <c r="J118" s="135">
        <f>J117</f>
        <v>0.9161881535038825</v>
      </c>
      <c r="K118" s="112"/>
      <c r="L118" s="37">
        <v>12.489651690500001</v>
      </c>
      <c r="M118" s="37" t="s">
        <v>509</v>
      </c>
      <c r="N118" s="37">
        <v>3336.4019512195118</v>
      </c>
      <c r="O118" s="130">
        <f t="shared" si="8"/>
        <v>41670.498270236276</v>
      </c>
      <c r="P118" s="132">
        <f t="shared" si="5"/>
        <v>38178.016865794503</v>
      </c>
      <c r="Q118" s="262">
        <v>1</v>
      </c>
      <c r="R118" s="92"/>
    </row>
    <row r="119" spans="1:18" x14ac:dyDescent="0.25">
      <c r="A119" s="326">
        <v>38946</v>
      </c>
      <c r="B119" s="326" t="s">
        <v>805</v>
      </c>
      <c r="C119" s="264" t="s">
        <v>412</v>
      </c>
      <c r="D119" s="157" t="s">
        <v>513</v>
      </c>
      <c r="E119" s="44">
        <f t="shared" si="10"/>
        <v>38946</v>
      </c>
      <c r="F119" s="146" t="str">
        <f t="shared" si="7"/>
        <v>2006-07</v>
      </c>
      <c r="G119" s="1"/>
      <c r="H119" s="161"/>
      <c r="I119" s="37"/>
      <c r="J119" s="135">
        <f t="shared" si="9"/>
        <v>0.9161881535038825</v>
      </c>
      <c r="K119" s="112"/>
      <c r="L119" s="37">
        <v>14.3879518876</v>
      </c>
      <c r="M119" s="37" t="s">
        <v>509</v>
      </c>
      <c r="N119" s="37">
        <v>3336.4019512195118</v>
      </c>
      <c r="O119" s="130">
        <f t="shared" si="8"/>
        <v>48003.990751841098</v>
      </c>
      <c r="P119" s="132">
        <f t="shared" si="5"/>
        <v>43980.687647746745</v>
      </c>
      <c r="Q119" s="262">
        <v>1</v>
      </c>
      <c r="R119" s="92"/>
    </row>
    <row r="120" spans="1:18" x14ac:dyDescent="0.25">
      <c r="C120" s="264"/>
      <c r="D120" s="157"/>
      <c r="E120" s="44"/>
      <c r="F120" s="146"/>
      <c r="G120" s="1"/>
      <c r="H120" s="161"/>
      <c r="I120" s="37"/>
      <c r="J120" s="135"/>
      <c r="K120" s="112"/>
      <c r="L120" s="37"/>
      <c r="M120" s="37"/>
      <c r="N120" s="37"/>
      <c r="O120" s="130"/>
      <c r="P120" s="132"/>
      <c r="Q120" s="262"/>
      <c r="R120" s="92"/>
    </row>
    <row r="121" spans="1:18" x14ac:dyDescent="0.25">
      <c r="C121" s="264"/>
      <c r="D121" s="157"/>
      <c r="E121" s="44"/>
      <c r="F121" s="146"/>
      <c r="G121" s="1"/>
      <c r="H121" s="161"/>
      <c r="I121" s="37"/>
      <c r="J121" s="135"/>
      <c r="K121" s="112"/>
      <c r="L121" s="37"/>
      <c r="M121" s="37"/>
      <c r="N121" s="37"/>
      <c r="O121" s="130"/>
      <c r="P121" s="132"/>
      <c r="Q121" s="262"/>
      <c r="R121" s="92"/>
    </row>
    <row r="122" spans="1:18" x14ac:dyDescent="0.25">
      <c r="C122" s="264"/>
      <c r="D122" s="157"/>
      <c r="E122" s="44"/>
      <c r="F122" s="146"/>
      <c r="G122" s="1"/>
      <c r="H122" s="161"/>
      <c r="I122" s="37"/>
      <c r="J122" s="135"/>
      <c r="K122" s="112"/>
      <c r="L122" s="37"/>
      <c r="M122" s="37"/>
      <c r="N122" s="37"/>
      <c r="O122" s="130"/>
      <c r="P122" s="132"/>
      <c r="Q122" s="262"/>
      <c r="R122" s="92"/>
    </row>
    <row r="123" spans="1:18" x14ac:dyDescent="0.25">
      <c r="C123" s="264"/>
      <c r="D123" s="157"/>
      <c r="E123" s="44"/>
      <c r="F123" s="146"/>
      <c r="G123" s="1"/>
      <c r="H123" s="161"/>
      <c r="I123" s="37"/>
      <c r="J123" s="135"/>
      <c r="K123" s="112"/>
      <c r="L123" s="37"/>
      <c r="M123" s="37"/>
      <c r="N123" s="37"/>
      <c r="O123" s="130"/>
      <c r="P123" s="132"/>
      <c r="Q123" s="262"/>
      <c r="R123" s="92"/>
    </row>
    <row r="124" spans="1:18" x14ac:dyDescent="0.25">
      <c r="C124" s="264"/>
      <c r="D124" s="157"/>
      <c r="E124" s="44"/>
      <c r="F124" s="146"/>
      <c r="G124" s="1"/>
      <c r="H124" s="161"/>
      <c r="I124" s="37"/>
      <c r="J124" s="135"/>
      <c r="K124" s="112"/>
      <c r="L124" s="37"/>
      <c r="M124" s="37"/>
      <c r="N124" s="37"/>
      <c r="O124" s="130"/>
      <c r="P124" s="132"/>
      <c r="Q124" s="262"/>
      <c r="R124" s="92"/>
    </row>
    <row r="125" spans="1:18" x14ac:dyDescent="0.25">
      <c r="C125" s="264"/>
      <c r="D125" s="157"/>
      <c r="E125" s="44"/>
      <c r="F125" s="146"/>
      <c r="G125" s="1"/>
      <c r="H125" s="161"/>
      <c r="I125" s="37"/>
      <c r="J125" s="135"/>
      <c r="K125" s="112"/>
      <c r="L125" s="37"/>
      <c r="M125" s="37"/>
      <c r="N125" s="37"/>
      <c r="O125" s="130"/>
      <c r="P125" s="132"/>
      <c r="Q125" s="262"/>
      <c r="R125" s="92"/>
    </row>
    <row r="126" spans="1:18" x14ac:dyDescent="0.25">
      <c r="A126" s="326">
        <v>40488</v>
      </c>
      <c r="B126" s="326" t="s">
        <v>805</v>
      </c>
      <c r="C126" s="264" t="s">
        <v>413</v>
      </c>
      <c r="D126" s="157" t="s">
        <v>512</v>
      </c>
      <c r="E126" s="44">
        <f t="shared" si="10"/>
        <v>40488</v>
      </c>
      <c r="F126" s="146" t="str">
        <f t="shared" si="7"/>
        <v>2010-11</v>
      </c>
      <c r="G126" s="1"/>
      <c r="H126" s="161"/>
      <c r="I126" s="37"/>
      <c r="J126" s="135">
        <f>J119</f>
        <v>0.9161881535038825</v>
      </c>
      <c r="K126" s="112"/>
      <c r="L126" s="37">
        <v>149.93757775399999</v>
      </c>
      <c r="M126" s="37" t="s">
        <v>509</v>
      </c>
      <c r="N126" s="37">
        <v>4137.5668292682922</v>
      </c>
      <c r="O126" s="130">
        <f t="shared" si="8"/>
        <v>620376.74817578576</v>
      </c>
      <c r="P126" s="132">
        <f t="shared" si="5"/>
        <v>516710.76552236191</v>
      </c>
      <c r="Q126" s="262">
        <v>0.909090932581331</v>
      </c>
      <c r="R126" s="92"/>
    </row>
    <row r="127" spans="1:18" x14ac:dyDescent="0.25">
      <c r="A127" s="326">
        <v>40488</v>
      </c>
      <c r="B127" s="326" t="s">
        <v>805</v>
      </c>
      <c r="C127" s="264" t="s">
        <v>413</v>
      </c>
      <c r="D127" s="157" t="s">
        <v>512</v>
      </c>
      <c r="E127" s="44">
        <f t="shared" si="10"/>
        <v>40488</v>
      </c>
      <c r="F127" s="146" t="str">
        <f t="shared" si="7"/>
        <v>2010-11</v>
      </c>
      <c r="G127" s="1"/>
      <c r="H127" s="161"/>
      <c r="I127" s="37"/>
      <c r="J127" s="135">
        <f t="shared" si="9"/>
        <v>0.9161881535038825</v>
      </c>
      <c r="K127" s="112"/>
      <c r="L127" s="37">
        <v>26.181818035399999</v>
      </c>
      <c r="M127" s="37" t="s">
        <v>509</v>
      </c>
      <c r="N127" s="37">
        <v>3336.4019512195118</v>
      </c>
      <c r="O127" s="130">
        <f t="shared" si="8"/>
        <v>87353.068779782756</v>
      </c>
      <c r="P127" s="132">
        <f t="shared" si="5"/>
        <v>72756.226232933492</v>
      </c>
      <c r="Q127" s="262">
        <v>0.909090932581331</v>
      </c>
      <c r="R127" s="92"/>
    </row>
    <row r="128" spans="1:18" x14ac:dyDescent="0.25">
      <c r="A128" s="326">
        <v>40488</v>
      </c>
      <c r="B128" s="326" t="s">
        <v>805</v>
      </c>
      <c r="C128" s="264" t="s">
        <v>413</v>
      </c>
      <c r="D128" s="157" t="s">
        <v>512</v>
      </c>
      <c r="E128" s="44">
        <f t="shared" si="10"/>
        <v>40488</v>
      </c>
      <c r="F128" s="146" t="str">
        <f t="shared" si="7"/>
        <v>2010-11</v>
      </c>
      <c r="G128" s="1"/>
      <c r="H128" s="161"/>
      <c r="I128" s="37"/>
      <c r="J128" s="135">
        <f t="shared" si="9"/>
        <v>0.9161881535038825</v>
      </c>
      <c r="K128" s="112"/>
      <c r="L128" s="37">
        <v>56.819050860700003</v>
      </c>
      <c r="M128" s="37" t="s">
        <v>509</v>
      </c>
      <c r="N128" s="37">
        <v>812.22926829268283</v>
      </c>
      <c r="O128" s="130">
        <f t="shared" si="8"/>
        <v>46150.096105671095</v>
      </c>
      <c r="P128" s="132">
        <f t="shared" si="5"/>
        <v>38438.33857057288</v>
      </c>
      <c r="Q128" s="262">
        <v>0.909090932581331</v>
      </c>
      <c r="R128" s="92"/>
    </row>
    <row r="129" spans="1:18" x14ac:dyDescent="0.25">
      <c r="A129" s="326">
        <v>40488</v>
      </c>
      <c r="B129" s="326" t="s">
        <v>805</v>
      </c>
      <c r="C129" s="264" t="s">
        <v>413</v>
      </c>
      <c r="D129" s="157" t="s">
        <v>512</v>
      </c>
      <c r="E129" s="44">
        <f t="shared" si="10"/>
        <v>40488</v>
      </c>
      <c r="F129" s="146" t="str">
        <f t="shared" si="7"/>
        <v>2010-11</v>
      </c>
      <c r="G129" s="1"/>
      <c r="H129" s="161"/>
      <c r="I129" s="37"/>
      <c r="J129" s="135">
        <f t="shared" si="9"/>
        <v>0.9161881535038825</v>
      </c>
      <c r="K129" s="112"/>
      <c r="L129" s="37">
        <v>22.097915196500001</v>
      </c>
      <c r="M129" s="37" t="s">
        <v>509</v>
      </c>
      <c r="N129" s="37">
        <v>3336.4019512195118</v>
      </c>
      <c r="O129" s="130">
        <f t="shared" si="8"/>
        <v>73727.527379485909</v>
      </c>
      <c r="P129" s="132">
        <f t="shared" si="5"/>
        <v>61407.535379663335</v>
      </c>
      <c r="Q129" s="262">
        <v>0.909090932581331</v>
      </c>
      <c r="R129" s="92"/>
    </row>
    <row r="130" spans="1:18" x14ac:dyDescent="0.25">
      <c r="A130" s="326">
        <v>40488</v>
      </c>
      <c r="B130" s="326" t="s">
        <v>805</v>
      </c>
      <c r="C130" s="264" t="s">
        <v>413</v>
      </c>
      <c r="D130" s="157" t="s">
        <v>512</v>
      </c>
      <c r="E130" s="44">
        <f t="shared" si="10"/>
        <v>40488</v>
      </c>
      <c r="F130" s="146" t="str">
        <f t="shared" si="7"/>
        <v>2010-11</v>
      </c>
      <c r="G130" s="1"/>
      <c r="H130" s="161"/>
      <c r="I130" s="37"/>
      <c r="J130" s="135">
        <f t="shared" si="9"/>
        <v>0.9161881535038825</v>
      </c>
      <c r="K130" s="112"/>
      <c r="L130" s="37">
        <v>6.4104071633600004</v>
      </c>
      <c r="M130" s="37" t="s">
        <v>509</v>
      </c>
      <c r="N130" s="37">
        <v>812.22926829268283</v>
      </c>
      <c r="O130" s="130">
        <f t="shared" si="8"/>
        <v>5206.7203197540657</v>
      </c>
      <c r="P130" s="132">
        <f t="shared" si="5"/>
        <v>4336.668726208668</v>
      </c>
      <c r="Q130" s="262">
        <v>0.909090932581331</v>
      </c>
      <c r="R130" s="92"/>
    </row>
    <row r="131" spans="1:18" x14ac:dyDescent="0.25">
      <c r="A131" s="326">
        <v>40488</v>
      </c>
      <c r="B131" s="326" t="s">
        <v>805</v>
      </c>
      <c r="C131" s="264" t="s">
        <v>413</v>
      </c>
      <c r="D131" s="157" t="s">
        <v>512</v>
      </c>
      <c r="E131" s="44">
        <f t="shared" si="10"/>
        <v>40488</v>
      </c>
      <c r="F131" s="146" t="str">
        <f t="shared" si="7"/>
        <v>2010-11</v>
      </c>
      <c r="G131" s="1"/>
      <c r="H131" s="161"/>
      <c r="I131" s="37"/>
      <c r="J131" s="135">
        <f t="shared" si="9"/>
        <v>0.9161881535038825</v>
      </c>
      <c r="K131" s="112"/>
      <c r="L131" s="37">
        <v>14.161146285999999</v>
      </c>
      <c r="M131" s="37" t="s">
        <v>509</v>
      </c>
      <c r="N131" s="37">
        <v>812.22926829268283</v>
      </c>
      <c r="O131" s="130">
        <f t="shared" si="8"/>
        <v>11502.097486063423</v>
      </c>
      <c r="P131" s="132">
        <f t="shared" si="5"/>
        <v>9580.0779358877971</v>
      </c>
      <c r="Q131" s="262">
        <v>0.909090932581331</v>
      </c>
      <c r="R131" s="92"/>
    </row>
    <row r="132" spans="1:18" x14ac:dyDescent="0.25">
      <c r="A132" s="326">
        <v>40488</v>
      </c>
      <c r="B132" s="326" t="s">
        <v>805</v>
      </c>
      <c r="C132" s="264" t="s">
        <v>413</v>
      </c>
      <c r="D132" s="157" t="s">
        <v>512</v>
      </c>
      <c r="E132" s="44">
        <f t="shared" si="10"/>
        <v>40488</v>
      </c>
      <c r="F132" s="146" t="str">
        <f t="shared" si="7"/>
        <v>2010-11</v>
      </c>
      <c r="G132" s="1"/>
      <c r="H132" s="161"/>
      <c r="I132" s="37"/>
      <c r="J132" s="135">
        <f t="shared" si="9"/>
        <v>0.9161881535038825</v>
      </c>
      <c r="K132" s="112"/>
      <c r="L132" s="37">
        <v>32.182885591599998</v>
      </c>
      <c r="M132" s="37" t="s">
        <v>509</v>
      </c>
      <c r="N132" s="37">
        <v>3336.4019512195118</v>
      </c>
      <c r="O132" s="130">
        <f t="shared" si="8"/>
        <v>107375.04228368854</v>
      </c>
      <c r="P132" s="132">
        <f t="shared" si="5"/>
        <v>89432.494785700328</v>
      </c>
      <c r="Q132" s="262">
        <v>0.909090932581331</v>
      </c>
      <c r="R132" s="92"/>
    </row>
    <row r="133" spans="1:18" x14ac:dyDescent="0.25">
      <c r="A133" s="326">
        <v>40488</v>
      </c>
      <c r="B133" s="326" t="s">
        <v>805</v>
      </c>
      <c r="C133" s="264" t="s">
        <v>413</v>
      </c>
      <c r="D133" s="157" t="s">
        <v>512</v>
      </c>
      <c r="E133" s="44">
        <f t="shared" si="10"/>
        <v>40488</v>
      </c>
      <c r="F133" s="146" t="str">
        <f t="shared" si="7"/>
        <v>2010-11</v>
      </c>
      <c r="G133" s="1"/>
      <c r="H133" s="161"/>
      <c r="I133" s="37"/>
      <c r="J133" s="135">
        <f t="shared" si="9"/>
        <v>0.9161881535038825</v>
      </c>
      <c r="K133" s="112"/>
      <c r="L133" s="37">
        <v>22.207088796000001</v>
      </c>
      <c r="M133" s="37" t="s">
        <v>509</v>
      </c>
      <c r="N133" s="37">
        <v>3336.4019512195118</v>
      </c>
      <c r="O133" s="130">
        <f t="shared" si="8"/>
        <v>74091.774389879356</v>
      </c>
      <c r="P133" s="132">
        <f t="shared" si="5"/>
        <v>61710.916111022241</v>
      </c>
      <c r="Q133" s="262">
        <v>0.909090932581331</v>
      </c>
      <c r="R133" s="92"/>
    </row>
    <row r="134" spans="1:18" x14ac:dyDescent="0.25">
      <c r="A134" s="326">
        <v>40488</v>
      </c>
      <c r="B134" s="326" t="s">
        <v>805</v>
      </c>
      <c r="C134" s="264" t="s">
        <v>413</v>
      </c>
      <c r="D134" s="157" t="s">
        <v>512</v>
      </c>
      <c r="E134" s="44">
        <f t="shared" si="10"/>
        <v>40488</v>
      </c>
      <c r="F134" s="146" t="str">
        <f t="shared" si="7"/>
        <v>2010-11</v>
      </c>
      <c r="G134" s="1"/>
      <c r="H134" s="161"/>
      <c r="I134" s="37"/>
      <c r="J134" s="135">
        <f t="shared" si="9"/>
        <v>0.9161881535038825</v>
      </c>
      <c r="K134" s="112"/>
      <c r="L134" s="37">
        <v>15.0286248905</v>
      </c>
      <c r="M134" s="37" t="s">
        <v>509</v>
      </c>
      <c r="N134" s="37">
        <v>812.22926829268283</v>
      </c>
      <c r="O134" s="130">
        <f t="shared" si="8"/>
        <v>12206.688998256015</v>
      </c>
      <c r="P134" s="132">
        <f t="shared" si="5"/>
        <v>10166.93103880653</v>
      </c>
      <c r="Q134" s="262">
        <v>0.909090932581331</v>
      </c>
      <c r="R134" s="92"/>
    </row>
    <row r="135" spans="1:18" x14ac:dyDescent="0.25">
      <c r="A135" s="326">
        <v>40488</v>
      </c>
      <c r="B135" s="326" t="s">
        <v>805</v>
      </c>
      <c r="C135" s="264" t="s">
        <v>413</v>
      </c>
      <c r="D135" s="157" t="s">
        <v>512</v>
      </c>
      <c r="E135" s="44">
        <f t="shared" si="10"/>
        <v>40488</v>
      </c>
      <c r="F135" s="146" t="str">
        <f t="shared" si="7"/>
        <v>2010-11</v>
      </c>
      <c r="G135" s="1"/>
      <c r="H135" s="161"/>
      <c r="I135" s="37"/>
      <c r="J135" s="135">
        <f t="shared" si="9"/>
        <v>0.9161881535038825</v>
      </c>
      <c r="K135" s="112"/>
      <c r="L135" s="37">
        <v>14.3058936134</v>
      </c>
      <c r="M135" s="37" t="s">
        <v>509</v>
      </c>
      <c r="N135" s="37">
        <v>812.22926829268283</v>
      </c>
      <c r="O135" s="130">
        <f t="shared" si="8"/>
        <v>11619.665501884847</v>
      </c>
      <c r="P135" s="132">
        <f t="shared" si="5"/>
        <v>9678.0001414421877</v>
      </c>
      <c r="Q135" s="262">
        <v>0.909090932581331</v>
      </c>
      <c r="R135" s="92"/>
    </row>
    <row r="136" spans="1:18" x14ac:dyDescent="0.25">
      <c r="A136" s="326">
        <v>40488</v>
      </c>
      <c r="B136" s="326" t="s">
        <v>805</v>
      </c>
      <c r="C136" s="264" t="s">
        <v>413</v>
      </c>
      <c r="D136" s="157" t="s">
        <v>512</v>
      </c>
      <c r="E136" s="44">
        <f t="shared" si="10"/>
        <v>40488</v>
      </c>
      <c r="F136" s="146" t="str">
        <f t="shared" si="7"/>
        <v>2010-11</v>
      </c>
      <c r="G136" s="1"/>
      <c r="H136" s="161"/>
      <c r="I136" s="37"/>
      <c r="J136" s="135">
        <f t="shared" si="9"/>
        <v>0.9161881535038825</v>
      </c>
      <c r="K136" s="112"/>
      <c r="L136" s="37">
        <v>12.774016329</v>
      </c>
      <c r="M136" s="37" t="s">
        <v>509</v>
      </c>
      <c r="N136" s="37">
        <v>812.22926829268283</v>
      </c>
      <c r="O136" s="130">
        <f t="shared" si="8"/>
        <v>10375.429936062452</v>
      </c>
      <c r="P136" s="132">
        <f t="shared" si="5"/>
        <v>8641.6784005053905</v>
      </c>
      <c r="Q136" s="262">
        <v>0.909090932581331</v>
      </c>
      <c r="R136" s="92"/>
    </row>
    <row r="137" spans="1:18" x14ac:dyDescent="0.25">
      <c r="A137" s="326">
        <v>40488</v>
      </c>
      <c r="B137" s="326" t="s">
        <v>805</v>
      </c>
      <c r="C137" s="264" t="s">
        <v>413</v>
      </c>
      <c r="D137" s="157" t="s">
        <v>512</v>
      </c>
      <c r="E137" s="44">
        <f t="shared" si="10"/>
        <v>40488</v>
      </c>
      <c r="F137" s="146" t="str">
        <f t="shared" si="7"/>
        <v>2010-11</v>
      </c>
      <c r="G137" s="1"/>
      <c r="H137" s="161"/>
      <c r="I137" s="37"/>
      <c r="J137" s="135">
        <f t="shared" si="9"/>
        <v>0.9161881535038825</v>
      </c>
      <c r="K137" s="112"/>
      <c r="L137" s="37">
        <v>51.217090321500002</v>
      </c>
      <c r="M137" s="37" t="s">
        <v>509</v>
      </c>
      <c r="N137" s="37">
        <v>4137.5668292682922</v>
      </c>
      <c r="O137" s="130">
        <f t="shared" si="8"/>
        <v>211914.13400587649</v>
      </c>
      <c r="P137" s="132">
        <f t="shared" si="5"/>
        <v>176502.93104821222</v>
      </c>
      <c r="Q137" s="262">
        <v>0.909090932581331</v>
      </c>
      <c r="R137" s="92"/>
    </row>
    <row r="138" spans="1:18" x14ac:dyDescent="0.25">
      <c r="A138" s="326">
        <v>40488</v>
      </c>
      <c r="B138" s="326" t="s">
        <v>805</v>
      </c>
      <c r="C138" s="264" t="s">
        <v>413</v>
      </c>
      <c r="D138" s="157" t="s">
        <v>512</v>
      </c>
      <c r="E138" s="44">
        <f t="shared" si="10"/>
        <v>40488</v>
      </c>
      <c r="F138" s="146" t="str">
        <f t="shared" si="7"/>
        <v>2010-11</v>
      </c>
      <c r="G138" s="1"/>
      <c r="H138" s="161"/>
      <c r="I138" s="37"/>
      <c r="J138" s="135">
        <f t="shared" si="9"/>
        <v>0.9161881535038825</v>
      </c>
      <c r="K138" s="112"/>
      <c r="L138" s="37">
        <v>31.646114110300001</v>
      </c>
      <c r="M138" s="37" t="s">
        <v>509</v>
      </c>
      <c r="N138" s="37">
        <v>4137.5668292682922</v>
      </c>
      <c r="O138" s="130">
        <f t="shared" si="8"/>
        <v>130937.91201801653</v>
      </c>
      <c r="P138" s="132">
        <f t="shared" si="5"/>
        <v>109057.96994112706</v>
      </c>
      <c r="Q138" s="262">
        <v>0.909090932581331</v>
      </c>
      <c r="R138" s="92"/>
    </row>
    <row r="139" spans="1:18" x14ac:dyDescent="0.25">
      <c r="A139" s="326">
        <v>40488</v>
      </c>
      <c r="B139" s="326" t="s">
        <v>805</v>
      </c>
      <c r="C139" s="264" t="s">
        <v>413</v>
      </c>
      <c r="D139" s="157" t="s">
        <v>512</v>
      </c>
      <c r="E139" s="44">
        <f t="shared" si="10"/>
        <v>40488</v>
      </c>
      <c r="F139" s="146" t="str">
        <f t="shared" si="7"/>
        <v>2010-11</v>
      </c>
      <c r="G139" s="1"/>
      <c r="H139" s="161"/>
      <c r="I139" s="37"/>
      <c r="J139" s="135">
        <f t="shared" si="9"/>
        <v>0.9161881535038825</v>
      </c>
      <c r="K139" s="112"/>
      <c r="L139" s="37">
        <v>3.17400141777</v>
      </c>
      <c r="M139" s="37" t="s">
        <v>509</v>
      </c>
      <c r="N139" s="37">
        <v>812.22926829268283</v>
      </c>
      <c r="O139" s="130">
        <f t="shared" si="8"/>
        <v>2578.0168491152649</v>
      </c>
      <c r="P139" s="132">
        <f t="shared" si="5"/>
        <v>2147.2259615675412</v>
      </c>
      <c r="Q139" s="262">
        <v>0.909090932581331</v>
      </c>
      <c r="R139" s="92"/>
    </row>
    <row r="140" spans="1:18" x14ac:dyDescent="0.25">
      <c r="A140" s="326">
        <v>40488</v>
      </c>
      <c r="B140" s="326" t="s">
        <v>805</v>
      </c>
      <c r="C140" s="264" t="s">
        <v>413</v>
      </c>
      <c r="D140" s="157" t="s">
        <v>512</v>
      </c>
      <c r="E140" s="44">
        <f t="shared" si="10"/>
        <v>40488</v>
      </c>
      <c r="F140" s="146" t="str">
        <f t="shared" si="7"/>
        <v>2010-11</v>
      </c>
      <c r="G140" s="1"/>
      <c r="H140" s="161"/>
      <c r="I140" s="37"/>
      <c r="J140" s="135">
        <f t="shared" si="9"/>
        <v>0.9161881535038825</v>
      </c>
      <c r="K140" s="112"/>
      <c r="L140" s="37">
        <v>13.146582115599999</v>
      </c>
      <c r="M140" s="37" t="s">
        <v>509</v>
      </c>
      <c r="N140" s="37">
        <v>812.22926829268283</v>
      </c>
      <c r="O140" s="130">
        <f t="shared" si="8"/>
        <v>10678.038772303458</v>
      </c>
      <c r="P140" s="132">
        <f t="shared" si="5"/>
        <v>8893.7207987540369</v>
      </c>
      <c r="Q140" s="262">
        <v>0.909090932581331</v>
      </c>
      <c r="R140" s="92"/>
    </row>
    <row r="141" spans="1:18" x14ac:dyDescent="0.25">
      <c r="A141" s="326">
        <v>40488</v>
      </c>
      <c r="B141" s="326" t="s">
        <v>805</v>
      </c>
      <c r="C141" s="264" t="s">
        <v>413</v>
      </c>
      <c r="D141" s="157" t="s">
        <v>512</v>
      </c>
      <c r="E141" s="44">
        <f t="shared" si="10"/>
        <v>40488</v>
      </c>
      <c r="F141" s="146" t="str">
        <f t="shared" si="7"/>
        <v>2010-11</v>
      </c>
      <c r="G141" s="1"/>
      <c r="H141" s="161"/>
      <c r="I141" s="37"/>
      <c r="J141" s="135">
        <f t="shared" si="9"/>
        <v>0.9161881535038825</v>
      </c>
      <c r="K141" s="112"/>
      <c r="L141" s="37">
        <v>17.696101550600002</v>
      </c>
      <c r="M141" s="37" t="s">
        <v>509</v>
      </c>
      <c r="N141" s="37">
        <v>812.22926829268283</v>
      </c>
      <c r="O141" s="130">
        <f t="shared" si="8"/>
        <v>14373.29161407685</v>
      </c>
      <c r="P141" s="132">
        <f t="shared" si="5"/>
        <v>11971.490767222269</v>
      </c>
      <c r="Q141" s="262">
        <v>0.909090932581331</v>
      </c>
      <c r="R141" s="92"/>
    </row>
    <row r="142" spans="1:18" x14ac:dyDescent="0.25">
      <c r="A142" s="326">
        <v>40488</v>
      </c>
      <c r="B142" s="326" t="s">
        <v>805</v>
      </c>
      <c r="C142" s="264" t="s">
        <v>413</v>
      </c>
      <c r="D142" s="157" t="s">
        <v>512</v>
      </c>
      <c r="E142" s="44">
        <f t="shared" si="10"/>
        <v>40488</v>
      </c>
      <c r="F142" s="146" t="str">
        <f t="shared" si="7"/>
        <v>2010-11</v>
      </c>
      <c r="G142" s="1"/>
      <c r="H142" s="161"/>
      <c r="I142" s="37"/>
      <c r="J142" s="135">
        <f t="shared" si="9"/>
        <v>0.9161881535038825</v>
      </c>
      <c r="K142" s="112"/>
      <c r="L142" s="37">
        <v>16.987447042599999</v>
      </c>
      <c r="M142" s="37" t="s">
        <v>509</v>
      </c>
      <c r="N142" s="37">
        <v>812.22926829268283</v>
      </c>
      <c r="O142" s="130">
        <f t="shared" si="8"/>
        <v>13797.701681571696</v>
      </c>
      <c r="P142" s="132">
        <f t="shared" si="5"/>
        <v>11492.082866255243</v>
      </c>
      <c r="Q142" s="262">
        <v>0.909090932581331</v>
      </c>
      <c r="R142" s="92"/>
    </row>
    <row r="143" spans="1:18" x14ac:dyDescent="0.25">
      <c r="A143" s="326">
        <v>40488</v>
      </c>
      <c r="B143" s="326" t="s">
        <v>805</v>
      </c>
      <c r="C143" s="264" t="s">
        <v>413</v>
      </c>
      <c r="D143" s="157" t="s">
        <v>512</v>
      </c>
      <c r="E143" s="44">
        <f t="shared" si="10"/>
        <v>40488</v>
      </c>
      <c r="F143" s="146" t="str">
        <f t="shared" si="7"/>
        <v>2010-11</v>
      </c>
      <c r="G143" s="1"/>
      <c r="H143" s="161"/>
      <c r="I143" s="37"/>
      <c r="J143" s="135">
        <f t="shared" si="9"/>
        <v>0.9161881535038825</v>
      </c>
      <c r="K143" s="112"/>
      <c r="L143" s="37">
        <v>102.60763893799999</v>
      </c>
      <c r="M143" s="37" t="s">
        <v>509</v>
      </c>
      <c r="N143" s="37">
        <v>4137.5668292682922</v>
      </c>
      <c r="O143" s="130">
        <f t="shared" si="8"/>
        <v>424545.9632994064</v>
      </c>
      <c r="P143" s="132">
        <f t="shared" si="5"/>
        <v>353603.62931221008</v>
      </c>
      <c r="Q143" s="262">
        <v>0.909090932581331</v>
      </c>
      <c r="R143" s="92"/>
    </row>
    <row r="144" spans="1:18" x14ac:dyDescent="0.25">
      <c r="A144" s="326">
        <v>40488</v>
      </c>
      <c r="B144" s="326" t="s">
        <v>805</v>
      </c>
      <c r="C144" s="264" t="s">
        <v>413</v>
      </c>
      <c r="D144" s="157" t="s">
        <v>512</v>
      </c>
      <c r="E144" s="44">
        <f t="shared" si="10"/>
        <v>40488</v>
      </c>
      <c r="F144" s="146" t="str">
        <f t="shared" si="7"/>
        <v>2010-11</v>
      </c>
      <c r="G144" s="1"/>
      <c r="H144" s="161"/>
      <c r="I144" s="37"/>
      <c r="J144" s="135">
        <f t="shared" si="9"/>
        <v>0.9161881535038825</v>
      </c>
      <c r="K144" s="112"/>
      <c r="L144" s="37">
        <v>15.2172588859</v>
      </c>
      <c r="M144" s="37" t="s">
        <v>509</v>
      </c>
      <c r="N144" s="37">
        <v>812.22926829268283</v>
      </c>
      <c r="O144" s="130">
        <f t="shared" si="8"/>
        <v>12359.903050314882</v>
      </c>
      <c r="P144" s="132">
        <f t="shared" si="5"/>
        <v>10294.542768873642</v>
      </c>
      <c r="Q144" s="262">
        <v>0.909090932581331</v>
      </c>
      <c r="R144" s="92"/>
    </row>
    <row r="145" spans="1:18" x14ac:dyDescent="0.25">
      <c r="A145" s="326">
        <v>40927</v>
      </c>
      <c r="B145" s="326" t="s">
        <v>805</v>
      </c>
      <c r="C145" s="264" t="s">
        <v>414</v>
      </c>
      <c r="D145" s="157" t="s">
        <v>513</v>
      </c>
      <c r="E145" s="44">
        <f t="shared" si="10"/>
        <v>40927</v>
      </c>
      <c r="F145" s="146" t="str">
        <f t="shared" si="7"/>
        <v>2011-12</v>
      </c>
      <c r="G145" s="1"/>
      <c r="H145" s="161"/>
      <c r="I145" s="37"/>
      <c r="J145" s="135">
        <f t="shared" si="9"/>
        <v>0.9161881535038825</v>
      </c>
      <c r="K145" s="112"/>
      <c r="L145" s="37">
        <v>40.228178434299998</v>
      </c>
      <c r="M145" s="37" t="s">
        <v>509</v>
      </c>
      <c r="N145" s="37">
        <v>812.22926829268283</v>
      </c>
      <c r="O145" s="130">
        <f t="shared" si="8"/>
        <v>32674.50393443897</v>
      </c>
      <c r="P145" s="132">
        <f t="shared" si="5"/>
        <v>569.04291481631333</v>
      </c>
      <c r="Q145" s="262">
        <v>1.9008653119072863E-2</v>
      </c>
      <c r="R145" s="92"/>
    </row>
    <row r="146" spans="1:18" x14ac:dyDescent="0.25">
      <c r="A146" s="326">
        <v>40927</v>
      </c>
      <c r="B146" s="326" t="s">
        <v>805</v>
      </c>
      <c r="C146" s="264" t="s">
        <v>414</v>
      </c>
      <c r="D146" s="157" t="s">
        <v>513</v>
      </c>
      <c r="E146" s="44">
        <f t="shared" si="10"/>
        <v>40927</v>
      </c>
      <c r="F146" s="146" t="str">
        <f t="shared" si="7"/>
        <v>2011-12</v>
      </c>
      <c r="G146" s="1"/>
      <c r="H146" s="161"/>
      <c r="I146" s="37"/>
      <c r="J146" s="135">
        <f t="shared" si="9"/>
        <v>0.9161881535038825</v>
      </c>
      <c r="K146" s="112"/>
      <c r="L146" s="37">
        <v>39.971323092399999</v>
      </c>
      <c r="M146" s="37" t="s">
        <v>509</v>
      </c>
      <c r="N146" s="37">
        <v>812.22926829268283</v>
      </c>
      <c r="O146" s="130">
        <f t="shared" si="8"/>
        <v>32465.878508030466</v>
      </c>
      <c r="P146" s="132">
        <f t="shared" si="5"/>
        <v>565.40959811817788</v>
      </c>
      <c r="Q146" s="262">
        <v>1.9008653119072863E-2</v>
      </c>
      <c r="R146" s="92"/>
    </row>
    <row r="147" spans="1:18" x14ac:dyDescent="0.25">
      <c r="A147" s="326">
        <v>40927</v>
      </c>
      <c r="B147" s="326" t="s">
        <v>805</v>
      </c>
      <c r="C147" s="264" t="s">
        <v>414</v>
      </c>
      <c r="D147" s="157" t="s">
        <v>513</v>
      </c>
      <c r="E147" s="44">
        <f t="shared" si="10"/>
        <v>40927</v>
      </c>
      <c r="F147" s="146" t="str">
        <f t="shared" si="7"/>
        <v>2011-12</v>
      </c>
      <c r="G147" s="1"/>
      <c r="H147" s="161"/>
      <c r="I147" s="37"/>
      <c r="J147" s="135">
        <f t="shared" si="9"/>
        <v>0.9161881535038825</v>
      </c>
      <c r="K147" s="112"/>
      <c r="L147" s="37">
        <v>37.711059435700001</v>
      </c>
      <c r="M147" s="37" t="s">
        <v>509</v>
      </c>
      <c r="N147" s="37">
        <v>812.22926829268283</v>
      </c>
      <c r="O147" s="130">
        <f t="shared" si="8"/>
        <v>30630.026212000485</v>
      </c>
      <c r="P147" s="132">
        <f t="shared" si="5"/>
        <v>533.43730731305163</v>
      </c>
      <c r="Q147" s="262">
        <v>1.9008653119072863E-2</v>
      </c>
      <c r="R147" s="92"/>
    </row>
    <row r="148" spans="1:18" x14ac:dyDescent="0.25">
      <c r="A148" s="326">
        <v>40927</v>
      </c>
      <c r="B148" s="326" t="s">
        <v>805</v>
      </c>
      <c r="C148" s="264" t="s">
        <v>414</v>
      </c>
      <c r="D148" s="157" t="s">
        <v>513</v>
      </c>
      <c r="E148" s="44">
        <f t="shared" si="10"/>
        <v>40927</v>
      </c>
      <c r="F148" s="146" t="str">
        <f t="shared" si="7"/>
        <v>2011-12</v>
      </c>
      <c r="G148" s="1"/>
      <c r="H148" s="161"/>
      <c r="I148" s="37"/>
      <c r="J148" s="135">
        <f t="shared" si="9"/>
        <v>0.9161881535038825</v>
      </c>
      <c r="K148" s="112"/>
      <c r="L148" s="37">
        <v>23.8799590661</v>
      </c>
      <c r="M148" s="37" t="s">
        <v>509</v>
      </c>
      <c r="N148" s="37">
        <v>812.22926829268283</v>
      </c>
      <c r="O148" s="130">
        <f t="shared" si="8"/>
        <v>19396.00167911762</v>
      </c>
      <c r="P148" s="132">
        <f t="shared" si="5"/>
        <v>337.79112158559872</v>
      </c>
      <c r="Q148" s="262">
        <v>1.9008653119072863E-2</v>
      </c>
      <c r="R148" s="92"/>
    </row>
    <row r="149" spans="1:18" x14ac:dyDescent="0.25">
      <c r="A149" s="326">
        <v>40927</v>
      </c>
      <c r="B149" s="326" t="s">
        <v>805</v>
      </c>
      <c r="C149" s="264" t="s">
        <v>414</v>
      </c>
      <c r="D149" s="157" t="s">
        <v>513</v>
      </c>
      <c r="E149" s="44">
        <f t="shared" si="10"/>
        <v>40927</v>
      </c>
      <c r="F149" s="146" t="str">
        <f t="shared" si="7"/>
        <v>2011-12</v>
      </c>
      <c r="G149" s="1"/>
      <c r="H149" s="161"/>
      <c r="I149" s="37"/>
      <c r="J149" s="135">
        <f t="shared" si="9"/>
        <v>0.9161881535038825</v>
      </c>
      <c r="K149" s="112"/>
      <c r="L149" s="37">
        <v>22.519949222299999</v>
      </c>
      <c r="M149" s="37" t="s">
        <v>509</v>
      </c>
      <c r="N149" s="37">
        <v>812.22926829268283</v>
      </c>
      <c r="O149" s="130">
        <f t="shared" si="8"/>
        <v>18291.361878817101</v>
      </c>
      <c r="P149" s="132">
        <f t="shared" si="5"/>
        <v>318.55326404853031</v>
      </c>
      <c r="Q149" s="262">
        <v>1.9008653119072863E-2</v>
      </c>
      <c r="R149" s="92"/>
    </row>
    <row r="150" spans="1:18" x14ac:dyDescent="0.25">
      <c r="A150" s="326">
        <v>40927</v>
      </c>
      <c r="B150" s="326" t="s">
        <v>805</v>
      </c>
      <c r="C150" s="264" t="s">
        <v>414</v>
      </c>
      <c r="D150" s="157" t="s">
        <v>513</v>
      </c>
      <c r="E150" s="44">
        <f t="shared" si="10"/>
        <v>40927</v>
      </c>
      <c r="F150" s="146" t="str">
        <f t="shared" si="7"/>
        <v>2011-12</v>
      </c>
      <c r="G150" s="1"/>
      <c r="H150" s="161"/>
      <c r="I150" s="37"/>
      <c r="J150" s="135">
        <f t="shared" si="9"/>
        <v>0.9161881535038825</v>
      </c>
      <c r="K150" s="112"/>
      <c r="L150" s="37">
        <v>23.399843119100002</v>
      </c>
      <c r="M150" s="37" t="s">
        <v>509</v>
      </c>
      <c r="N150" s="37">
        <v>812.22926829268283</v>
      </c>
      <c r="O150" s="130">
        <f t="shared" si="8"/>
        <v>19006.037454790163</v>
      </c>
      <c r="P150" s="132">
        <f t="shared" si="5"/>
        <v>330.99969854423807</v>
      </c>
      <c r="Q150" s="262">
        <v>1.9008653119072863E-2</v>
      </c>
      <c r="R150" s="92"/>
    </row>
    <row r="151" spans="1:18" x14ac:dyDescent="0.25">
      <c r="A151" s="326">
        <v>40927</v>
      </c>
      <c r="B151" s="326" t="s">
        <v>805</v>
      </c>
      <c r="C151" s="264" t="s">
        <v>414</v>
      </c>
      <c r="D151" s="157" t="s">
        <v>513</v>
      </c>
      <c r="E151" s="44">
        <f t="shared" si="10"/>
        <v>40927</v>
      </c>
      <c r="F151" s="146" t="str">
        <f t="shared" si="7"/>
        <v>2011-12</v>
      </c>
      <c r="G151" s="1"/>
      <c r="H151" s="161"/>
      <c r="I151" s="37"/>
      <c r="J151" s="135">
        <f t="shared" si="9"/>
        <v>0.9161881535038825</v>
      </c>
      <c r="K151" s="112"/>
      <c r="L151" s="37">
        <v>25.286031638000001</v>
      </c>
      <c r="M151" s="37" t="s">
        <v>509</v>
      </c>
      <c r="N151" s="37">
        <v>812.22926829268283</v>
      </c>
      <c r="O151" s="130">
        <f t="shared" si="8"/>
        <v>20538.054975358369</v>
      </c>
      <c r="P151" s="132">
        <f t="shared" ref="P151:P214" si="11">IF(O151="-","-",IF(OR(E151&lt;$E$15,E151&gt;$E$16),0,O151*J151))*Q151</f>
        <v>357.68055396603785</v>
      </c>
      <c r="Q151" s="262">
        <v>1.9008653119072863E-2</v>
      </c>
      <c r="R151" s="92"/>
    </row>
    <row r="152" spans="1:18" x14ac:dyDescent="0.25">
      <c r="A152" s="326">
        <v>40927</v>
      </c>
      <c r="B152" s="326" t="s">
        <v>805</v>
      </c>
      <c r="C152" s="264" t="s">
        <v>414</v>
      </c>
      <c r="D152" s="157" t="s">
        <v>513</v>
      </c>
      <c r="E152" s="44">
        <f t="shared" si="10"/>
        <v>40927</v>
      </c>
      <c r="F152" s="146" t="str">
        <f t="shared" ref="F152:F215" si="12">IF(E152="","-",IF(OR(E152&lt;$E$15,E152&gt;$E$16),"ERROR - date outside of range",IF(MONTH(E152)&gt;=7,YEAR(E152)&amp;"-"&amp;IF(YEAR(E152)=1999,"00",IF(AND(YEAR(E152)&gt;=2000,YEAR(E152)&lt;2009),"0","")&amp;RIGHT(YEAR(E152),2)+1),RIGHT(YEAR(E152),4)-1&amp;"-"&amp;RIGHT(YEAR(E152),2))))</f>
        <v>2011-12</v>
      </c>
      <c r="G152" s="1"/>
      <c r="H152" s="161"/>
      <c r="I152" s="37"/>
      <c r="J152" s="135">
        <f t="shared" si="9"/>
        <v>0.9161881535038825</v>
      </c>
      <c r="K152" s="112"/>
      <c r="L152" s="37">
        <v>20.8894650003</v>
      </c>
      <c r="M152" s="37" t="s">
        <v>509</v>
      </c>
      <c r="N152" s="37">
        <v>812.22926829268283</v>
      </c>
      <c r="O152" s="130">
        <f t="shared" ref="O152:O215" si="13">IF(N152="","-",L152*N152)</f>
        <v>16967.034872219276</v>
      </c>
      <c r="P152" s="132">
        <f t="shared" si="11"/>
        <v>295.48944335468053</v>
      </c>
      <c r="Q152" s="262">
        <v>1.9008653119072863E-2</v>
      </c>
      <c r="R152" s="92"/>
    </row>
    <row r="153" spans="1:18" x14ac:dyDescent="0.25">
      <c r="A153" s="326">
        <v>40927</v>
      </c>
      <c r="B153" s="326" t="s">
        <v>805</v>
      </c>
      <c r="C153" s="264" t="s">
        <v>414</v>
      </c>
      <c r="D153" s="157" t="s">
        <v>513</v>
      </c>
      <c r="E153" s="44">
        <f t="shared" si="10"/>
        <v>40927</v>
      </c>
      <c r="F153" s="146" t="str">
        <f t="shared" si="12"/>
        <v>2011-12</v>
      </c>
      <c r="G153" s="1"/>
      <c r="H153" s="161"/>
      <c r="I153" s="37"/>
      <c r="J153" s="135">
        <f t="shared" ref="J153:J216" si="14">J152</f>
        <v>0.9161881535038825</v>
      </c>
      <c r="K153" s="112"/>
      <c r="L153" s="37">
        <v>15.3553253418</v>
      </c>
      <c r="M153" s="37" t="s">
        <v>509</v>
      </c>
      <c r="N153" s="37">
        <v>812.22926829268283</v>
      </c>
      <c r="O153" s="130">
        <f t="shared" si="13"/>
        <v>12472.044666766304</v>
      </c>
      <c r="P153" s="132">
        <f t="shared" si="11"/>
        <v>217.20692883773424</v>
      </c>
      <c r="Q153" s="262">
        <v>1.9008653119072863E-2</v>
      </c>
      <c r="R153" s="92"/>
    </row>
    <row r="154" spans="1:18" x14ac:dyDescent="0.25">
      <c r="A154" s="326">
        <v>40927</v>
      </c>
      <c r="B154" s="326" t="s">
        <v>805</v>
      </c>
      <c r="C154" s="264" t="s">
        <v>414</v>
      </c>
      <c r="D154" s="157" t="s">
        <v>513</v>
      </c>
      <c r="E154" s="44">
        <f t="shared" si="10"/>
        <v>40927</v>
      </c>
      <c r="F154" s="146" t="str">
        <f t="shared" si="12"/>
        <v>2011-12</v>
      </c>
      <c r="G154" s="1"/>
      <c r="H154" s="161"/>
      <c r="I154" s="37"/>
      <c r="J154" s="135">
        <f t="shared" si="14"/>
        <v>0.9161881535038825</v>
      </c>
      <c r="K154" s="112"/>
      <c r="L154" s="37">
        <v>15.171448612400001</v>
      </c>
      <c r="M154" s="37" t="s">
        <v>509</v>
      </c>
      <c r="N154" s="37">
        <v>812.22926829268283</v>
      </c>
      <c r="O154" s="130">
        <f t="shared" si="13"/>
        <v>12322.694605389692</v>
      </c>
      <c r="P154" s="132">
        <f t="shared" si="11"/>
        <v>214.60592242538695</v>
      </c>
      <c r="Q154" s="262">
        <v>1.9008653119072863E-2</v>
      </c>
      <c r="R154" s="92"/>
    </row>
    <row r="155" spans="1:18" x14ac:dyDescent="0.25">
      <c r="A155" s="326">
        <v>40927</v>
      </c>
      <c r="B155" s="326" t="s">
        <v>805</v>
      </c>
      <c r="C155" s="264" t="s">
        <v>414</v>
      </c>
      <c r="D155" s="157" t="s">
        <v>513</v>
      </c>
      <c r="E155" s="44">
        <f t="shared" si="10"/>
        <v>40927</v>
      </c>
      <c r="F155" s="146" t="str">
        <f t="shared" si="12"/>
        <v>2011-12</v>
      </c>
      <c r="G155" s="1"/>
      <c r="H155" s="161"/>
      <c r="I155" s="37"/>
      <c r="J155" s="135">
        <f t="shared" si="14"/>
        <v>0.9161881535038825</v>
      </c>
      <c r="K155" s="112"/>
      <c r="L155" s="37">
        <v>17.874316802999999</v>
      </c>
      <c r="M155" s="37" t="s">
        <v>509</v>
      </c>
      <c r="N155" s="37">
        <v>3336.4019512195118</v>
      </c>
      <c r="O155" s="130">
        <f t="shared" si="13"/>
        <v>59635.905458244903</v>
      </c>
      <c r="P155" s="132">
        <f t="shared" si="11"/>
        <v>1038.58927859351</v>
      </c>
      <c r="Q155" s="262">
        <v>1.9008653119072863E-2</v>
      </c>
      <c r="R155" s="92"/>
    </row>
    <row r="156" spans="1:18" x14ac:dyDescent="0.25">
      <c r="A156" s="326">
        <v>40927</v>
      </c>
      <c r="B156" s="326" t="s">
        <v>805</v>
      </c>
      <c r="C156" s="264" t="s">
        <v>414</v>
      </c>
      <c r="D156" s="157" t="s">
        <v>513</v>
      </c>
      <c r="E156" s="44">
        <f t="shared" si="10"/>
        <v>40927</v>
      </c>
      <c r="F156" s="146" t="str">
        <f t="shared" si="12"/>
        <v>2011-12</v>
      </c>
      <c r="G156" s="1"/>
      <c r="H156" s="161"/>
      <c r="I156" s="37"/>
      <c r="J156" s="135">
        <f t="shared" si="14"/>
        <v>0.9161881535038825</v>
      </c>
      <c r="K156" s="112"/>
      <c r="L156" s="37">
        <v>22.774354107200001</v>
      </c>
      <c r="M156" s="37" t="s">
        <v>509</v>
      </c>
      <c r="N156" s="37">
        <v>812.22926829268283</v>
      </c>
      <c r="O156" s="130">
        <f t="shared" si="13"/>
        <v>18497.996972329511</v>
      </c>
      <c r="P156" s="132">
        <f t="shared" si="11"/>
        <v>322.15191809853746</v>
      </c>
      <c r="Q156" s="262">
        <v>1.9008653119072863E-2</v>
      </c>
      <c r="R156" s="92"/>
    </row>
    <row r="157" spans="1:18" x14ac:dyDescent="0.25">
      <c r="A157" s="326">
        <v>40927</v>
      </c>
      <c r="B157" s="326" t="s">
        <v>805</v>
      </c>
      <c r="C157" s="264" t="s">
        <v>414</v>
      </c>
      <c r="D157" s="157" t="s">
        <v>513</v>
      </c>
      <c r="E157" s="44">
        <f t="shared" si="10"/>
        <v>40927</v>
      </c>
      <c r="F157" s="146" t="str">
        <f t="shared" si="12"/>
        <v>2011-12</v>
      </c>
      <c r="G157" s="1"/>
      <c r="H157" s="161"/>
      <c r="I157" s="37"/>
      <c r="J157" s="135">
        <f t="shared" si="14"/>
        <v>0.9161881535038825</v>
      </c>
      <c r="K157" s="112"/>
      <c r="L157" s="37">
        <v>19.603719749100001</v>
      </c>
      <c r="M157" s="37" t="s">
        <v>509</v>
      </c>
      <c r="N157" s="37">
        <v>812.22926829268283</v>
      </c>
      <c r="O157" s="130">
        <f t="shared" si="13"/>
        <v>15922.714947626309</v>
      </c>
      <c r="P157" s="132">
        <f t="shared" si="11"/>
        <v>277.30208678199881</v>
      </c>
      <c r="Q157" s="262">
        <v>1.9008653119072863E-2</v>
      </c>
      <c r="R157" s="92"/>
    </row>
    <row r="158" spans="1:18" x14ac:dyDescent="0.25">
      <c r="A158" s="326">
        <v>40927</v>
      </c>
      <c r="B158" s="326" t="s">
        <v>805</v>
      </c>
      <c r="C158" s="264" t="s">
        <v>414</v>
      </c>
      <c r="D158" s="157" t="s">
        <v>513</v>
      </c>
      <c r="E158" s="44">
        <f t="shared" si="10"/>
        <v>40927</v>
      </c>
      <c r="F158" s="146" t="str">
        <f t="shared" si="12"/>
        <v>2011-12</v>
      </c>
      <c r="G158" s="1"/>
      <c r="H158" s="161"/>
      <c r="I158" s="37"/>
      <c r="J158" s="135">
        <f t="shared" si="14"/>
        <v>0.9161881535038825</v>
      </c>
      <c r="K158" s="112"/>
      <c r="L158" s="37">
        <v>27.05301541</v>
      </c>
      <c r="M158" s="37" t="s">
        <v>509</v>
      </c>
      <c r="N158" s="37">
        <v>3336.4019512195118</v>
      </c>
      <c r="O158" s="130">
        <f t="shared" si="13"/>
        <v>90259.733400295518</v>
      </c>
      <c r="P158" s="132">
        <f t="shared" si="11"/>
        <v>1571.9186399188834</v>
      </c>
      <c r="Q158" s="262">
        <v>1.9008653119072863E-2</v>
      </c>
      <c r="R158" s="92"/>
    </row>
    <row r="159" spans="1:18" x14ac:dyDescent="0.25">
      <c r="A159" s="326">
        <v>40927</v>
      </c>
      <c r="B159" s="326" t="s">
        <v>805</v>
      </c>
      <c r="C159" s="264" t="s">
        <v>414</v>
      </c>
      <c r="D159" s="157" t="s">
        <v>513</v>
      </c>
      <c r="E159" s="44">
        <f t="shared" si="10"/>
        <v>40927</v>
      </c>
      <c r="F159" s="146" t="str">
        <f t="shared" si="12"/>
        <v>2011-12</v>
      </c>
      <c r="G159" s="1"/>
      <c r="H159" s="161"/>
      <c r="I159" s="37"/>
      <c r="J159" s="135">
        <f t="shared" si="14"/>
        <v>0.9161881535038825</v>
      </c>
      <c r="K159" s="112"/>
      <c r="L159" s="37">
        <v>19.321717961899999</v>
      </c>
      <c r="M159" s="37" t="s">
        <v>509</v>
      </c>
      <c r="N159" s="37">
        <v>812.22926829268283</v>
      </c>
      <c r="O159" s="130">
        <f t="shared" si="13"/>
        <v>15693.664842351624</v>
      </c>
      <c r="P159" s="132">
        <f t="shared" si="11"/>
        <v>273.31306403184431</v>
      </c>
      <c r="Q159" s="262">
        <v>1.9008653119072863E-2</v>
      </c>
      <c r="R159" s="92"/>
    </row>
    <row r="160" spans="1:18" x14ac:dyDescent="0.25">
      <c r="A160" s="326">
        <v>40927</v>
      </c>
      <c r="B160" s="326" t="s">
        <v>805</v>
      </c>
      <c r="C160" s="264" t="s">
        <v>414</v>
      </c>
      <c r="D160" s="157" t="s">
        <v>513</v>
      </c>
      <c r="E160" s="44">
        <f t="shared" si="10"/>
        <v>40927</v>
      </c>
      <c r="F160" s="146" t="str">
        <f t="shared" si="12"/>
        <v>2011-12</v>
      </c>
      <c r="G160" s="1"/>
      <c r="H160" s="161"/>
      <c r="I160" s="37"/>
      <c r="J160" s="135">
        <f t="shared" si="14"/>
        <v>0.9161881535038825</v>
      </c>
      <c r="K160" s="112"/>
      <c r="L160" s="37">
        <v>6.0093054507200003</v>
      </c>
      <c r="M160" s="37" t="s">
        <v>509</v>
      </c>
      <c r="N160" s="37">
        <v>812.22926829268283</v>
      </c>
      <c r="O160" s="130">
        <f t="shared" si="13"/>
        <v>4880.9337691855362</v>
      </c>
      <c r="P160" s="132">
        <f t="shared" si="11"/>
        <v>85.003915732451716</v>
      </c>
      <c r="Q160" s="262">
        <v>1.9008653119072863E-2</v>
      </c>
      <c r="R160" s="92"/>
    </row>
    <row r="161" spans="1:18" x14ac:dyDescent="0.25">
      <c r="A161" s="326">
        <v>40927</v>
      </c>
      <c r="B161" s="326" t="s">
        <v>805</v>
      </c>
      <c r="C161" s="264" t="s">
        <v>414</v>
      </c>
      <c r="D161" s="157" t="s">
        <v>513</v>
      </c>
      <c r="E161" s="44">
        <f t="shared" si="10"/>
        <v>40927</v>
      </c>
      <c r="F161" s="146" t="str">
        <f t="shared" si="12"/>
        <v>2011-12</v>
      </c>
      <c r="G161" s="1"/>
      <c r="H161" s="161"/>
      <c r="I161" s="37"/>
      <c r="J161" s="135">
        <f t="shared" si="14"/>
        <v>0.9161881535038825</v>
      </c>
      <c r="K161" s="112"/>
      <c r="L161" s="37">
        <v>16.611698799300001</v>
      </c>
      <c r="M161" s="37" t="s">
        <v>509</v>
      </c>
      <c r="N161" s="37">
        <v>812.22926829268283</v>
      </c>
      <c r="O161" s="130">
        <f t="shared" si="13"/>
        <v>13492.507960853878</v>
      </c>
      <c r="P161" s="132">
        <f t="shared" si="11"/>
        <v>234.9788101950088</v>
      </c>
      <c r="Q161" s="262">
        <v>1.9008653119072863E-2</v>
      </c>
      <c r="R161" s="92"/>
    </row>
    <row r="162" spans="1:18" x14ac:dyDescent="0.25">
      <c r="A162" s="326">
        <v>40927</v>
      </c>
      <c r="B162" s="326" t="s">
        <v>805</v>
      </c>
      <c r="C162" s="264" t="s">
        <v>414</v>
      </c>
      <c r="D162" s="157" t="s">
        <v>513</v>
      </c>
      <c r="E162" s="44">
        <f t="shared" si="10"/>
        <v>40927</v>
      </c>
      <c r="F162" s="146" t="str">
        <f t="shared" si="12"/>
        <v>2011-12</v>
      </c>
      <c r="G162" s="1"/>
      <c r="H162" s="161"/>
      <c r="I162" s="37"/>
      <c r="J162" s="135">
        <f t="shared" si="14"/>
        <v>0.9161881535038825</v>
      </c>
      <c r="K162" s="112"/>
      <c r="L162" s="37">
        <v>29.6783274826</v>
      </c>
      <c r="M162" s="37" t="s">
        <v>509</v>
      </c>
      <c r="N162" s="37">
        <v>812.22926829268283</v>
      </c>
      <c r="O162" s="130">
        <f t="shared" si="13"/>
        <v>24105.606215342817</v>
      </c>
      <c r="P162" s="132">
        <f t="shared" si="11"/>
        <v>419.81125258140639</v>
      </c>
      <c r="Q162" s="262">
        <v>1.9008653119072863E-2</v>
      </c>
      <c r="R162" s="92"/>
    </row>
    <row r="163" spans="1:18" x14ac:dyDescent="0.25">
      <c r="A163" s="326">
        <v>40927</v>
      </c>
      <c r="B163" s="326" t="s">
        <v>805</v>
      </c>
      <c r="C163" s="264" t="s">
        <v>414</v>
      </c>
      <c r="D163" s="157" t="s">
        <v>513</v>
      </c>
      <c r="E163" s="44">
        <f t="shared" si="10"/>
        <v>40927</v>
      </c>
      <c r="F163" s="146" t="str">
        <f t="shared" si="12"/>
        <v>2011-12</v>
      </c>
      <c r="G163" s="1"/>
      <c r="H163" s="161"/>
      <c r="I163" s="37"/>
      <c r="J163" s="135">
        <f t="shared" si="14"/>
        <v>0.9161881535038825</v>
      </c>
      <c r="K163" s="112"/>
      <c r="L163" s="37">
        <v>28.160027876400001</v>
      </c>
      <c r="M163" s="37" t="s">
        <v>509</v>
      </c>
      <c r="N163" s="37">
        <v>812.22926829268283</v>
      </c>
      <c r="O163" s="130">
        <f t="shared" si="13"/>
        <v>22872.398837149925</v>
      </c>
      <c r="P163" s="132">
        <f t="shared" si="11"/>
        <v>398.33432603133804</v>
      </c>
      <c r="Q163" s="262">
        <v>1.9008653119072863E-2</v>
      </c>
      <c r="R163" s="92"/>
    </row>
    <row r="164" spans="1:18" x14ac:dyDescent="0.25">
      <c r="A164" s="326">
        <v>40927</v>
      </c>
      <c r="B164" s="326" t="s">
        <v>805</v>
      </c>
      <c r="C164" s="264" t="s">
        <v>414</v>
      </c>
      <c r="D164" s="157" t="s">
        <v>513</v>
      </c>
      <c r="E164" s="44">
        <f t="shared" si="10"/>
        <v>40927</v>
      </c>
      <c r="F164" s="146" t="str">
        <f t="shared" si="12"/>
        <v>2011-12</v>
      </c>
      <c r="G164" s="1"/>
      <c r="H164" s="161"/>
      <c r="I164" s="37"/>
      <c r="J164" s="135">
        <f t="shared" si="14"/>
        <v>0.9161881535038825</v>
      </c>
      <c r="K164" s="112"/>
      <c r="L164" s="37">
        <v>34.277127637200003</v>
      </c>
      <c r="M164" s="37" t="s">
        <v>509</v>
      </c>
      <c r="N164" s="37">
        <v>3336.4019512195118</v>
      </c>
      <c r="O164" s="130">
        <f t="shared" si="13"/>
        <v>114362.27553095434</v>
      </c>
      <c r="P164" s="132">
        <f t="shared" si="11"/>
        <v>1991.6765299248912</v>
      </c>
      <c r="Q164" s="262">
        <v>1.9008653119072863E-2</v>
      </c>
      <c r="R164" s="92"/>
    </row>
    <row r="165" spans="1:18" x14ac:dyDescent="0.25">
      <c r="A165" s="326">
        <v>40927</v>
      </c>
      <c r="B165" s="326" t="s">
        <v>805</v>
      </c>
      <c r="C165" s="264" t="s">
        <v>414</v>
      </c>
      <c r="D165" s="157" t="s">
        <v>513</v>
      </c>
      <c r="E165" s="44">
        <f t="shared" si="10"/>
        <v>40927</v>
      </c>
      <c r="F165" s="146" t="str">
        <f t="shared" si="12"/>
        <v>2011-12</v>
      </c>
      <c r="G165" s="1"/>
      <c r="H165" s="161"/>
      <c r="I165" s="37"/>
      <c r="J165" s="135">
        <f t="shared" si="14"/>
        <v>0.9161881535038825</v>
      </c>
      <c r="K165" s="112"/>
      <c r="L165" s="37">
        <v>33.377114575999997</v>
      </c>
      <c r="M165" s="37" t="s">
        <v>509</v>
      </c>
      <c r="N165" s="37">
        <v>812.22926829268283</v>
      </c>
      <c r="O165" s="130">
        <f t="shared" si="13"/>
        <v>27109.869349785517</v>
      </c>
      <c r="P165" s="132">
        <f t="shared" si="11"/>
        <v>472.13200561651507</v>
      </c>
      <c r="Q165" s="262">
        <v>1.9008653119072863E-2</v>
      </c>
      <c r="R165" s="92"/>
    </row>
    <row r="166" spans="1:18" x14ac:dyDescent="0.25">
      <c r="A166" s="326">
        <v>40927</v>
      </c>
      <c r="B166" s="326" t="s">
        <v>805</v>
      </c>
      <c r="C166" s="264" t="s">
        <v>414</v>
      </c>
      <c r="D166" s="157" t="s">
        <v>513</v>
      </c>
      <c r="E166" s="44">
        <f t="shared" si="10"/>
        <v>40927</v>
      </c>
      <c r="F166" s="146" t="str">
        <f t="shared" si="12"/>
        <v>2011-12</v>
      </c>
      <c r="G166" s="1"/>
      <c r="H166" s="161"/>
      <c r="I166" s="37"/>
      <c r="J166" s="135">
        <f t="shared" si="14"/>
        <v>0.9161881535038825</v>
      </c>
      <c r="K166" s="112"/>
      <c r="L166" s="37">
        <v>4.3810400591600001</v>
      </c>
      <c r="M166" s="37" t="s">
        <v>509</v>
      </c>
      <c r="N166" s="37">
        <v>812.22926829268283</v>
      </c>
      <c r="O166" s="130">
        <f t="shared" si="13"/>
        <v>3558.4089616124588</v>
      </c>
      <c r="P166" s="132">
        <f t="shared" si="11"/>
        <v>61.971481240766764</v>
      </c>
      <c r="Q166" s="262">
        <v>1.9008653119072863E-2</v>
      </c>
      <c r="R166" s="92"/>
    </row>
    <row r="167" spans="1:18" x14ac:dyDescent="0.25">
      <c r="A167" s="326">
        <v>40927</v>
      </c>
      <c r="B167" s="326" t="s">
        <v>805</v>
      </c>
      <c r="C167" s="264" t="s">
        <v>414</v>
      </c>
      <c r="D167" s="157" t="s">
        <v>513</v>
      </c>
      <c r="E167" s="44">
        <f t="shared" si="10"/>
        <v>40927</v>
      </c>
      <c r="F167" s="146" t="str">
        <f t="shared" si="12"/>
        <v>2011-12</v>
      </c>
      <c r="G167" s="1"/>
      <c r="H167" s="161"/>
      <c r="I167" s="37"/>
      <c r="J167" s="135">
        <f t="shared" si="14"/>
        <v>0.9161881535038825</v>
      </c>
      <c r="K167" s="112"/>
      <c r="L167" s="37">
        <v>14.310497720200001</v>
      </c>
      <c r="M167" s="37" t="s">
        <v>509</v>
      </c>
      <c r="N167" s="37">
        <v>812.22926829268283</v>
      </c>
      <c r="O167" s="130">
        <f t="shared" si="13"/>
        <v>11623.405092182153</v>
      </c>
      <c r="P167" s="132">
        <f t="shared" si="11"/>
        <v>202.42744394888021</v>
      </c>
      <c r="Q167" s="262">
        <v>1.9008653119072863E-2</v>
      </c>
      <c r="R167" s="92"/>
    </row>
    <row r="168" spans="1:18" x14ac:dyDescent="0.25">
      <c r="A168" s="326">
        <v>40927</v>
      </c>
      <c r="B168" s="326" t="s">
        <v>805</v>
      </c>
      <c r="C168" s="264" t="s">
        <v>414</v>
      </c>
      <c r="D168" s="157" t="s">
        <v>513</v>
      </c>
      <c r="E168" s="44">
        <f t="shared" si="10"/>
        <v>40927</v>
      </c>
      <c r="F168" s="146" t="str">
        <f t="shared" si="12"/>
        <v>2011-12</v>
      </c>
      <c r="G168" s="1"/>
      <c r="H168" s="161"/>
      <c r="I168" s="37"/>
      <c r="J168" s="135">
        <f t="shared" si="14"/>
        <v>0.9161881535038825</v>
      </c>
      <c r="K168" s="112"/>
      <c r="L168" s="37">
        <v>20.310954901199999</v>
      </c>
      <c r="M168" s="37" t="s">
        <v>509</v>
      </c>
      <c r="N168" s="37">
        <v>812.22926829268283</v>
      </c>
      <c r="O168" s="130">
        <f t="shared" si="13"/>
        <v>16497.152037727355</v>
      </c>
      <c r="P168" s="132">
        <f t="shared" si="11"/>
        <v>287.30619753408797</v>
      </c>
      <c r="Q168" s="262">
        <v>1.9008653119072863E-2</v>
      </c>
      <c r="R168" s="92"/>
    </row>
    <row r="169" spans="1:18" x14ac:dyDescent="0.25">
      <c r="A169" s="326">
        <v>40927</v>
      </c>
      <c r="B169" s="326" t="s">
        <v>805</v>
      </c>
      <c r="C169" s="264" t="s">
        <v>414</v>
      </c>
      <c r="D169" s="157" t="s">
        <v>513</v>
      </c>
      <c r="E169" s="44">
        <f t="shared" si="10"/>
        <v>40927</v>
      </c>
      <c r="F169" s="146" t="str">
        <f t="shared" si="12"/>
        <v>2011-12</v>
      </c>
      <c r="G169" s="1"/>
      <c r="H169" s="161"/>
      <c r="I169" s="37"/>
      <c r="J169" s="135">
        <f t="shared" si="14"/>
        <v>0.9161881535038825</v>
      </c>
      <c r="K169" s="112"/>
      <c r="L169" s="37">
        <v>14.495388266599999</v>
      </c>
      <c r="M169" s="37" t="s">
        <v>509</v>
      </c>
      <c r="N169" s="37">
        <v>812.22926829268283</v>
      </c>
      <c r="O169" s="130">
        <f t="shared" si="13"/>
        <v>11773.578605398858</v>
      </c>
      <c r="P169" s="132">
        <f t="shared" si="11"/>
        <v>205.04279118905581</v>
      </c>
      <c r="Q169" s="262">
        <v>1.9008653119072863E-2</v>
      </c>
      <c r="R169" s="92"/>
    </row>
    <row r="170" spans="1:18" x14ac:dyDescent="0.25">
      <c r="A170" s="326">
        <v>40927</v>
      </c>
      <c r="B170" s="326" t="s">
        <v>805</v>
      </c>
      <c r="C170" s="264" t="s">
        <v>414</v>
      </c>
      <c r="D170" s="157" t="s">
        <v>513</v>
      </c>
      <c r="E170" s="44">
        <f t="shared" si="10"/>
        <v>40927</v>
      </c>
      <c r="F170" s="146" t="str">
        <f t="shared" si="12"/>
        <v>2011-12</v>
      </c>
      <c r="G170" s="1"/>
      <c r="H170" s="161"/>
      <c r="I170" s="37"/>
      <c r="J170" s="135">
        <f t="shared" si="14"/>
        <v>0.9161881535038825</v>
      </c>
      <c r="K170" s="112"/>
      <c r="L170" s="37">
        <v>54.118141749300001</v>
      </c>
      <c r="M170" s="37" t="s">
        <v>509</v>
      </c>
      <c r="N170" s="37">
        <v>3875.3912195121943</v>
      </c>
      <c r="O170" s="130">
        <f t="shared" si="13"/>
        <v>209728.97135155354</v>
      </c>
      <c r="P170" s="132">
        <f t="shared" si="11"/>
        <v>3652.5354881830522</v>
      </c>
      <c r="Q170" s="262">
        <v>1.9008653119072863E-2</v>
      </c>
      <c r="R170" s="92"/>
    </row>
    <row r="171" spans="1:18" x14ac:dyDescent="0.25">
      <c r="A171" s="326">
        <v>40927</v>
      </c>
      <c r="B171" s="326" t="s">
        <v>805</v>
      </c>
      <c r="C171" s="264" t="s">
        <v>414</v>
      </c>
      <c r="D171" s="157" t="s">
        <v>513</v>
      </c>
      <c r="E171" s="44">
        <f t="shared" si="10"/>
        <v>40927</v>
      </c>
      <c r="F171" s="146" t="str">
        <f t="shared" si="12"/>
        <v>2011-12</v>
      </c>
      <c r="G171" s="1"/>
      <c r="H171" s="161"/>
      <c r="I171" s="37"/>
      <c r="J171" s="135">
        <f t="shared" si="14"/>
        <v>0.9161881535038825</v>
      </c>
      <c r="K171" s="112"/>
      <c r="L171" s="37">
        <v>55.818109764500001</v>
      </c>
      <c r="M171" s="37" t="s">
        <v>509</v>
      </c>
      <c r="N171" s="37">
        <v>3875.3912195121943</v>
      </c>
      <c r="O171" s="130">
        <f t="shared" si="13"/>
        <v>216317.01247111117</v>
      </c>
      <c r="P171" s="132">
        <f t="shared" si="11"/>
        <v>3767.2695367588126</v>
      </c>
      <c r="Q171" s="262">
        <v>1.9008653119072863E-2</v>
      </c>
      <c r="R171" s="92"/>
    </row>
    <row r="172" spans="1:18" x14ac:dyDescent="0.25">
      <c r="A172" s="326">
        <v>40927</v>
      </c>
      <c r="B172" s="326" t="s">
        <v>805</v>
      </c>
      <c r="C172" s="264" t="s">
        <v>414</v>
      </c>
      <c r="D172" s="157" t="s">
        <v>513</v>
      </c>
      <c r="E172" s="44">
        <f t="shared" si="10"/>
        <v>40927</v>
      </c>
      <c r="F172" s="146" t="str">
        <f t="shared" si="12"/>
        <v>2011-12</v>
      </c>
      <c r="G172" s="1"/>
      <c r="H172" s="161"/>
      <c r="I172" s="37"/>
      <c r="J172" s="135">
        <f t="shared" si="14"/>
        <v>0.9161881535038825</v>
      </c>
      <c r="K172" s="112"/>
      <c r="L172" s="37">
        <v>27.742258680399999</v>
      </c>
      <c r="M172" s="37" t="s">
        <v>509</v>
      </c>
      <c r="N172" s="37">
        <v>3592.3639024390236</v>
      </c>
      <c r="O172" s="130">
        <f t="shared" si="13"/>
        <v>99660.288655594617</v>
      </c>
      <c r="P172" s="132">
        <f t="shared" si="11"/>
        <v>1735.634036305637</v>
      </c>
      <c r="Q172" s="262">
        <v>1.9008653119072863E-2</v>
      </c>
      <c r="R172" s="92"/>
    </row>
    <row r="173" spans="1:18" x14ac:dyDescent="0.25">
      <c r="A173" s="326">
        <v>40927</v>
      </c>
      <c r="B173" s="326" t="s">
        <v>805</v>
      </c>
      <c r="C173" s="264" t="s">
        <v>414</v>
      </c>
      <c r="D173" s="157" t="s">
        <v>513</v>
      </c>
      <c r="E173" s="44">
        <f t="shared" si="10"/>
        <v>40927</v>
      </c>
      <c r="F173" s="146" t="str">
        <f t="shared" si="12"/>
        <v>2011-12</v>
      </c>
      <c r="G173" s="1"/>
      <c r="H173" s="161"/>
      <c r="I173" s="37"/>
      <c r="J173" s="135">
        <f t="shared" si="14"/>
        <v>0.9161881535038825</v>
      </c>
      <c r="K173" s="112"/>
      <c r="L173" s="37">
        <v>45.049930910500002</v>
      </c>
      <c r="M173" s="37" t="s">
        <v>509</v>
      </c>
      <c r="N173" s="37">
        <v>3592.3639024390236</v>
      </c>
      <c r="O173" s="130">
        <f t="shared" si="13"/>
        <v>161835.7456102522</v>
      </c>
      <c r="P173" s="132">
        <f t="shared" si="11"/>
        <v>2818.4508811001333</v>
      </c>
      <c r="Q173" s="262">
        <v>1.9008653119072863E-2</v>
      </c>
      <c r="R173" s="92"/>
    </row>
    <row r="174" spans="1:18" x14ac:dyDescent="0.25">
      <c r="A174" s="326">
        <v>40927</v>
      </c>
      <c r="B174" s="326" t="s">
        <v>805</v>
      </c>
      <c r="C174" s="264" t="s">
        <v>414</v>
      </c>
      <c r="D174" s="157" t="s">
        <v>513</v>
      </c>
      <c r="E174" s="44">
        <f t="shared" si="10"/>
        <v>40927</v>
      </c>
      <c r="F174" s="146" t="str">
        <f t="shared" si="12"/>
        <v>2011-12</v>
      </c>
      <c r="G174" s="1"/>
      <c r="H174" s="161"/>
      <c r="I174" s="37"/>
      <c r="J174" s="135">
        <f t="shared" si="14"/>
        <v>0.9161881535038825</v>
      </c>
      <c r="K174" s="112"/>
      <c r="L174" s="37">
        <v>55.659611389200002</v>
      </c>
      <c r="M174" s="37" t="s">
        <v>509</v>
      </c>
      <c r="N174" s="37">
        <v>1162.6195121951216</v>
      </c>
      <c r="O174" s="130">
        <f t="shared" si="13"/>
        <v>64710.950242281739</v>
      </c>
      <c r="P174" s="132">
        <f t="shared" si="11"/>
        <v>1126.9737352489567</v>
      </c>
      <c r="Q174" s="262">
        <v>1.9008653119072863E-2</v>
      </c>
      <c r="R174" s="92"/>
    </row>
    <row r="175" spans="1:18" x14ac:dyDescent="0.25">
      <c r="A175" s="326">
        <v>40927</v>
      </c>
      <c r="B175" s="326" t="s">
        <v>805</v>
      </c>
      <c r="C175" s="264" t="s">
        <v>414</v>
      </c>
      <c r="D175" s="157" t="s">
        <v>513</v>
      </c>
      <c r="E175" s="44">
        <f t="shared" si="10"/>
        <v>40927</v>
      </c>
      <c r="F175" s="146" t="str">
        <f t="shared" si="12"/>
        <v>2011-12</v>
      </c>
      <c r="G175" s="1"/>
      <c r="H175" s="161"/>
      <c r="I175" s="37"/>
      <c r="J175" s="135">
        <f t="shared" si="14"/>
        <v>0.9161881535038825</v>
      </c>
      <c r="K175" s="112"/>
      <c r="L175" s="37">
        <v>38.5656587207</v>
      </c>
      <c r="M175" s="37" t="s">
        <v>509</v>
      </c>
      <c r="N175" s="37">
        <v>812.22926829268283</v>
      </c>
      <c r="O175" s="130">
        <f t="shared" si="13"/>
        <v>31324.156763939485</v>
      </c>
      <c r="P175" s="132">
        <f t="shared" si="11"/>
        <v>545.52593988513195</v>
      </c>
      <c r="Q175" s="262">
        <v>1.9008653119072863E-2</v>
      </c>
      <c r="R175" s="92"/>
    </row>
    <row r="176" spans="1:18" x14ac:dyDescent="0.25">
      <c r="A176" s="326">
        <v>40927</v>
      </c>
      <c r="B176" s="326" t="s">
        <v>805</v>
      </c>
      <c r="C176" s="264" t="s">
        <v>414</v>
      </c>
      <c r="D176" s="157" t="s">
        <v>513</v>
      </c>
      <c r="E176" s="44">
        <f t="shared" si="10"/>
        <v>40927</v>
      </c>
      <c r="F176" s="146" t="str">
        <f t="shared" si="12"/>
        <v>2011-12</v>
      </c>
      <c r="G176" s="1"/>
      <c r="H176" s="161"/>
      <c r="I176" s="37"/>
      <c r="J176" s="135">
        <f t="shared" si="14"/>
        <v>0.9161881535038825</v>
      </c>
      <c r="K176" s="112"/>
      <c r="L176" s="37">
        <v>15.952057077399999</v>
      </c>
      <c r="M176" s="37" t="s">
        <v>509</v>
      </c>
      <c r="N176" s="37">
        <v>812.22926829268283</v>
      </c>
      <c r="O176" s="130">
        <f t="shared" si="13"/>
        <v>12956.727647739714</v>
      </c>
      <c r="P176" s="132">
        <f t="shared" si="11"/>
        <v>225.64792665084164</v>
      </c>
      <c r="Q176" s="262">
        <v>1.9008653119072863E-2</v>
      </c>
      <c r="R176" s="92"/>
    </row>
    <row r="177" spans="1:18" x14ac:dyDescent="0.25">
      <c r="A177" s="326">
        <v>40927</v>
      </c>
      <c r="B177" s="326" t="s">
        <v>805</v>
      </c>
      <c r="C177" s="264" t="s">
        <v>414</v>
      </c>
      <c r="D177" s="157" t="s">
        <v>513</v>
      </c>
      <c r="E177" s="44">
        <f t="shared" si="10"/>
        <v>40927</v>
      </c>
      <c r="F177" s="146" t="str">
        <f t="shared" si="12"/>
        <v>2011-12</v>
      </c>
      <c r="G177" s="1"/>
      <c r="H177" s="161"/>
      <c r="I177" s="37"/>
      <c r="J177" s="135">
        <f t="shared" si="14"/>
        <v>0.9161881535038825</v>
      </c>
      <c r="K177" s="112"/>
      <c r="L177" s="37">
        <v>12.501268935600001</v>
      </c>
      <c r="M177" s="37" t="s">
        <v>509</v>
      </c>
      <c r="N177" s="37">
        <v>812.22926829268283</v>
      </c>
      <c r="O177" s="130">
        <f t="shared" si="13"/>
        <v>10153.896520292434</v>
      </c>
      <c r="P177" s="132">
        <f t="shared" si="11"/>
        <v>176.83521329792572</v>
      </c>
      <c r="Q177" s="262">
        <v>1.9008653119072863E-2</v>
      </c>
      <c r="R177" s="92"/>
    </row>
    <row r="178" spans="1:18" x14ac:dyDescent="0.25">
      <c r="A178" s="326">
        <v>40927</v>
      </c>
      <c r="B178" s="326" t="s">
        <v>805</v>
      </c>
      <c r="C178" s="264" t="s">
        <v>414</v>
      </c>
      <c r="D178" s="157" t="s">
        <v>513</v>
      </c>
      <c r="E178" s="44">
        <f t="shared" si="10"/>
        <v>40927</v>
      </c>
      <c r="F178" s="146" t="str">
        <f t="shared" si="12"/>
        <v>2011-12</v>
      </c>
      <c r="G178" s="1"/>
      <c r="H178" s="161"/>
      <c r="I178" s="37"/>
      <c r="J178" s="135">
        <f t="shared" si="14"/>
        <v>0.9161881535038825</v>
      </c>
      <c r="K178" s="112"/>
      <c r="L178" s="37">
        <v>5.4589218715800003</v>
      </c>
      <c r="M178" s="37" t="s">
        <v>509</v>
      </c>
      <c r="N178" s="37">
        <v>812.22926829268283</v>
      </c>
      <c r="O178" s="130">
        <f t="shared" si="13"/>
        <v>4433.8961174203459</v>
      </c>
      <c r="P178" s="132">
        <f t="shared" si="11"/>
        <v>77.218530255643202</v>
      </c>
      <c r="Q178" s="262">
        <v>1.9008653119072863E-2</v>
      </c>
      <c r="R178" s="92"/>
    </row>
    <row r="179" spans="1:18" x14ac:dyDescent="0.25">
      <c r="A179" s="326">
        <v>40927</v>
      </c>
      <c r="B179" s="326" t="s">
        <v>805</v>
      </c>
      <c r="C179" s="264" t="s">
        <v>414</v>
      </c>
      <c r="D179" s="157" t="s">
        <v>513</v>
      </c>
      <c r="E179" s="44">
        <f t="shared" si="10"/>
        <v>40927</v>
      </c>
      <c r="F179" s="146" t="str">
        <f t="shared" si="12"/>
        <v>2011-12</v>
      </c>
      <c r="G179" s="1"/>
      <c r="H179" s="161"/>
      <c r="I179" s="37"/>
      <c r="J179" s="135">
        <f t="shared" si="14"/>
        <v>0.9161881535038825</v>
      </c>
      <c r="K179" s="112"/>
      <c r="L179" s="37">
        <v>24.172714059499999</v>
      </c>
      <c r="M179" s="37" t="s">
        <v>509</v>
      </c>
      <c r="N179" s="37">
        <v>812.22926829268283</v>
      </c>
      <c r="O179" s="130">
        <f t="shared" si="13"/>
        <v>19633.785853195932</v>
      </c>
      <c r="P179" s="132">
        <f t="shared" si="11"/>
        <v>341.93225253547354</v>
      </c>
      <c r="Q179" s="262">
        <v>1.9008653119072863E-2</v>
      </c>
      <c r="R179" s="92"/>
    </row>
    <row r="180" spans="1:18" x14ac:dyDescent="0.25">
      <c r="A180" s="326">
        <v>40927</v>
      </c>
      <c r="B180" s="326" t="s">
        <v>805</v>
      </c>
      <c r="C180" s="264" t="s">
        <v>414</v>
      </c>
      <c r="D180" s="157" t="s">
        <v>513</v>
      </c>
      <c r="E180" s="44">
        <f t="shared" si="10"/>
        <v>40927</v>
      </c>
      <c r="F180" s="146" t="str">
        <f t="shared" si="12"/>
        <v>2011-12</v>
      </c>
      <c r="G180" s="1"/>
      <c r="H180" s="161"/>
      <c r="I180" s="37"/>
      <c r="J180" s="135">
        <f t="shared" si="14"/>
        <v>0.9161881535038825</v>
      </c>
      <c r="K180" s="112"/>
      <c r="L180" s="37">
        <v>32.142627790100001</v>
      </c>
      <c r="M180" s="37" t="s">
        <v>509</v>
      </c>
      <c r="N180" s="37">
        <v>812.22926829268283</v>
      </c>
      <c r="O180" s="130">
        <f t="shared" si="13"/>
        <v>26107.183050956977</v>
      </c>
      <c r="P180" s="132">
        <f t="shared" si="11"/>
        <v>454.66971956998111</v>
      </c>
      <c r="Q180" s="262">
        <v>1.9008653119072863E-2</v>
      </c>
      <c r="R180" s="92"/>
    </row>
    <row r="181" spans="1:18" x14ac:dyDescent="0.25">
      <c r="A181" s="326">
        <v>40927</v>
      </c>
      <c r="B181" s="326" t="s">
        <v>805</v>
      </c>
      <c r="C181" s="264" t="s">
        <v>414</v>
      </c>
      <c r="D181" s="157" t="s">
        <v>513</v>
      </c>
      <c r="E181" s="44">
        <f t="shared" si="10"/>
        <v>40927</v>
      </c>
      <c r="F181" s="146" t="str">
        <f t="shared" si="12"/>
        <v>2011-12</v>
      </c>
      <c r="G181" s="1"/>
      <c r="H181" s="161"/>
      <c r="I181" s="37"/>
      <c r="J181" s="135">
        <f t="shared" si="14"/>
        <v>0.9161881535038825</v>
      </c>
      <c r="K181" s="112"/>
      <c r="L181" s="37">
        <v>15.3388667769</v>
      </c>
      <c r="M181" s="37" t="s">
        <v>509</v>
      </c>
      <c r="N181" s="37">
        <v>812.22926829268283</v>
      </c>
      <c r="O181" s="130">
        <f t="shared" si="13"/>
        <v>12458.676538640429</v>
      </c>
      <c r="P181" s="132">
        <f t="shared" si="11"/>
        <v>216.97411616490379</v>
      </c>
      <c r="Q181" s="262">
        <v>1.9008653119072863E-2</v>
      </c>
      <c r="R181" s="92"/>
    </row>
    <row r="182" spans="1:18" x14ac:dyDescent="0.25">
      <c r="A182" s="326">
        <v>40927</v>
      </c>
      <c r="B182" s="326" t="s">
        <v>805</v>
      </c>
      <c r="C182" s="264" t="s">
        <v>414</v>
      </c>
      <c r="D182" s="157" t="s">
        <v>513</v>
      </c>
      <c r="E182" s="44">
        <f t="shared" ref="E182:E245" si="15">A182</f>
        <v>40927</v>
      </c>
      <c r="F182" s="146" t="str">
        <f t="shared" si="12"/>
        <v>2011-12</v>
      </c>
      <c r="G182" s="1"/>
      <c r="H182" s="161"/>
      <c r="I182" s="37"/>
      <c r="J182" s="135">
        <f t="shared" si="14"/>
        <v>0.9161881535038825</v>
      </c>
      <c r="K182" s="112"/>
      <c r="L182" s="37">
        <v>28.0047382787</v>
      </c>
      <c r="M182" s="37" t="s">
        <v>509</v>
      </c>
      <c r="N182" s="37">
        <v>3336.4019512195118</v>
      </c>
      <c r="O182" s="130">
        <f t="shared" si="13"/>
        <v>93435.063436446435</v>
      </c>
      <c r="P182" s="132">
        <f t="shared" si="11"/>
        <v>1627.2186090599801</v>
      </c>
      <c r="Q182" s="262">
        <v>1.9008653119072863E-2</v>
      </c>
      <c r="R182" s="92"/>
    </row>
    <row r="183" spans="1:18" x14ac:dyDescent="0.25">
      <c r="A183" s="326">
        <v>40927</v>
      </c>
      <c r="B183" s="326" t="s">
        <v>805</v>
      </c>
      <c r="C183" s="264" t="s">
        <v>414</v>
      </c>
      <c r="D183" s="157" t="s">
        <v>513</v>
      </c>
      <c r="E183" s="44">
        <f t="shared" si="15"/>
        <v>40927</v>
      </c>
      <c r="F183" s="146" t="str">
        <f t="shared" si="12"/>
        <v>2011-12</v>
      </c>
      <c r="G183" s="1"/>
      <c r="H183" s="161"/>
      <c r="I183" s="37"/>
      <c r="J183" s="135">
        <f t="shared" si="14"/>
        <v>0.9161881535038825</v>
      </c>
      <c r="K183" s="112"/>
      <c r="L183" s="37">
        <v>14.588660883599999</v>
      </c>
      <c r="M183" s="37" t="s">
        <v>509</v>
      </c>
      <c r="N183" s="37">
        <v>812.22926829268283</v>
      </c>
      <c r="O183" s="130">
        <f t="shared" si="13"/>
        <v>11849.337354856511</v>
      </c>
      <c r="P183" s="132">
        <f t="shared" si="11"/>
        <v>206.36216790249333</v>
      </c>
      <c r="Q183" s="262">
        <v>1.9008653119072863E-2</v>
      </c>
      <c r="R183" s="92"/>
    </row>
    <row r="184" spans="1:18" x14ac:dyDescent="0.25">
      <c r="A184" s="326">
        <v>40927</v>
      </c>
      <c r="B184" s="326" t="s">
        <v>805</v>
      </c>
      <c r="C184" s="264" t="s">
        <v>414</v>
      </c>
      <c r="D184" s="157" t="s">
        <v>513</v>
      </c>
      <c r="E184" s="44">
        <f t="shared" si="15"/>
        <v>40927</v>
      </c>
      <c r="F184" s="146" t="str">
        <f t="shared" si="12"/>
        <v>2011-12</v>
      </c>
      <c r="G184" s="1"/>
      <c r="H184" s="161"/>
      <c r="I184" s="37"/>
      <c r="J184" s="135">
        <f t="shared" si="14"/>
        <v>0.9161881535038825</v>
      </c>
      <c r="K184" s="112"/>
      <c r="L184" s="37">
        <v>15.3251742241</v>
      </c>
      <c r="M184" s="37" t="s">
        <v>509</v>
      </c>
      <c r="N184" s="37">
        <v>812.22926829268283</v>
      </c>
      <c r="O184" s="130">
        <f t="shared" si="13"/>
        <v>12447.555046498626</v>
      </c>
      <c r="P184" s="132">
        <f t="shared" si="11"/>
        <v>216.78042978734851</v>
      </c>
      <c r="Q184" s="262">
        <v>1.9008653119072863E-2</v>
      </c>
      <c r="R184" s="92"/>
    </row>
    <row r="185" spans="1:18" x14ac:dyDescent="0.25">
      <c r="A185" s="326">
        <v>40927</v>
      </c>
      <c r="B185" s="326" t="s">
        <v>805</v>
      </c>
      <c r="C185" s="264" t="s">
        <v>414</v>
      </c>
      <c r="D185" s="157" t="s">
        <v>513</v>
      </c>
      <c r="E185" s="44">
        <f t="shared" si="15"/>
        <v>40927</v>
      </c>
      <c r="F185" s="146" t="str">
        <f t="shared" si="12"/>
        <v>2011-12</v>
      </c>
      <c r="G185" s="1"/>
      <c r="H185" s="161"/>
      <c r="I185" s="37"/>
      <c r="J185" s="135">
        <f t="shared" si="14"/>
        <v>0.9161881535038825</v>
      </c>
      <c r="K185" s="112"/>
      <c r="L185" s="37">
        <v>21.278475559</v>
      </c>
      <c r="M185" s="37" t="s">
        <v>509</v>
      </c>
      <c r="N185" s="37">
        <v>3336.4019512195118</v>
      </c>
      <c r="O185" s="130">
        <f t="shared" si="13"/>
        <v>70993.547374024289</v>
      </c>
      <c r="P185" s="132">
        <f t="shared" si="11"/>
        <v>1236.3883231991433</v>
      </c>
      <c r="Q185" s="262">
        <v>1.9008653119072863E-2</v>
      </c>
      <c r="R185" s="92"/>
    </row>
    <row r="186" spans="1:18" x14ac:dyDescent="0.25">
      <c r="A186" s="326">
        <v>40927</v>
      </c>
      <c r="B186" s="326" t="s">
        <v>805</v>
      </c>
      <c r="C186" s="264" t="s">
        <v>414</v>
      </c>
      <c r="D186" s="157" t="s">
        <v>513</v>
      </c>
      <c r="E186" s="44">
        <f t="shared" si="15"/>
        <v>40927</v>
      </c>
      <c r="F186" s="146" t="str">
        <f t="shared" si="12"/>
        <v>2011-12</v>
      </c>
      <c r="G186" s="1"/>
      <c r="H186" s="161"/>
      <c r="I186" s="37"/>
      <c r="J186" s="135">
        <f t="shared" si="14"/>
        <v>0.9161881535038825</v>
      </c>
      <c r="K186" s="112"/>
      <c r="L186" s="37">
        <v>3.3157824114399999</v>
      </c>
      <c r="M186" s="37" t="s">
        <v>509</v>
      </c>
      <c r="N186" s="37">
        <v>812.22926829268283</v>
      </c>
      <c r="O186" s="130">
        <f t="shared" si="13"/>
        <v>2693.1755218616586</v>
      </c>
      <c r="P186" s="132">
        <f t="shared" si="11"/>
        <v>46.903005846610967</v>
      </c>
      <c r="Q186" s="262">
        <v>1.9008653119072863E-2</v>
      </c>
      <c r="R186" s="92"/>
    </row>
    <row r="187" spans="1:18" x14ac:dyDescent="0.25">
      <c r="A187" s="326">
        <v>40927</v>
      </c>
      <c r="B187" s="326" t="s">
        <v>805</v>
      </c>
      <c r="C187" s="264" t="s">
        <v>414</v>
      </c>
      <c r="D187" s="157" t="s">
        <v>513</v>
      </c>
      <c r="E187" s="44">
        <f t="shared" si="15"/>
        <v>40927</v>
      </c>
      <c r="F187" s="146" t="str">
        <f t="shared" si="12"/>
        <v>2011-12</v>
      </c>
      <c r="G187" s="1"/>
      <c r="H187" s="161"/>
      <c r="I187" s="37"/>
      <c r="J187" s="135">
        <f t="shared" si="14"/>
        <v>0.9161881535038825</v>
      </c>
      <c r="K187" s="112"/>
      <c r="L187" s="37">
        <v>26.406788994500001</v>
      </c>
      <c r="M187" s="37" t="s">
        <v>509</v>
      </c>
      <c r="N187" s="37">
        <v>950.87219512195099</v>
      </c>
      <c r="O187" s="130">
        <f t="shared" si="13"/>
        <v>25109.481417322393</v>
      </c>
      <c r="P187" s="132">
        <f t="shared" si="11"/>
        <v>437.29424397409826</v>
      </c>
      <c r="Q187" s="262">
        <v>1.9008653119072863E-2</v>
      </c>
      <c r="R187" s="92"/>
    </row>
    <row r="188" spans="1:18" x14ac:dyDescent="0.25">
      <c r="A188" s="326">
        <v>40927</v>
      </c>
      <c r="B188" s="326" t="s">
        <v>805</v>
      </c>
      <c r="C188" s="264" t="s">
        <v>414</v>
      </c>
      <c r="D188" s="157" t="s">
        <v>513</v>
      </c>
      <c r="E188" s="44">
        <f t="shared" si="15"/>
        <v>40927</v>
      </c>
      <c r="F188" s="146" t="str">
        <f t="shared" si="12"/>
        <v>2011-12</v>
      </c>
      <c r="G188" s="1"/>
      <c r="H188" s="161"/>
      <c r="I188" s="37"/>
      <c r="J188" s="135">
        <f t="shared" si="14"/>
        <v>0.9161881535038825</v>
      </c>
      <c r="K188" s="112"/>
      <c r="L188" s="37">
        <v>13.621071066500001</v>
      </c>
      <c r="M188" s="37" t="s">
        <v>509</v>
      </c>
      <c r="N188" s="37">
        <v>950.87219512195099</v>
      </c>
      <c r="O188" s="130">
        <f t="shared" si="13"/>
        <v>12951.89774491495</v>
      </c>
      <c r="P188" s="132">
        <f t="shared" si="11"/>
        <v>225.56381146466475</v>
      </c>
      <c r="Q188" s="262">
        <v>1.9008653119072863E-2</v>
      </c>
      <c r="R188" s="92"/>
    </row>
    <row r="189" spans="1:18" x14ac:dyDescent="0.25">
      <c r="A189" s="326">
        <v>40927</v>
      </c>
      <c r="B189" s="326" t="s">
        <v>805</v>
      </c>
      <c r="C189" s="264" t="s">
        <v>414</v>
      </c>
      <c r="D189" s="157" t="s">
        <v>513</v>
      </c>
      <c r="E189" s="44">
        <f t="shared" si="15"/>
        <v>40927</v>
      </c>
      <c r="F189" s="146" t="str">
        <f t="shared" si="12"/>
        <v>2011-12</v>
      </c>
      <c r="G189" s="1"/>
      <c r="H189" s="161"/>
      <c r="I189" s="37"/>
      <c r="J189" s="135">
        <f t="shared" si="14"/>
        <v>0.9161881535038825</v>
      </c>
      <c r="K189" s="112"/>
      <c r="L189" s="37">
        <v>28.7335383681</v>
      </c>
      <c r="M189" s="37" t="s">
        <v>509</v>
      </c>
      <c r="N189" s="37">
        <v>3336.4019512195118</v>
      </c>
      <c r="O189" s="130">
        <f t="shared" si="13"/>
        <v>95866.633476769552</v>
      </c>
      <c r="P189" s="132">
        <f t="shared" si="11"/>
        <v>1669.5656239099008</v>
      </c>
      <c r="Q189" s="262">
        <v>1.9008653119072863E-2</v>
      </c>
      <c r="R189" s="92"/>
    </row>
    <row r="190" spans="1:18" x14ac:dyDescent="0.25">
      <c r="A190" s="326">
        <v>40949</v>
      </c>
      <c r="B190" s="326" t="s">
        <v>805</v>
      </c>
      <c r="C190" s="264" t="s">
        <v>415</v>
      </c>
      <c r="D190" s="157" t="s">
        <v>512</v>
      </c>
      <c r="E190" s="44">
        <f t="shared" si="15"/>
        <v>40949</v>
      </c>
      <c r="F190" s="146" t="str">
        <f t="shared" si="12"/>
        <v>2011-12</v>
      </c>
      <c r="G190" s="1"/>
      <c r="H190" s="161"/>
      <c r="I190" s="37"/>
      <c r="J190" s="135">
        <f t="shared" si="14"/>
        <v>0.9161881535038825</v>
      </c>
      <c r="K190" s="112"/>
      <c r="L190" s="37">
        <v>6.1931169858199997</v>
      </c>
      <c r="M190" s="37" t="s">
        <v>509</v>
      </c>
      <c r="N190" s="37">
        <v>812.22926829268283</v>
      </c>
      <c r="O190" s="130">
        <f t="shared" si="13"/>
        <v>5030.2308778435636</v>
      </c>
      <c r="P190" s="132">
        <f t="shared" si="11"/>
        <v>4579.6318296971958</v>
      </c>
      <c r="Q190" s="262">
        <v>0.99370614260607526</v>
      </c>
      <c r="R190" s="92"/>
    </row>
    <row r="191" spans="1:18" x14ac:dyDescent="0.25">
      <c r="A191" s="326">
        <v>40949</v>
      </c>
      <c r="B191" s="326" t="s">
        <v>805</v>
      </c>
      <c r="C191" s="264" t="s">
        <v>415</v>
      </c>
      <c r="D191" s="157" t="s">
        <v>512</v>
      </c>
      <c r="E191" s="44">
        <f t="shared" si="15"/>
        <v>40949</v>
      </c>
      <c r="F191" s="146" t="str">
        <f t="shared" si="12"/>
        <v>2011-12</v>
      </c>
      <c r="G191" s="1"/>
      <c r="H191" s="161"/>
      <c r="I191" s="37"/>
      <c r="J191" s="135">
        <f t="shared" si="14"/>
        <v>0.9161881535038825</v>
      </c>
      <c r="K191" s="112"/>
      <c r="L191" s="37">
        <v>52.3552671371</v>
      </c>
      <c r="M191" s="37" t="s">
        <v>509</v>
      </c>
      <c r="N191" s="37">
        <v>812.22926829268283</v>
      </c>
      <c r="O191" s="130">
        <f t="shared" si="13"/>
        <v>42524.480318034679</v>
      </c>
      <c r="P191" s="132">
        <f t="shared" si="11"/>
        <v>38715.213741698164</v>
      </c>
      <c r="Q191" s="262">
        <v>0.99370614260607526</v>
      </c>
      <c r="R191" s="92"/>
    </row>
    <row r="192" spans="1:18" x14ac:dyDescent="0.25">
      <c r="A192" s="326">
        <v>40949</v>
      </c>
      <c r="B192" s="326" t="s">
        <v>805</v>
      </c>
      <c r="C192" s="264" t="s">
        <v>415</v>
      </c>
      <c r="D192" s="157" t="s">
        <v>512</v>
      </c>
      <c r="E192" s="44">
        <f t="shared" si="15"/>
        <v>40949</v>
      </c>
      <c r="F192" s="146" t="str">
        <f t="shared" si="12"/>
        <v>2011-12</v>
      </c>
      <c r="G192" s="1"/>
      <c r="H192" s="161"/>
      <c r="I192" s="37"/>
      <c r="J192" s="135">
        <f t="shared" si="14"/>
        <v>0.9161881535038825</v>
      </c>
      <c r="K192" s="112"/>
      <c r="L192" s="37">
        <v>69.660753211499994</v>
      </c>
      <c r="M192" s="37" t="s">
        <v>509</v>
      </c>
      <c r="N192" s="37">
        <v>812.22926829268283</v>
      </c>
      <c r="O192" s="130">
        <f t="shared" si="13"/>
        <v>56580.502609693795</v>
      </c>
      <c r="P192" s="132">
        <f t="shared" si="11"/>
        <v>51512.122799958161</v>
      </c>
      <c r="Q192" s="262">
        <v>0.99370614260607526</v>
      </c>
      <c r="R192" s="92"/>
    </row>
    <row r="193" spans="1:18" x14ac:dyDescent="0.25">
      <c r="A193" s="326">
        <v>40949</v>
      </c>
      <c r="B193" s="326" t="s">
        <v>805</v>
      </c>
      <c r="C193" s="264" t="s">
        <v>415</v>
      </c>
      <c r="D193" s="157" t="s">
        <v>512</v>
      </c>
      <c r="E193" s="44">
        <f t="shared" si="15"/>
        <v>40949</v>
      </c>
      <c r="F193" s="146" t="str">
        <f t="shared" si="12"/>
        <v>2011-12</v>
      </c>
      <c r="G193" s="1"/>
      <c r="H193" s="161"/>
      <c r="I193" s="37"/>
      <c r="J193" s="135">
        <f t="shared" si="14"/>
        <v>0.9161881535038825</v>
      </c>
      <c r="K193" s="112"/>
      <c r="L193" s="37">
        <v>10.9279482521</v>
      </c>
      <c r="M193" s="37" t="s">
        <v>509</v>
      </c>
      <c r="N193" s="37">
        <v>812.22926829268283</v>
      </c>
      <c r="O193" s="130">
        <f t="shared" si="13"/>
        <v>8875.9994127434857</v>
      </c>
      <c r="P193" s="132">
        <f t="shared" si="11"/>
        <v>8080.903325932356</v>
      </c>
      <c r="Q193" s="262">
        <v>0.99370614260607526</v>
      </c>
      <c r="R193" s="92"/>
    </row>
    <row r="194" spans="1:18" x14ac:dyDescent="0.25">
      <c r="A194" s="326">
        <v>40949</v>
      </c>
      <c r="B194" s="326" t="s">
        <v>805</v>
      </c>
      <c r="C194" s="264" t="s">
        <v>415</v>
      </c>
      <c r="D194" s="157" t="s">
        <v>512</v>
      </c>
      <c r="E194" s="44">
        <f t="shared" si="15"/>
        <v>40949</v>
      </c>
      <c r="F194" s="146" t="str">
        <f t="shared" si="12"/>
        <v>2011-12</v>
      </c>
      <c r="G194" s="1"/>
      <c r="H194" s="161"/>
      <c r="I194" s="37"/>
      <c r="J194" s="135">
        <f t="shared" si="14"/>
        <v>0.9161881535038825</v>
      </c>
      <c r="K194" s="112"/>
      <c r="L194" s="37">
        <v>5.68492831969</v>
      </c>
      <c r="M194" s="37" t="s">
        <v>509</v>
      </c>
      <c r="N194" s="37">
        <v>812.22926829268283</v>
      </c>
      <c r="O194" s="130">
        <f t="shared" si="13"/>
        <v>4617.4651693981596</v>
      </c>
      <c r="P194" s="132">
        <f t="shared" si="11"/>
        <v>4203.8409321202535</v>
      </c>
      <c r="Q194" s="262">
        <v>0.99370614260607526</v>
      </c>
      <c r="R194" s="92"/>
    </row>
    <row r="195" spans="1:18" x14ac:dyDescent="0.25">
      <c r="A195" s="326">
        <v>41095</v>
      </c>
      <c r="B195" s="326" t="s">
        <v>805</v>
      </c>
      <c r="C195" s="264" t="s">
        <v>416</v>
      </c>
      <c r="D195" s="157" t="s">
        <v>512</v>
      </c>
      <c r="E195" s="44">
        <f t="shared" si="15"/>
        <v>41095</v>
      </c>
      <c r="F195" s="146" t="str">
        <f t="shared" si="12"/>
        <v>2012-13</v>
      </c>
      <c r="G195" s="1"/>
      <c r="H195" s="161"/>
      <c r="I195" s="37"/>
      <c r="J195" s="135">
        <f t="shared" si="14"/>
        <v>0.9161881535038825</v>
      </c>
      <c r="K195" s="112"/>
      <c r="L195" s="37">
        <v>2.6994818021200002</v>
      </c>
      <c r="M195" s="37" t="s">
        <v>509</v>
      </c>
      <c r="N195" s="37">
        <v>812.22926829268283</v>
      </c>
      <c r="O195" s="130">
        <f t="shared" si="13"/>
        <v>2192.5981289053407</v>
      </c>
      <c r="P195" s="132">
        <f t="shared" si="11"/>
        <v>545.06177278728751</v>
      </c>
      <c r="Q195" s="262">
        <v>0.27133262304482236</v>
      </c>
      <c r="R195" s="92"/>
    </row>
    <row r="196" spans="1:18" x14ac:dyDescent="0.25">
      <c r="A196" s="326">
        <v>41095</v>
      </c>
      <c r="B196" s="326" t="s">
        <v>805</v>
      </c>
      <c r="C196" s="264" t="s">
        <v>416</v>
      </c>
      <c r="D196" s="157" t="s">
        <v>512</v>
      </c>
      <c r="E196" s="44">
        <f t="shared" si="15"/>
        <v>41095</v>
      </c>
      <c r="F196" s="146" t="str">
        <f t="shared" si="12"/>
        <v>2012-13</v>
      </c>
      <c r="G196" s="1"/>
      <c r="H196" s="161"/>
      <c r="I196" s="37"/>
      <c r="J196" s="135">
        <f t="shared" si="14"/>
        <v>0.9161881535038825</v>
      </c>
      <c r="K196" s="112"/>
      <c r="L196" s="37">
        <v>80.673369222199995</v>
      </c>
      <c r="M196" s="37" t="s">
        <v>509</v>
      </c>
      <c r="N196" s="37">
        <v>812.22926829268283</v>
      </c>
      <c r="O196" s="130">
        <f t="shared" si="13"/>
        <v>65525.271654052944</v>
      </c>
      <c r="P196" s="132">
        <f t="shared" si="11"/>
        <v>16289.040959803084</v>
      </c>
      <c r="Q196" s="262">
        <v>0.27133262304482236</v>
      </c>
      <c r="R196" s="92"/>
    </row>
    <row r="197" spans="1:18" x14ac:dyDescent="0.25">
      <c r="A197" s="326">
        <v>41095</v>
      </c>
      <c r="B197" s="326" t="s">
        <v>805</v>
      </c>
      <c r="C197" s="264" t="s">
        <v>416</v>
      </c>
      <c r="D197" s="157" t="s">
        <v>512</v>
      </c>
      <c r="E197" s="44">
        <f t="shared" si="15"/>
        <v>41095</v>
      </c>
      <c r="F197" s="146" t="str">
        <f t="shared" si="12"/>
        <v>2012-13</v>
      </c>
      <c r="G197" s="1"/>
      <c r="H197" s="161"/>
      <c r="I197" s="37"/>
      <c r="J197" s="135">
        <f t="shared" si="14"/>
        <v>0.9161881535038825</v>
      </c>
      <c r="K197" s="112"/>
      <c r="L197" s="37">
        <v>35.517530207900002</v>
      </c>
      <c r="M197" s="37" t="s">
        <v>509</v>
      </c>
      <c r="N197" s="37">
        <v>812.22926829268283</v>
      </c>
      <c r="O197" s="130">
        <f t="shared" si="13"/>
        <v>28848.377572325877</v>
      </c>
      <c r="P197" s="132">
        <f t="shared" si="11"/>
        <v>7171.4682295470548</v>
      </c>
      <c r="Q197" s="262">
        <v>0.27133262304482236</v>
      </c>
      <c r="R197" s="92"/>
    </row>
    <row r="198" spans="1:18" x14ac:dyDescent="0.25">
      <c r="A198" s="326">
        <v>41095</v>
      </c>
      <c r="B198" s="326" t="s">
        <v>805</v>
      </c>
      <c r="C198" s="264" t="s">
        <v>416</v>
      </c>
      <c r="D198" s="157" t="s">
        <v>512</v>
      </c>
      <c r="E198" s="44">
        <f t="shared" si="15"/>
        <v>41095</v>
      </c>
      <c r="F198" s="146" t="str">
        <f t="shared" si="12"/>
        <v>2012-13</v>
      </c>
      <c r="G198" s="1"/>
      <c r="H198" s="161"/>
      <c r="I198" s="37"/>
      <c r="J198" s="135">
        <f t="shared" si="14"/>
        <v>0.9161881535038825</v>
      </c>
      <c r="K198" s="112"/>
      <c r="L198" s="37">
        <v>44.673221126599998</v>
      </c>
      <c r="M198" s="37" t="s">
        <v>509</v>
      </c>
      <c r="N198" s="37">
        <v>812.22926829268283</v>
      </c>
      <c r="O198" s="130">
        <f t="shared" si="13"/>
        <v>36284.897707935539</v>
      </c>
      <c r="P198" s="132">
        <f t="shared" si="11"/>
        <v>9020.1256716235057</v>
      </c>
      <c r="Q198" s="262">
        <v>0.27133262304482236</v>
      </c>
      <c r="R198" s="92"/>
    </row>
    <row r="199" spans="1:18" x14ac:dyDescent="0.25">
      <c r="A199" s="326">
        <v>41095</v>
      </c>
      <c r="B199" s="326" t="s">
        <v>805</v>
      </c>
      <c r="C199" s="264" t="s">
        <v>416</v>
      </c>
      <c r="D199" s="157" t="s">
        <v>512</v>
      </c>
      <c r="E199" s="44">
        <f t="shared" si="15"/>
        <v>41095</v>
      </c>
      <c r="F199" s="146" t="str">
        <f t="shared" si="12"/>
        <v>2012-13</v>
      </c>
      <c r="G199" s="1"/>
      <c r="H199" s="161"/>
      <c r="I199" s="37"/>
      <c r="J199" s="135">
        <f t="shared" si="14"/>
        <v>0.9161881535038825</v>
      </c>
      <c r="K199" s="112"/>
      <c r="L199" s="37">
        <v>11.147245848200001</v>
      </c>
      <c r="M199" s="37" t="s">
        <v>509</v>
      </c>
      <c r="N199" s="37">
        <v>812.22926829268283</v>
      </c>
      <c r="O199" s="130">
        <f t="shared" si="13"/>
        <v>9054.1193387621333</v>
      </c>
      <c r="P199" s="132">
        <f t="shared" si="11"/>
        <v>2250.779234349337</v>
      </c>
      <c r="Q199" s="262">
        <v>0.27133262304482236</v>
      </c>
      <c r="R199" s="92"/>
    </row>
    <row r="200" spans="1:18" x14ac:dyDescent="0.25">
      <c r="A200" s="326">
        <v>41095</v>
      </c>
      <c r="B200" s="326" t="s">
        <v>805</v>
      </c>
      <c r="C200" s="264" t="s">
        <v>416</v>
      </c>
      <c r="D200" s="157" t="s">
        <v>512</v>
      </c>
      <c r="E200" s="44">
        <f t="shared" si="15"/>
        <v>41095</v>
      </c>
      <c r="F200" s="146" t="str">
        <f t="shared" si="12"/>
        <v>2012-13</v>
      </c>
      <c r="G200" s="1"/>
      <c r="H200" s="161"/>
      <c r="I200" s="37"/>
      <c r="J200" s="135">
        <f t="shared" si="14"/>
        <v>0.9161881535038825</v>
      </c>
      <c r="K200" s="112"/>
      <c r="L200" s="37">
        <v>32.567475373500002</v>
      </c>
      <c r="M200" s="37" t="s">
        <v>509</v>
      </c>
      <c r="N200" s="37">
        <v>3592.3639024390236</v>
      </c>
      <c r="O200" s="130">
        <f t="shared" si="13"/>
        <v>116994.22292533326</v>
      </c>
      <c r="P200" s="132">
        <f t="shared" si="11"/>
        <v>29083.796849443683</v>
      </c>
      <c r="Q200" s="262">
        <v>0.27133262304482236</v>
      </c>
      <c r="R200" s="92"/>
    </row>
    <row r="201" spans="1:18" x14ac:dyDescent="0.25">
      <c r="A201" s="326">
        <v>41095</v>
      </c>
      <c r="B201" s="326" t="s">
        <v>805</v>
      </c>
      <c r="C201" s="264" t="s">
        <v>416</v>
      </c>
      <c r="D201" s="157" t="s">
        <v>512</v>
      </c>
      <c r="E201" s="44">
        <f t="shared" si="15"/>
        <v>41095</v>
      </c>
      <c r="F201" s="146" t="str">
        <f t="shared" si="12"/>
        <v>2012-13</v>
      </c>
      <c r="G201" s="1"/>
      <c r="H201" s="161"/>
      <c r="I201" s="37"/>
      <c r="J201" s="135">
        <f t="shared" si="14"/>
        <v>0.9161881535038825</v>
      </c>
      <c r="K201" s="112"/>
      <c r="L201" s="37">
        <v>35.328848509399997</v>
      </c>
      <c r="M201" s="37" t="s">
        <v>509</v>
      </c>
      <c r="N201" s="37">
        <v>3336.4019512195118</v>
      </c>
      <c r="O201" s="130">
        <f t="shared" si="13"/>
        <v>117871.23910110068</v>
      </c>
      <c r="P201" s="132">
        <f t="shared" si="11"/>
        <v>29301.815822106753</v>
      </c>
      <c r="Q201" s="262">
        <v>0.27133262304482236</v>
      </c>
      <c r="R201" s="92"/>
    </row>
    <row r="202" spans="1:18" x14ac:dyDescent="0.25">
      <c r="A202" s="326">
        <v>41095</v>
      </c>
      <c r="B202" s="326" t="s">
        <v>805</v>
      </c>
      <c r="C202" s="264" t="s">
        <v>416</v>
      </c>
      <c r="D202" s="157" t="s">
        <v>512</v>
      </c>
      <c r="E202" s="44">
        <f t="shared" si="15"/>
        <v>41095</v>
      </c>
      <c r="F202" s="146" t="str">
        <f t="shared" si="12"/>
        <v>2012-13</v>
      </c>
      <c r="G202" s="1"/>
      <c r="H202" s="161"/>
      <c r="I202" s="37"/>
      <c r="J202" s="135">
        <f t="shared" si="14"/>
        <v>0.9161881535038825</v>
      </c>
      <c r="K202" s="112"/>
      <c r="L202" s="37">
        <v>7.4836539341600004</v>
      </c>
      <c r="M202" s="37" t="s">
        <v>509</v>
      </c>
      <c r="N202" s="37">
        <v>812.22926829268283</v>
      </c>
      <c r="O202" s="130">
        <f t="shared" si="13"/>
        <v>6078.4427590984342</v>
      </c>
      <c r="P202" s="132">
        <f t="shared" si="11"/>
        <v>1511.0506309308626</v>
      </c>
      <c r="Q202" s="262">
        <v>0.27133262304482236</v>
      </c>
      <c r="R202" s="92"/>
    </row>
    <row r="203" spans="1:18" x14ac:dyDescent="0.25">
      <c r="A203" s="326">
        <v>41095</v>
      </c>
      <c r="B203" s="326" t="s">
        <v>805</v>
      </c>
      <c r="C203" s="264" t="s">
        <v>416</v>
      </c>
      <c r="D203" s="157" t="s">
        <v>512</v>
      </c>
      <c r="E203" s="44">
        <f t="shared" si="15"/>
        <v>41095</v>
      </c>
      <c r="F203" s="146" t="str">
        <f t="shared" si="12"/>
        <v>2012-13</v>
      </c>
      <c r="G203" s="1"/>
      <c r="H203" s="161"/>
      <c r="I203" s="37"/>
      <c r="J203" s="135">
        <f t="shared" si="14"/>
        <v>0.9161881535038825</v>
      </c>
      <c r="K203" s="112"/>
      <c r="L203" s="37">
        <v>26.574387259600002</v>
      </c>
      <c r="M203" s="37" t="s">
        <v>509</v>
      </c>
      <c r="N203" s="37">
        <v>3336.4019512195118</v>
      </c>
      <c r="O203" s="130">
        <f t="shared" si="13"/>
        <v>88662.837505392381</v>
      </c>
      <c r="P203" s="132">
        <f t="shared" si="11"/>
        <v>22040.848595983978</v>
      </c>
      <c r="Q203" s="262">
        <v>0.27133262304482236</v>
      </c>
      <c r="R203" s="92"/>
    </row>
    <row r="204" spans="1:18" x14ac:dyDescent="0.25">
      <c r="A204" s="326">
        <v>41095</v>
      </c>
      <c r="B204" s="326" t="s">
        <v>805</v>
      </c>
      <c r="C204" s="264" t="s">
        <v>416</v>
      </c>
      <c r="D204" s="157" t="s">
        <v>512</v>
      </c>
      <c r="E204" s="44">
        <f t="shared" si="15"/>
        <v>41095</v>
      </c>
      <c r="F204" s="146" t="str">
        <f t="shared" si="12"/>
        <v>2012-13</v>
      </c>
      <c r="G204" s="1"/>
      <c r="H204" s="161"/>
      <c r="I204" s="37"/>
      <c r="J204" s="135">
        <f t="shared" si="14"/>
        <v>0.9161881535038825</v>
      </c>
      <c r="K204" s="112"/>
      <c r="L204" s="37">
        <v>29.325954941599999</v>
      </c>
      <c r="M204" s="37" t="s">
        <v>509</v>
      </c>
      <c r="N204" s="37">
        <v>812.22926829268283</v>
      </c>
      <c r="O204" s="130">
        <f t="shared" si="13"/>
        <v>23819.398924199955</v>
      </c>
      <c r="P204" s="132">
        <f t="shared" si="11"/>
        <v>5921.3057026705801</v>
      </c>
      <c r="Q204" s="262">
        <v>0.27133262304482236</v>
      </c>
      <c r="R204" s="92"/>
    </row>
    <row r="205" spans="1:18" x14ac:dyDescent="0.25">
      <c r="A205" s="326">
        <v>41095</v>
      </c>
      <c r="B205" s="326" t="s">
        <v>805</v>
      </c>
      <c r="C205" s="264" t="s">
        <v>416</v>
      </c>
      <c r="D205" s="157" t="s">
        <v>512</v>
      </c>
      <c r="E205" s="44">
        <f t="shared" si="15"/>
        <v>41095</v>
      </c>
      <c r="F205" s="146" t="str">
        <f t="shared" si="12"/>
        <v>2012-13</v>
      </c>
      <c r="G205" s="1"/>
      <c r="H205" s="161"/>
      <c r="I205" s="37"/>
      <c r="J205" s="135">
        <f t="shared" si="14"/>
        <v>0.9161881535038825</v>
      </c>
      <c r="K205" s="112"/>
      <c r="L205" s="37">
        <v>11.308711200199999</v>
      </c>
      <c r="M205" s="37" t="s">
        <v>509</v>
      </c>
      <c r="N205" s="37">
        <v>3592.3639024390236</v>
      </c>
      <c r="O205" s="130">
        <f t="shared" si="13"/>
        <v>40625.005898706368</v>
      </c>
      <c r="P205" s="132">
        <f t="shared" si="11"/>
        <v>10099.040696389682</v>
      </c>
      <c r="Q205" s="262">
        <v>0.27133262304482236</v>
      </c>
      <c r="R205" s="92"/>
    </row>
    <row r="206" spans="1:18" x14ac:dyDescent="0.25">
      <c r="A206" s="326">
        <v>41095</v>
      </c>
      <c r="B206" s="326" t="s">
        <v>805</v>
      </c>
      <c r="C206" s="264" t="s">
        <v>416</v>
      </c>
      <c r="D206" s="157" t="s">
        <v>512</v>
      </c>
      <c r="E206" s="44">
        <f t="shared" si="15"/>
        <v>41095</v>
      </c>
      <c r="F206" s="146" t="str">
        <f t="shared" si="12"/>
        <v>2012-13</v>
      </c>
      <c r="G206" s="1"/>
      <c r="H206" s="161"/>
      <c r="I206" s="37"/>
      <c r="J206" s="135">
        <f t="shared" si="14"/>
        <v>0.9161881535038825</v>
      </c>
      <c r="K206" s="112"/>
      <c r="L206" s="37">
        <v>11.0731732128</v>
      </c>
      <c r="M206" s="37" t="s">
        <v>509</v>
      </c>
      <c r="N206" s="37">
        <v>950.87219512195099</v>
      </c>
      <c r="O206" s="130">
        <f t="shared" si="13"/>
        <v>10529.172519820722</v>
      </c>
      <c r="P206" s="132">
        <f t="shared" si="11"/>
        <v>2617.4652636878363</v>
      </c>
      <c r="Q206" s="262">
        <v>0.27133262304482236</v>
      </c>
      <c r="R206" s="92"/>
    </row>
    <row r="207" spans="1:18" x14ac:dyDescent="0.25">
      <c r="A207" s="326">
        <v>41095</v>
      </c>
      <c r="B207" s="326" t="s">
        <v>805</v>
      </c>
      <c r="C207" s="264" t="s">
        <v>416</v>
      </c>
      <c r="D207" s="157" t="s">
        <v>512</v>
      </c>
      <c r="E207" s="44">
        <f t="shared" si="15"/>
        <v>41095</v>
      </c>
      <c r="F207" s="146" t="str">
        <f t="shared" si="12"/>
        <v>2012-13</v>
      </c>
      <c r="G207" s="1"/>
      <c r="H207" s="161"/>
      <c r="I207" s="37"/>
      <c r="J207" s="135">
        <f t="shared" si="14"/>
        <v>0.9161881535038825</v>
      </c>
      <c r="K207" s="112"/>
      <c r="L207" s="37">
        <v>40.567553981000003</v>
      </c>
      <c r="M207" s="37" t="s">
        <v>509</v>
      </c>
      <c r="N207" s="37">
        <v>950.87219512195099</v>
      </c>
      <c r="O207" s="130">
        <f t="shared" si="13"/>
        <v>38574.559104641718</v>
      </c>
      <c r="P207" s="132">
        <f t="shared" si="11"/>
        <v>9589.3165705477695</v>
      </c>
      <c r="Q207" s="262">
        <v>0.27133262304482236</v>
      </c>
      <c r="R207" s="92"/>
    </row>
    <row r="208" spans="1:18" x14ac:dyDescent="0.25">
      <c r="A208" s="326">
        <v>41095</v>
      </c>
      <c r="B208" s="326" t="s">
        <v>805</v>
      </c>
      <c r="C208" s="264" t="s">
        <v>416</v>
      </c>
      <c r="D208" s="157" t="s">
        <v>512</v>
      </c>
      <c r="E208" s="44">
        <f t="shared" si="15"/>
        <v>41095</v>
      </c>
      <c r="F208" s="146" t="str">
        <f t="shared" si="12"/>
        <v>2012-13</v>
      </c>
      <c r="G208" s="1"/>
      <c r="H208" s="161"/>
      <c r="I208" s="37"/>
      <c r="J208" s="135">
        <f t="shared" si="14"/>
        <v>0.9161881535038825</v>
      </c>
      <c r="K208" s="112"/>
      <c r="L208" s="37">
        <v>12.7822331773</v>
      </c>
      <c r="M208" s="37" t="s">
        <v>509</v>
      </c>
      <c r="N208" s="37">
        <v>950.87219512195099</v>
      </c>
      <c r="O208" s="130">
        <f t="shared" si="13"/>
        <v>12154.270119859881</v>
      </c>
      <c r="P208" s="132">
        <f t="shared" si="11"/>
        <v>3021.4510954516977</v>
      </c>
      <c r="Q208" s="262">
        <v>0.27133262304482236</v>
      </c>
      <c r="R208" s="92"/>
    </row>
    <row r="209" spans="1:18" x14ac:dyDescent="0.25">
      <c r="A209" s="326">
        <v>41095</v>
      </c>
      <c r="B209" s="326" t="s">
        <v>805</v>
      </c>
      <c r="C209" s="264" t="s">
        <v>416</v>
      </c>
      <c r="D209" s="157" t="s">
        <v>512</v>
      </c>
      <c r="E209" s="44">
        <f t="shared" si="15"/>
        <v>41095</v>
      </c>
      <c r="F209" s="146" t="str">
        <f t="shared" si="12"/>
        <v>2012-13</v>
      </c>
      <c r="G209" s="1"/>
      <c r="H209" s="161"/>
      <c r="I209" s="37"/>
      <c r="J209" s="135">
        <f t="shared" si="14"/>
        <v>0.9161881535038825</v>
      </c>
      <c r="K209" s="112"/>
      <c r="L209" s="37">
        <v>11.8117673953</v>
      </c>
      <c r="M209" s="37" t="s">
        <v>509</v>
      </c>
      <c r="N209" s="37">
        <v>950.87219512195099</v>
      </c>
      <c r="O209" s="130">
        <f t="shared" si="13"/>
        <v>11231.481191438801</v>
      </c>
      <c r="P209" s="132">
        <f t="shared" si="11"/>
        <v>2792.0533947956328</v>
      </c>
      <c r="Q209" s="262">
        <v>0.27133262304482236</v>
      </c>
      <c r="R209" s="92"/>
    </row>
    <row r="210" spans="1:18" x14ac:dyDescent="0.25">
      <c r="A210" s="326">
        <v>41162</v>
      </c>
      <c r="B210" s="326" t="s">
        <v>805</v>
      </c>
      <c r="C210" s="264" t="s">
        <v>417</v>
      </c>
      <c r="D210" s="157" t="s">
        <v>512</v>
      </c>
      <c r="E210" s="44">
        <f t="shared" si="15"/>
        <v>41162</v>
      </c>
      <c r="F210" s="146" t="str">
        <f t="shared" si="12"/>
        <v>2012-13</v>
      </c>
      <c r="G210" s="1"/>
      <c r="H210" s="161"/>
      <c r="I210" s="37"/>
      <c r="J210" s="135">
        <f t="shared" si="14"/>
        <v>0.9161881535038825</v>
      </c>
      <c r="K210" s="112"/>
      <c r="L210" s="37">
        <v>74.534879869500003</v>
      </c>
      <c r="M210" s="37" t="s">
        <v>509</v>
      </c>
      <c r="N210" s="37">
        <v>812.22926829268283</v>
      </c>
      <c r="O210" s="130">
        <f t="shared" si="13"/>
        <v>60539.410938687004</v>
      </c>
      <c r="P210" s="132">
        <f t="shared" si="11"/>
        <v>5001.2308989321546</v>
      </c>
      <c r="Q210" s="262">
        <v>9.0168333458366764E-2</v>
      </c>
      <c r="R210" s="92"/>
    </row>
    <row r="211" spans="1:18" x14ac:dyDescent="0.25">
      <c r="A211" s="326">
        <v>41162</v>
      </c>
      <c r="B211" s="326" t="s">
        <v>805</v>
      </c>
      <c r="C211" s="264" t="s">
        <v>417</v>
      </c>
      <c r="D211" s="157" t="s">
        <v>512</v>
      </c>
      <c r="E211" s="44">
        <f t="shared" si="15"/>
        <v>41162</v>
      </c>
      <c r="F211" s="146" t="str">
        <f t="shared" si="12"/>
        <v>2012-13</v>
      </c>
      <c r="G211" s="1"/>
      <c r="H211" s="161"/>
      <c r="I211" s="37"/>
      <c r="J211" s="135">
        <f t="shared" si="14"/>
        <v>0.9161881535038825</v>
      </c>
      <c r="K211" s="112"/>
      <c r="L211" s="37">
        <v>46.530613784099998</v>
      </c>
      <c r="M211" s="37" t="s">
        <v>509</v>
      </c>
      <c r="N211" s="37">
        <v>812.22926829268283</v>
      </c>
      <c r="O211" s="130">
        <f t="shared" si="13"/>
        <v>37793.526387068967</v>
      </c>
      <c r="P211" s="132">
        <f t="shared" si="11"/>
        <v>3122.1670151043663</v>
      </c>
      <c r="Q211" s="262">
        <v>9.0168333458366764E-2</v>
      </c>
      <c r="R211" s="92"/>
    </row>
    <row r="212" spans="1:18" x14ac:dyDescent="0.25">
      <c r="A212" s="326">
        <v>41162</v>
      </c>
      <c r="B212" s="326" t="s">
        <v>805</v>
      </c>
      <c r="C212" s="264" t="s">
        <v>417</v>
      </c>
      <c r="D212" s="157" t="s">
        <v>512</v>
      </c>
      <c r="E212" s="44">
        <f t="shared" si="15"/>
        <v>41162</v>
      </c>
      <c r="F212" s="146" t="str">
        <f t="shared" si="12"/>
        <v>2012-13</v>
      </c>
      <c r="G212" s="1"/>
      <c r="H212" s="161"/>
      <c r="I212" s="37"/>
      <c r="J212" s="135">
        <f t="shared" si="14"/>
        <v>0.9161881535038825</v>
      </c>
      <c r="K212" s="112"/>
      <c r="L212" s="37">
        <v>99.684454455500003</v>
      </c>
      <c r="M212" s="37" t="s">
        <v>509</v>
      </c>
      <c r="N212" s="37">
        <v>812.22926829268283</v>
      </c>
      <c r="O212" s="130">
        <f t="shared" si="13"/>
        <v>80966.631502546035</v>
      </c>
      <c r="P212" s="132">
        <f t="shared" si="11"/>
        <v>6688.7472635485983</v>
      </c>
      <c r="Q212" s="262">
        <v>9.0168333458366764E-2</v>
      </c>
      <c r="R212" s="92"/>
    </row>
    <row r="213" spans="1:18" x14ac:dyDescent="0.25">
      <c r="A213" s="326">
        <v>41162</v>
      </c>
      <c r="B213" s="326" t="s">
        <v>805</v>
      </c>
      <c r="C213" s="264" t="s">
        <v>417</v>
      </c>
      <c r="D213" s="157" t="s">
        <v>512</v>
      </c>
      <c r="E213" s="44">
        <f t="shared" si="15"/>
        <v>41162</v>
      </c>
      <c r="F213" s="146" t="str">
        <f t="shared" si="12"/>
        <v>2012-13</v>
      </c>
      <c r="G213" s="1"/>
      <c r="H213" s="161"/>
      <c r="I213" s="37"/>
      <c r="J213" s="135">
        <f t="shared" si="14"/>
        <v>0.9161881535038825</v>
      </c>
      <c r="K213" s="112"/>
      <c r="L213" s="37">
        <v>37.874099930200003</v>
      </c>
      <c r="M213" s="37" t="s">
        <v>509</v>
      </c>
      <c r="N213" s="37">
        <v>812.22926829268283</v>
      </c>
      <c r="O213" s="130">
        <f t="shared" si="13"/>
        <v>30762.4524735503</v>
      </c>
      <c r="P213" s="132">
        <f t="shared" si="11"/>
        <v>2541.3218505457166</v>
      </c>
      <c r="Q213" s="262">
        <v>9.0168333458366764E-2</v>
      </c>
      <c r="R213" s="92"/>
    </row>
    <row r="214" spans="1:18" x14ac:dyDescent="0.25">
      <c r="A214" s="326">
        <v>41162</v>
      </c>
      <c r="B214" s="326" t="s">
        <v>805</v>
      </c>
      <c r="C214" s="264" t="s">
        <v>417</v>
      </c>
      <c r="D214" s="157" t="s">
        <v>512</v>
      </c>
      <c r="E214" s="44">
        <f t="shared" si="15"/>
        <v>41162</v>
      </c>
      <c r="F214" s="146" t="str">
        <f t="shared" si="12"/>
        <v>2012-13</v>
      </c>
      <c r="G214" s="1"/>
      <c r="H214" s="161"/>
      <c r="I214" s="37"/>
      <c r="J214" s="135">
        <f t="shared" si="14"/>
        <v>0.9161881535038825</v>
      </c>
      <c r="K214" s="112"/>
      <c r="L214" s="37">
        <v>70.246072021700002</v>
      </c>
      <c r="M214" s="37" t="s">
        <v>509</v>
      </c>
      <c r="N214" s="37">
        <v>812.22926829268283</v>
      </c>
      <c r="O214" s="130">
        <f t="shared" si="13"/>
        <v>57055.915678620491</v>
      </c>
      <c r="P214" s="132">
        <f t="shared" si="11"/>
        <v>4713.4553183508906</v>
      </c>
      <c r="Q214" s="262">
        <v>9.0168333458366764E-2</v>
      </c>
      <c r="R214" s="92"/>
    </row>
    <row r="215" spans="1:18" x14ac:dyDescent="0.25">
      <c r="A215" s="326">
        <v>41162</v>
      </c>
      <c r="B215" s="326" t="s">
        <v>805</v>
      </c>
      <c r="C215" s="264" t="s">
        <v>417</v>
      </c>
      <c r="D215" s="157" t="s">
        <v>512</v>
      </c>
      <c r="E215" s="44">
        <f t="shared" si="15"/>
        <v>41162</v>
      </c>
      <c r="F215" s="146" t="str">
        <f t="shared" si="12"/>
        <v>2012-13</v>
      </c>
      <c r="G215" s="1"/>
      <c r="H215" s="161"/>
      <c r="I215" s="37"/>
      <c r="J215" s="135">
        <f t="shared" si="14"/>
        <v>0.9161881535038825</v>
      </c>
      <c r="K215" s="112"/>
      <c r="L215" s="37">
        <v>24.0848388203</v>
      </c>
      <c r="M215" s="37" t="s">
        <v>509</v>
      </c>
      <c r="N215" s="37">
        <v>3336.4019512195118</v>
      </c>
      <c r="O215" s="130">
        <f t="shared" si="13"/>
        <v>80356.703234856366</v>
      </c>
      <c r="P215" s="132">
        <f t="shared" ref="P215:P278" si="16">IF(O215="-","-",IF(OR(E215&lt;$E$15,E215&gt;$E$16),0,O215*J215))*Q215</f>
        <v>6638.3603824870843</v>
      </c>
      <c r="Q215" s="262">
        <v>9.0168333458366764E-2</v>
      </c>
      <c r="R215" s="92"/>
    </row>
    <row r="216" spans="1:18" x14ac:dyDescent="0.25">
      <c r="A216" s="326">
        <v>41162</v>
      </c>
      <c r="B216" s="326" t="s">
        <v>805</v>
      </c>
      <c r="C216" s="264" t="s">
        <v>417</v>
      </c>
      <c r="D216" s="157" t="s">
        <v>512</v>
      </c>
      <c r="E216" s="44">
        <f t="shared" si="15"/>
        <v>41162</v>
      </c>
      <c r="F216" s="146" t="str">
        <f t="shared" ref="F216:F279" si="17">IF(E216="","-",IF(OR(E216&lt;$E$15,E216&gt;$E$16),"ERROR - date outside of range",IF(MONTH(E216)&gt;=7,YEAR(E216)&amp;"-"&amp;IF(YEAR(E216)=1999,"00",IF(AND(YEAR(E216)&gt;=2000,YEAR(E216)&lt;2009),"0","")&amp;RIGHT(YEAR(E216),2)+1),RIGHT(YEAR(E216),4)-1&amp;"-"&amp;RIGHT(YEAR(E216),2))))</f>
        <v>2012-13</v>
      </c>
      <c r="G216" s="1"/>
      <c r="H216" s="161"/>
      <c r="I216" s="37"/>
      <c r="J216" s="135">
        <f t="shared" si="14"/>
        <v>0.9161881535038825</v>
      </c>
      <c r="K216" s="112"/>
      <c r="L216" s="37">
        <v>28.871117366699998</v>
      </c>
      <c r="M216" s="37" t="s">
        <v>509</v>
      </c>
      <c r="N216" s="37">
        <v>3336.4019512195118</v>
      </c>
      <c r="O216" s="130">
        <f t="shared" ref="O216:O279" si="18">IF(N216="","-",L216*N216)</f>
        <v>96325.65231614541</v>
      </c>
      <c r="P216" s="132">
        <f t="shared" si="16"/>
        <v>7957.5737730782475</v>
      </c>
      <c r="Q216" s="262">
        <v>9.0168333458366764E-2</v>
      </c>
      <c r="R216" s="92"/>
    </row>
    <row r="217" spans="1:18" x14ac:dyDescent="0.25">
      <c r="A217" s="326">
        <v>41162</v>
      </c>
      <c r="B217" s="326" t="s">
        <v>805</v>
      </c>
      <c r="C217" s="264" t="s">
        <v>417</v>
      </c>
      <c r="D217" s="157" t="s">
        <v>512</v>
      </c>
      <c r="E217" s="44">
        <f t="shared" si="15"/>
        <v>41162</v>
      </c>
      <c r="F217" s="146" t="str">
        <f t="shared" si="17"/>
        <v>2012-13</v>
      </c>
      <c r="G217" s="1"/>
      <c r="H217" s="161"/>
      <c r="I217" s="37"/>
      <c r="J217" s="135">
        <f t="shared" ref="J217:J280" si="19">J216</f>
        <v>0.9161881535038825</v>
      </c>
      <c r="K217" s="112"/>
      <c r="L217" s="37">
        <v>59.112577805400001</v>
      </c>
      <c r="M217" s="37" t="s">
        <v>509</v>
      </c>
      <c r="N217" s="37">
        <v>812.22926829268283</v>
      </c>
      <c r="O217" s="130">
        <f t="shared" si="18"/>
        <v>48012.965817774326</v>
      </c>
      <c r="P217" s="132">
        <f t="shared" si="16"/>
        <v>3966.4067501485697</v>
      </c>
      <c r="Q217" s="262">
        <v>9.0168333458366764E-2</v>
      </c>
      <c r="R217" s="92"/>
    </row>
    <row r="218" spans="1:18" x14ac:dyDescent="0.25">
      <c r="A218" s="326">
        <v>41162</v>
      </c>
      <c r="B218" s="326" t="s">
        <v>805</v>
      </c>
      <c r="C218" s="264" t="s">
        <v>417</v>
      </c>
      <c r="D218" s="157" t="s">
        <v>512</v>
      </c>
      <c r="E218" s="44">
        <f t="shared" si="15"/>
        <v>41162</v>
      </c>
      <c r="F218" s="146" t="str">
        <f t="shared" si="17"/>
        <v>2012-13</v>
      </c>
      <c r="G218" s="1"/>
      <c r="H218" s="161"/>
      <c r="I218" s="37"/>
      <c r="J218" s="135">
        <f t="shared" si="19"/>
        <v>0.9161881535038825</v>
      </c>
      <c r="K218" s="112"/>
      <c r="L218" s="37">
        <v>16.927167554099999</v>
      </c>
      <c r="M218" s="37" t="s">
        <v>509</v>
      </c>
      <c r="N218" s="37">
        <v>3336.4019512195118</v>
      </c>
      <c r="O218" s="130">
        <f t="shared" si="18"/>
        <v>56475.834856118847</v>
      </c>
      <c r="P218" s="132">
        <f t="shared" si="16"/>
        <v>4665.5341693276305</v>
      </c>
      <c r="Q218" s="262">
        <v>9.0168333458366764E-2</v>
      </c>
      <c r="R218" s="92"/>
    </row>
    <row r="219" spans="1:18" x14ac:dyDescent="0.25">
      <c r="A219" s="326">
        <v>41162</v>
      </c>
      <c r="B219" s="326" t="s">
        <v>805</v>
      </c>
      <c r="C219" s="264" t="s">
        <v>417</v>
      </c>
      <c r="D219" s="157" t="s">
        <v>512</v>
      </c>
      <c r="E219" s="44">
        <f t="shared" si="15"/>
        <v>41162</v>
      </c>
      <c r="F219" s="146" t="str">
        <f t="shared" si="17"/>
        <v>2012-13</v>
      </c>
      <c r="G219" s="1"/>
      <c r="H219" s="161"/>
      <c r="I219" s="37"/>
      <c r="J219" s="135">
        <f t="shared" si="19"/>
        <v>0.9161881535038825</v>
      </c>
      <c r="K219" s="112"/>
      <c r="L219" s="37">
        <v>12.4024931963</v>
      </c>
      <c r="M219" s="37" t="s">
        <v>509</v>
      </c>
      <c r="N219" s="37">
        <v>812.22926829268283</v>
      </c>
      <c r="O219" s="130">
        <f t="shared" si="18"/>
        <v>10073.667973835727</v>
      </c>
      <c r="P219" s="132">
        <f t="shared" si="16"/>
        <v>832.19738605245141</v>
      </c>
      <c r="Q219" s="262">
        <v>9.0168333458366764E-2</v>
      </c>
      <c r="R219" s="92"/>
    </row>
    <row r="220" spans="1:18" x14ac:dyDescent="0.25">
      <c r="A220" s="326">
        <v>41162</v>
      </c>
      <c r="B220" s="326" t="s">
        <v>805</v>
      </c>
      <c r="C220" s="264" t="s">
        <v>417</v>
      </c>
      <c r="D220" s="157" t="s">
        <v>512</v>
      </c>
      <c r="E220" s="44">
        <f t="shared" si="15"/>
        <v>41162</v>
      </c>
      <c r="F220" s="146" t="str">
        <f t="shared" si="17"/>
        <v>2012-13</v>
      </c>
      <c r="G220" s="1"/>
      <c r="H220" s="161"/>
      <c r="I220" s="37"/>
      <c r="J220" s="135">
        <f t="shared" si="19"/>
        <v>0.9161881535038825</v>
      </c>
      <c r="K220" s="112"/>
      <c r="L220" s="37">
        <v>26.251043960699999</v>
      </c>
      <c r="M220" s="37" t="s">
        <v>509</v>
      </c>
      <c r="N220" s="37">
        <v>3336.4019512195118</v>
      </c>
      <c r="O220" s="130">
        <f t="shared" si="18"/>
        <v>87584.034292028664</v>
      </c>
      <c r="P220" s="132">
        <f t="shared" si="16"/>
        <v>7235.4185771323791</v>
      </c>
      <c r="Q220" s="262">
        <v>9.0168333458366764E-2</v>
      </c>
      <c r="R220" s="92"/>
    </row>
    <row r="221" spans="1:18" x14ac:dyDescent="0.25">
      <c r="A221" s="326">
        <v>41162</v>
      </c>
      <c r="B221" s="326" t="s">
        <v>805</v>
      </c>
      <c r="C221" s="264" t="s">
        <v>417</v>
      </c>
      <c r="D221" s="157" t="s">
        <v>512</v>
      </c>
      <c r="E221" s="44">
        <f t="shared" si="15"/>
        <v>41162</v>
      </c>
      <c r="F221" s="146" t="str">
        <f t="shared" si="17"/>
        <v>2012-13</v>
      </c>
      <c r="G221" s="1"/>
      <c r="H221" s="161"/>
      <c r="I221" s="37"/>
      <c r="J221" s="135">
        <f t="shared" si="19"/>
        <v>0.9161881535038825</v>
      </c>
      <c r="K221" s="112"/>
      <c r="L221" s="37">
        <v>81.754704797399995</v>
      </c>
      <c r="M221" s="37" t="s">
        <v>509</v>
      </c>
      <c r="N221" s="37">
        <v>812.22926829268283</v>
      </c>
      <c r="O221" s="130">
        <f t="shared" si="18"/>
        <v>66403.564057076481</v>
      </c>
      <c r="P221" s="132">
        <f t="shared" si="16"/>
        <v>5485.6753842189628</v>
      </c>
      <c r="Q221" s="262">
        <v>9.0168333458366764E-2</v>
      </c>
      <c r="R221" s="92"/>
    </row>
    <row r="222" spans="1:18" x14ac:dyDescent="0.25">
      <c r="A222" s="326">
        <v>41162</v>
      </c>
      <c r="B222" s="326" t="s">
        <v>805</v>
      </c>
      <c r="C222" s="264" t="s">
        <v>417</v>
      </c>
      <c r="D222" s="157" t="s">
        <v>512</v>
      </c>
      <c r="E222" s="44">
        <f t="shared" si="15"/>
        <v>41162</v>
      </c>
      <c r="F222" s="146" t="str">
        <f t="shared" si="17"/>
        <v>2012-13</v>
      </c>
      <c r="G222" s="1"/>
      <c r="H222" s="161"/>
      <c r="I222" s="37"/>
      <c r="J222" s="135">
        <f t="shared" si="19"/>
        <v>0.9161881535038825</v>
      </c>
      <c r="K222" s="112"/>
      <c r="L222" s="37">
        <v>24.662410502299998</v>
      </c>
      <c r="M222" s="37" t="s">
        <v>509</v>
      </c>
      <c r="N222" s="37">
        <v>950.87219512195099</v>
      </c>
      <c r="O222" s="130">
        <f t="shared" si="18"/>
        <v>23450.800411320659</v>
      </c>
      <c r="P222" s="132">
        <f t="shared" si="16"/>
        <v>1937.2977999500074</v>
      </c>
      <c r="Q222" s="262">
        <v>9.0168333458366764E-2</v>
      </c>
      <c r="R222" s="92"/>
    </row>
    <row r="223" spans="1:18" x14ac:dyDescent="0.25">
      <c r="A223" s="326">
        <v>41162</v>
      </c>
      <c r="B223" s="326" t="s">
        <v>805</v>
      </c>
      <c r="C223" s="264" t="s">
        <v>417</v>
      </c>
      <c r="D223" s="157" t="s">
        <v>512</v>
      </c>
      <c r="E223" s="44">
        <f t="shared" si="15"/>
        <v>41162</v>
      </c>
      <c r="F223" s="146" t="str">
        <f t="shared" si="17"/>
        <v>2012-13</v>
      </c>
      <c r="G223" s="1"/>
      <c r="H223" s="161"/>
      <c r="I223" s="37"/>
      <c r="J223" s="135">
        <f t="shared" si="19"/>
        <v>0.9161881535038825</v>
      </c>
      <c r="K223" s="112"/>
      <c r="L223" s="37">
        <v>4.1127398410299998</v>
      </c>
      <c r="M223" s="37" t="s">
        <v>509</v>
      </c>
      <c r="N223" s="37">
        <v>950.87219512195099</v>
      </c>
      <c r="O223" s="130">
        <f t="shared" si="18"/>
        <v>3910.6899606056995</v>
      </c>
      <c r="P223" s="132">
        <f t="shared" si="16"/>
        <v>323.06662988401354</v>
      </c>
      <c r="Q223" s="262">
        <v>9.0168333458366764E-2</v>
      </c>
      <c r="R223" s="92"/>
    </row>
    <row r="224" spans="1:18" x14ac:dyDescent="0.25">
      <c r="A224" s="326">
        <v>41162</v>
      </c>
      <c r="B224" s="326" t="s">
        <v>805</v>
      </c>
      <c r="C224" s="264" t="s">
        <v>417</v>
      </c>
      <c r="D224" s="157" t="s">
        <v>512</v>
      </c>
      <c r="E224" s="44">
        <f t="shared" si="15"/>
        <v>41162</v>
      </c>
      <c r="F224" s="146" t="str">
        <f t="shared" si="17"/>
        <v>2012-13</v>
      </c>
      <c r="G224" s="1"/>
      <c r="H224" s="161"/>
      <c r="I224" s="37"/>
      <c r="J224" s="135">
        <f t="shared" si="19"/>
        <v>0.9161881535038825</v>
      </c>
      <c r="K224" s="112"/>
      <c r="L224" s="37">
        <v>24.386813371500001</v>
      </c>
      <c r="M224" s="37" t="s">
        <v>509</v>
      </c>
      <c r="N224" s="37">
        <v>812.22926829268283</v>
      </c>
      <c r="O224" s="130">
        <f t="shared" si="18"/>
        <v>19807.68358072366</v>
      </c>
      <c r="P224" s="132">
        <f t="shared" si="16"/>
        <v>1636.3356964360771</v>
      </c>
      <c r="Q224" s="262">
        <v>9.0168333458366764E-2</v>
      </c>
      <c r="R224" s="92"/>
    </row>
    <row r="225" spans="1:18" x14ac:dyDescent="0.25">
      <c r="A225" s="326">
        <v>41162</v>
      </c>
      <c r="B225" s="326" t="s">
        <v>805</v>
      </c>
      <c r="C225" s="264" t="s">
        <v>417</v>
      </c>
      <c r="D225" s="157" t="s">
        <v>512</v>
      </c>
      <c r="E225" s="44">
        <f t="shared" si="15"/>
        <v>41162</v>
      </c>
      <c r="F225" s="146" t="str">
        <f t="shared" si="17"/>
        <v>2012-13</v>
      </c>
      <c r="G225" s="1"/>
      <c r="H225" s="161"/>
      <c r="I225" s="37"/>
      <c r="J225" s="135">
        <f t="shared" si="19"/>
        <v>0.9161881535038825</v>
      </c>
      <c r="K225" s="112"/>
      <c r="L225" s="37">
        <v>17.882654537299999</v>
      </c>
      <c r="M225" s="37" t="s">
        <v>509</v>
      </c>
      <c r="N225" s="37">
        <v>3592.3639024390236</v>
      </c>
      <c r="O225" s="130">
        <f t="shared" si="18"/>
        <v>64241.002639583938</v>
      </c>
      <c r="P225" s="132">
        <f t="shared" si="16"/>
        <v>5307.0236792501801</v>
      </c>
      <c r="Q225" s="262">
        <v>9.0168333458366764E-2</v>
      </c>
      <c r="R225" s="92"/>
    </row>
    <row r="226" spans="1:18" x14ac:dyDescent="0.25">
      <c r="A226" s="326">
        <v>41162</v>
      </c>
      <c r="B226" s="326" t="s">
        <v>805</v>
      </c>
      <c r="C226" s="264" t="s">
        <v>417</v>
      </c>
      <c r="D226" s="157" t="s">
        <v>512</v>
      </c>
      <c r="E226" s="44">
        <f t="shared" si="15"/>
        <v>41162</v>
      </c>
      <c r="F226" s="146" t="str">
        <f t="shared" si="17"/>
        <v>2012-13</v>
      </c>
      <c r="G226" s="1"/>
      <c r="H226" s="161"/>
      <c r="I226" s="37"/>
      <c r="J226" s="135">
        <f t="shared" si="19"/>
        <v>0.9161881535038825</v>
      </c>
      <c r="K226" s="112"/>
      <c r="L226" s="37">
        <v>5.6330276938799999</v>
      </c>
      <c r="M226" s="37" t="s">
        <v>509</v>
      </c>
      <c r="N226" s="37">
        <v>950.87219512195099</v>
      </c>
      <c r="O226" s="130">
        <f t="shared" si="18"/>
        <v>5356.2894084624168</v>
      </c>
      <c r="P226" s="132">
        <f t="shared" si="16"/>
        <v>442.48927562832768</v>
      </c>
      <c r="Q226" s="262">
        <v>9.0168333458366764E-2</v>
      </c>
      <c r="R226" s="92"/>
    </row>
    <row r="227" spans="1:18" x14ac:dyDescent="0.25">
      <c r="A227" s="326">
        <v>41162</v>
      </c>
      <c r="B227" s="326" t="s">
        <v>805</v>
      </c>
      <c r="C227" s="264" t="s">
        <v>417</v>
      </c>
      <c r="D227" s="157" t="s">
        <v>512</v>
      </c>
      <c r="E227" s="44">
        <f t="shared" si="15"/>
        <v>41162</v>
      </c>
      <c r="F227" s="146" t="str">
        <f t="shared" si="17"/>
        <v>2012-13</v>
      </c>
      <c r="G227" s="1"/>
      <c r="H227" s="161"/>
      <c r="I227" s="37"/>
      <c r="J227" s="135">
        <f t="shared" si="19"/>
        <v>0.9161881535038825</v>
      </c>
      <c r="K227" s="112"/>
      <c r="L227" s="37">
        <v>19.326527781300001</v>
      </c>
      <c r="M227" s="37" t="s">
        <v>509</v>
      </c>
      <c r="N227" s="37">
        <v>812.22926829268283</v>
      </c>
      <c r="O227" s="130">
        <f t="shared" si="18"/>
        <v>15697.571518443507</v>
      </c>
      <c r="P227" s="132">
        <f t="shared" si="16"/>
        <v>1296.7945756153354</v>
      </c>
      <c r="Q227" s="262">
        <v>9.0168333458366764E-2</v>
      </c>
      <c r="R227" s="92"/>
    </row>
    <row r="228" spans="1:18" x14ac:dyDescent="0.25">
      <c r="A228" s="326">
        <v>41162</v>
      </c>
      <c r="B228" s="326" t="s">
        <v>805</v>
      </c>
      <c r="C228" s="264" t="s">
        <v>417</v>
      </c>
      <c r="D228" s="157" t="s">
        <v>512</v>
      </c>
      <c r="E228" s="44">
        <f t="shared" si="15"/>
        <v>41162</v>
      </c>
      <c r="F228" s="146" t="str">
        <f t="shared" si="17"/>
        <v>2012-13</v>
      </c>
      <c r="G228" s="1"/>
      <c r="H228" s="161"/>
      <c r="I228" s="37"/>
      <c r="J228" s="135">
        <f t="shared" si="19"/>
        <v>0.9161881535038825</v>
      </c>
      <c r="K228" s="112"/>
      <c r="L228" s="37">
        <v>52.244262775000003</v>
      </c>
      <c r="M228" s="37" t="s">
        <v>509</v>
      </c>
      <c r="N228" s="37">
        <v>950.87219512195099</v>
      </c>
      <c r="O228" s="130">
        <f t="shared" si="18"/>
        <v>49677.616827392281</v>
      </c>
      <c r="P228" s="132">
        <f t="shared" si="16"/>
        <v>4103.9254992766637</v>
      </c>
      <c r="Q228" s="262">
        <v>9.0168333458366764E-2</v>
      </c>
      <c r="R228" s="92"/>
    </row>
    <row r="229" spans="1:18" x14ac:dyDescent="0.25">
      <c r="A229" s="326">
        <v>41162</v>
      </c>
      <c r="B229" s="326" t="s">
        <v>805</v>
      </c>
      <c r="C229" s="264" t="s">
        <v>417</v>
      </c>
      <c r="D229" s="157" t="s">
        <v>512</v>
      </c>
      <c r="E229" s="44">
        <f t="shared" si="15"/>
        <v>41162</v>
      </c>
      <c r="F229" s="146" t="str">
        <f t="shared" si="17"/>
        <v>2012-13</v>
      </c>
      <c r="G229" s="1"/>
      <c r="H229" s="161"/>
      <c r="I229" s="37"/>
      <c r="J229" s="135">
        <f t="shared" si="19"/>
        <v>0.9161881535038825</v>
      </c>
      <c r="K229" s="112"/>
      <c r="L229" s="37">
        <v>30.551288961499999</v>
      </c>
      <c r="M229" s="37" t="s">
        <v>509</v>
      </c>
      <c r="N229" s="37">
        <v>812.22926829268283</v>
      </c>
      <c r="O229" s="130">
        <f t="shared" si="18"/>
        <v>24814.651078597461</v>
      </c>
      <c r="P229" s="132">
        <f t="shared" si="16"/>
        <v>2049.9670841890311</v>
      </c>
      <c r="Q229" s="262">
        <v>9.0168333458366764E-2</v>
      </c>
      <c r="R229" s="92"/>
    </row>
    <row r="230" spans="1:18" x14ac:dyDescent="0.25">
      <c r="A230" s="326">
        <v>41162</v>
      </c>
      <c r="B230" s="326" t="s">
        <v>805</v>
      </c>
      <c r="C230" s="264" t="s">
        <v>417</v>
      </c>
      <c r="D230" s="157" t="s">
        <v>512</v>
      </c>
      <c r="E230" s="44">
        <f t="shared" si="15"/>
        <v>41162</v>
      </c>
      <c r="F230" s="146" t="str">
        <f t="shared" si="17"/>
        <v>2012-13</v>
      </c>
      <c r="G230" s="1"/>
      <c r="H230" s="161"/>
      <c r="I230" s="37"/>
      <c r="J230" s="135">
        <f t="shared" si="19"/>
        <v>0.9161881535038825</v>
      </c>
      <c r="K230" s="112"/>
      <c r="L230" s="37">
        <v>6.0571683153100002</v>
      </c>
      <c r="M230" s="37" t="s">
        <v>509</v>
      </c>
      <c r="N230" s="37">
        <v>950.87219512195099</v>
      </c>
      <c r="O230" s="130">
        <f t="shared" si="18"/>
        <v>5759.5929322019501</v>
      </c>
      <c r="P230" s="132">
        <f t="shared" si="16"/>
        <v>475.80664712731965</v>
      </c>
      <c r="Q230" s="262">
        <v>9.0168333458366764E-2</v>
      </c>
      <c r="R230" s="92"/>
    </row>
    <row r="231" spans="1:18" x14ac:dyDescent="0.25">
      <c r="A231" s="326">
        <v>41166</v>
      </c>
      <c r="B231" s="326" t="s">
        <v>805</v>
      </c>
      <c r="C231" s="264" t="s">
        <v>418</v>
      </c>
      <c r="D231" s="157" t="s">
        <v>512</v>
      </c>
      <c r="E231" s="44">
        <f t="shared" si="15"/>
        <v>41166</v>
      </c>
      <c r="F231" s="146" t="str">
        <f t="shared" si="17"/>
        <v>2012-13</v>
      </c>
      <c r="G231" s="1"/>
      <c r="H231" s="161"/>
      <c r="I231" s="37"/>
      <c r="J231" s="135">
        <f t="shared" si="19"/>
        <v>0.9161881535038825</v>
      </c>
      <c r="K231" s="112"/>
      <c r="L231" s="37">
        <v>59.038043438800003</v>
      </c>
      <c r="M231" s="37" t="s">
        <v>509</v>
      </c>
      <c r="N231" s="37">
        <v>3592.3639024390236</v>
      </c>
      <c r="O231" s="130">
        <f t="shared" si="18"/>
        <v>212086.13612017216</v>
      </c>
      <c r="P231" s="132">
        <f t="shared" si="16"/>
        <v>55045.553947794222</v>
      </c>
      <c r="Q231" s="262">
        <v>0.28328611898016998</v>
      </c>
      <c r="R231" s="92"/>
    </row>
    <row r="232" spans="1:18" x14ac:dyDescent="0.25">
      <c r="A232" s="326">
        <v>41183</v>
      </c>
      <c r="B232" s="326" t="s">
        <v>805</v>
      </c>
      <c r="C232" s="264" t="s">
        <v>419</v>
      </c>
      <c r="D232" s="157" t="s">
        <v>512</v>
      </c>
      <c r="E232" s="44">
        <f t="shared" si="15"/>
        <v>41183</v>
      </c>
      <c r="F232" s="146" t="str">
        <f t="shared" si="17"/>
        <v>2012-13</v>
      </c>
      <c r="G232" s="1"/>
      <c r="H232" s="161"/>
      <c r="I232" s="37"/>
      <c r="J232" s="135">
        <f t="shared" si="19"/>
        <v>0.9161881535038825</v>
      </c>
      <c r="K232" s="112"/>
      <c r="L232" s="37">
        <v>30.5869952203</v>
      </c>
      <c r="M232" s="37" t="s">
        <v>509</v>
      </c>
      <c r="N232" s="37">
        <v>3336.4019512195118</v>
      </c>
      <c r="O232" s="130">
        <f t="shared" si="18"/>
        <v>102050.51053495081</v>
      </c>
      <c r="P232" s="132">
        <f t="shared" si="16"/>
        <v>33841.004298565837</v>
      </c>
      <c r="Q232" s="262">
        <v>0.36194567327722049</v>
      </c>
      <c r="R232" s="92"/>
    </row>
    <row r="233" spans="1:18" x14ac:dyDescent="0.25">
      <c r="A233" s="326">
        <v>41183</v>
      </c>
      <c r="B233" s="326" t="s">
        <v>805</v>
      </c>
      <c r="C233" s="264" t="s">
        <v>419</v>
      </c>
      <c r="D233" s="157" t="s">
        <v>512</v>
      </c>
      <c r="E233" s="44">
        <f t="shared" si="15"/>
        <v>41183</v>
      </c>
      <c r="F233" s="146" t="str">
        <f t="shared" si="17"/>
        <v>2012-13</v>
      </c>
      <c r="G233" s="1"/>
      <c r="H233" s="161"/>
      <c r="I233" s="37"/>
      <c r="J233" s="135">
        <f t="shared" si="19"/>
        <v>0.9161881535038825</v>
      </c>
      <c r="K233" s="112"/>
      <c r="L233" s="37">
        <v>29.011269914700001</v>
      </c>
      <c r="M233" s="37" t="s">
        <v>509</v>
      </c>
      <c r="N233" s="37">
        <v>3336.4019512195118</v>
      </c>
      <c r="O233" s="130">
        <f t="shared" si="18"/>
        <v>96793.257550761002</v>
      </c>
      <c r="P233" s="132">
        <f t="shared" si="16"/>
        <v>32097.644859166619</v>
      </c>
      <c r="Q233" s="262">
        <v>0.36194567327722049</v>
      </c>
      <c r="R233" s="92"/>
    </row>
    <row r="234" spans="1:18" x14ac:dyDescent="0.25">
      <c r="A234" s="326">
        <v>41183</v>
      </c>
      <c r="B234" s="326" t="s">
        <v>805</v>
      </c>
      <c r="C234" s="264" t="s">
        <v>419</v>
      </c>
      <c r="D234" s="157" t="s">
        <v>512</v>
      </c>
      <c r="E234" s="44">
        <f t="shared" si="15"/>
        <v>41183</v>
      </c>
      <c r="F234" s="146" t="str">
        <f t="shared" si="17"/>
        <v>2012-13</v>
      </c>
      <c r="G234" s="1"/>
      <c r="H234" s="161"/>
      <c r="I234" s="37"/>
      <c r="J234" s="135">
        <f t="shared" si="19"/>
        <v>0.9161881535038825</v>
      </c>
      <c r="K234" s="112"/>
      <c r="L234" s="37">
        <v>27.542676456799999</v>
      </c>
      <c r="M234" s="37" t="s">
        <v>509</v>
      </c>
      <c r="N234" s="37">
        <v>3336.4019512195118</v>
      </c>
      <c r="O234" s="130">
        <f t="shared" si="18"/>
        <v>91893.439472275233</v>
      </c>
      <c r="P234" s="132">
        <f t="shared" si="16"/>
        <v>30472.814529685431</v>
      </c>
      <c r="Q234" s="262">
        <v>0.36194567327722049</v>
      </c>
      <c r="R234" s="92"/>
    </row>
    <row r="235" spans="1:18" x14ac:dyDescent="0.25">
      <c r="A235" s="326">
        <v>41183</v>
      </c>
      <c r="B235" s="326" t="s">
        <v>805</v>
      </c>
      <c r="C235" s="264" t="s">
        <v>419</v>
      </c>
      <c r="D235" s="157" t="s">
        <v>512</v>
      </c>
      <c r="E235" s="44">
        <f t="shared" si="15"/>
        <v>41183</v>
      </c>
      <c r="F235" s="146" t="str">
        <f t="shared" si="17"/>
        <v>2012-13</v>
      </c>
      <c r="G235" s="1"/>
      <c r="H235" s="161"/>
      <c r="I235" s="37"/>
      <c r="J235" s="135">
        <f t="shared" si="19"/>
        <v>0.9161881535038825</v>
      </c>
      <c r="K235" s="112"/>
      <c r="L235" s="37">
        <v>46.946643638600001</v>
      </c>
      <c r="M235" s="37" t="s">
        <v>509</v>
      </c>
      <c r="N235" s="37">
        <v>3875.3912195121943</v>
      </c>
      <c r="O235" s="130">
        <f t="shared" si="18"/>
        <v>181936.61054259847</v>
      </c>
      <c r="P235" s="132">
        <f t="shared" si="16"/>
        <v>60332.060929081963</v>
      </c>
      <c r="Q235" s="262">
        <v>0.36194567327722049</v>
      </c>
      <c r="R235" s="92"/>
    </row>
    <row r="236" spans="1:18" x14ac:dyDescent="0.25">
      <c r="A236" s="326">
        <v>41183</v>
      </c>
      <c r="B236" s="326" t="s">
        <v>805</v>
      </c>
      <c r="C236" s="264" t="s">
        <v>419</v>
      </c>
      <c r="D236" s="157" t="s">
        <v>512</v>
      </c>
      <c r="E236" s="44">
        <f t="shared" si="15"/>
        <v>41183</v>
      </c>
      <c r="F236" s="146" t="str">
        <f t="shared" si="17"/>
        <v>2012-13</v>
      </c>
      <c r="G236" s="1"/>
      <c r="H236" s="161"/>
      <c r="I236" s="37"/>
      <c r="J236" s="135">
        <f t="shared" si="19"/>
        <v>0.9161881535038825</v>
      </c>
      <c r="K236" s="112"/>
      <c r="L236" s="37">
        <v>24.200365000400001</v>
      </c>
      <c r="M236" s="37" t="s">
        <v>509</v>
      </c>
      <c r="N236" s="37">
        <v>812.22926829268283</v>
      </c>
      <c r="O236" s="130">
        <f t="shared" si="18"/>
        <v>19656.244756690743</v>
      </c>
      <c r="P236" s="132">
        <f t="shared" si="16"/>
        <v>6518.2139689248961</v>
      </c>
      <c r="Q236" s="262">
        <v>0.36194567327722049</v>
      </c>
      <c r="R236" s="92"/>
    </row>
    <row r="237" spans="1:18" x14ac:dyDescent="0.25">
      <c r="A237" s="326">
        <v>41183</v>
      </c>
      <c r="B237" s="326" t="s">
        <v>805</v>
      </c>
      <c r="C237" s="264" t="s">
        <v>419</v>
      </c>
      <c r="D237" s="157" t="s">
        <v>512</v>
      </c>
      <c r="E237" s="44">
        <f t="shared" si="15"/>
        <v>41183</v>
      </c>
      <c r="F237" s="146" t="str">
        <f t="shared" si="17"/>
        <v>2012-13</v>
      </c>
      <c r="G237" s="1"/>
      <c r="H237" s="161"/>
      <c r="I237" s="37"/>
      <c r="J237" s="135">
        <f t="shared" si="19"/>
        <v>0.9161881535038825</v>
      </c>
      <c r="K237" s="112"/>
      <c r="L237" s="37">
        <v>8.0068353298900004</v>
      </c>
      <c r="M237" s="37" t="s">
        <v>509</v>
      </c>
      <c r="N237" s="37">
        <v>1162.6195121951216</v>
      </c>
      <c r="O237" s="130">
        <f t="shared" si="18"/>
        <v>9308.9029854633773</v>
      </c>
      <c r="P237" s="132">
        <f t="shared" si="16"/>
        <v>3086.9284660570888</v>
      </c>
      <c r="Q237" s="262">
        <v>0.36194567327722049</v>
      </c>
      <c r="R237" s="92"/>
    </row>
    <row r="238" spans="1:18" x14ac:dyDescent="0.25">
      <c r="A238" s="326">
        <v>41183</v>
      </c>
      <c r="B238" s="326" t="s">
        <v>805</v>
      </c>
      <c r="C238" s="264" t="s">
        <v>419</v>
      </c>
      <c r="D238" s="157" t="s">
        <v>512</v>
      </c>
      <c r="E238" s="44">
        <f t="shared" si="15"/>
        <v>41183</v>
      </c>
      <c r="F238" s="146" t="str">
        <f t="shared" si="17"/>
        <v>2012-13</v>
      </c>
      <c r="G238" s="1"/>
      <c r="H238" s="161"/>
      <c r="I238" s="37"/>
      <c r="J238" s="135">
        <f t="shared" si="19"/>
        <v>0.9161881535038825</v>
      </c>
      <c r="K238" s="112"/>
      <c r="L238" s="37">
        <v>21.309909362900001</v>
      </c>
      <c r="M238" s="37" t="s">
        <v>509</v>
      </c>
      <c r="N238" s="37">
        <v>3875.3912195121943</v>
      </c>
      <c r="O238" s="130">
        <f t="shared" si="18"/>
        <v>82584.235633583361</v>
      </c>
      <c r="P238" s="132">
        <f t="shared" si="16"/>
        <v>27385.786297587532</v>
      </c>
      <c r="Q238" s="262">
        <v>0.36194567327722049</v>
      </c>
      <c r="R238" s="92"/>
    </row>
    <row r="239" spans="1:18" x14ac:dyDescent="0.25">
      <c r="A239" s="326">
        <v>41183</v>
      </c>
      <c r="B239" s="326" t="s">
        <v>805</v>
      </c>
      <c r="C239" s="264" t="s">
        <v>419</v>
      </c>
      <c r="D239" s="157" t="s">
        <v>512</v>
      </c>
      <c r="E239" s="44">
        <f t="shared" si="15"/>
        <v>41183</v>
      </c>
      <c r="F239" s="146" t="str">
        <f t="shared" si="17"/>
        <v>2012-13</v>
      </c>
      <c r="G239" s="1"/>
      <c r="H239" s="161"/>
      <c r="I239" s="37"/>
      <c r="J239" s="135">
        <f t="shared" si="19"/>
        <v>0.9161881535038825</v>
      </c>
      <c r="K239" s="112"/>
      <c r="L239" s="37">
        <v>24.738563988399999</v>
      </c>
      <c r="M239" s="37" t="s">
        <v>509</v>
      </c>
      <c r="N239" s="37">
        <v>812.22926829268283</v>
      </c>
      <c r="O239" s="130">
        <f t="shared" si="18"/>
        <v>20093.385726909844</v>
      </c>
      <c r="P239" s="132">
        <f t="shared" si="16"/>
        <v>6663.174433842878</v>
      </c>
      <c r="Q239" s="262">
        <v>0.36194567327722049</v>
      </c>
      <c r="R239" s="92"/>
    </row>
    <row r="240" spans="1:18" x14ac:dyDescent="0.25">
      <c r="A240" s="326">
        <v>41183</v>
      </c>
      <c r="B240" s="326" t="s">
        <v>805</v>
      </c>
      <c r="C240" s="264" t="s">
        <v>419</v>
      </c>
      <c r="D240" s="157" t="s">
        <v>512</v>
      </c>
      <c r="E240" s="44">
        <f t="shared" si="15"/>
        <v>41183</v>
      </c>
      <c r="F240" s="146" t="str">
        <f t="shared" si="17"/>
        <v>2012-13</v>
      </c>
      <c r="G240" s="1"/>
      <c r="H240" s="161"/>
      <c r="I240" s="37"/>
      <c r="J240" s="135">
        <f t="shared" si="19"/>
        <v>0.9161881535038825</v>
      </c>
      <c r="K240" s="112"/>
      <c r="L240" s="37">
        <v>49.400979614900002</v>
      </c>
      <c r="M240" s="37" t="s">
        <v>509</v>
      </c>
      <c r="N240" s="37">
        <v>3875.3912195121943</v>
      </c>
      <c r="O240" s="130">
        <f t="shared" si="18"/>
        <v>191448.12263488438</v>
      </c>
      <c r="P240" s="132">
        <f t="shared" si="16"/>
        <v>63486.176669548244</v>
      </c>
      <c r="Q240" s="262">
        <v>0.36194567327722049</v>
      </c>
      <c r="R240" s="92"/>
    </row>
    <row r="241" spans="1:18" x14ac:dyDescent="0.25">
      <c r="A241" s="326">
        <v>41183</v>
      </c>
      <c r="B241" s="326" t="s">
        <v>805</v>
      </c>
      <c r="C241" s="264" t="s">
        <v>419</v>
      </c>
      <c r="D241" s="157" t="s">
        <v>512</v>
      </c>
      <c r="E241" s="44">
        <f t="shared" si="15"/>
        <v>41183</v>
      </c>
      <c r="F241" s="146" t="str">
        <f t="shared" si="17"/>
        <v>2012-13</v>
      </c>
      <c r="G241" s="1"/>
      <c r="H241" s="161"/>
      <c r="I241" s="37"/>
      <c r="J241" s="135">
        <f t="shared" si="19"/>
        <v>0.9161881535038825</v>
      </c>
      <c r="K241" s="112"/>
      <c r="L241" s="37">
        <v>77.271113272600005</v>
      </c>
      <c r="M241" s="37" t="s">
        <v>509</v>
      </c>
      <c r="N241" s="37">
        <v>812.22926829268283</v>
      </c>
      <c r="O241" s="130">
        <f t="shared" si="18"/>
        <v>62761.859793564916</v>
      </c>
      <c r="P241" s="132">
        <f t="shared" si="16"/>
        <v>20812.481543956641</v>
      </c>
      <c r="Q241" s="262">
        <v>0.36194567327722049</v>
      </c>
      <c r="R241" s="92"/>
    </row>
    <row r="242" spans="1:18" x14ac:dyDescent="0.25">
      <c r="A242" s="326">
        <v>41183</v>
      </c>
      <c r="B242" s="326" t="s">
        <v>805</v>
      </c>
      <c r="C242" s="264" t="s">
        <v>419</v>
      </c>
      <c r="D242" s="157" t="s">
        <v>512</v>
      </c>
      <c r="E242" s="44">
        <f t="shared" si="15"/>
        <v>41183</v>
      </c>
      <c r="F242" s="146" t="str">
        <f t="shared" si="17"/>
        <v>2012-13</v>
      </c>
      <c r="G242" s="1"/>
      <c r="H242" s="161"/>
      <c r="I242" s="37"/>
      <c r="J242" s="135">
        <f t="shared" si="19"/>
        <v>0.9161881535038825</v>
      </c>
      <c r="K242" s="112"/>
      <c r="L242" s="37">
        <v>77.840674036999999</v>
      </c>
      <c r="M242" s="37" t="s">
        <v>509</v>
      </c>
      <c r="N242" s="37">
        <v>812.22926829268283</v>
      </c>
      <c r="O242" s="130">
        <f t="shared" si="18"/>
        <v>63224.473716481742</v>
      </c>
      <c r="P242" s="132">
        <f t="shared" si="16"/>
        <v>20965.889103330319</v>
      </c>
      <c r="Q242" s="262">
        <v>0.36194567327722049</v>
      </c>
      <c r="R242" s="92"/>
    </row>
    <row r="243" spans="1:18" x14ac:dyDescent="0.25">
      <c r="A243" s="326">
        <v>41183</v>
      </c>
      <c r="B243" s="326" t="s">
        <v>805</v>
      </c>
      <c r="C243" s="264" t="s">
        <v>419</v>
      </c>
      <c r="D243" s="157" t="s">
        <v>512</v>
      </c>
      <c r="E243" s="44">
        <f t="shared" si="15"/>
        <v>41183</v>
      </c>
      <c r="F243" s="146" t="str">
        <f t="shared" si="17"/>
        <v>2012-13</v>
      </c>
      <c r="G243" s="1"/>
      <c r="H243" s="161"/>
      <c r="I243" s="37"/>
      <c r="J243" s="135">
        <f t="shared" si="19"/>
        <v>0.9161881535038825</v>
      </c>
      <c r="K243" s="112"/>
      <c r="L243" s="37">
        <v>40.275418510999998</v>
      </c>
      <c r="M243" s="37" t="s">
        <v>509</v>
      </c>
      <c r="N243" s="37">
        <v>3336.4019512195118</v>
      </c>
      <c r="O243" s="130">
        <f t="shared" si="18"/>
        <v>134374.98490628283</v>
      </c>
      <c r="P243" s="132">
        <f t="shared" si="16"/>
        <v>44560.134172732272</v>
      </c>
      <c r="Q243" s="262">
        <v>0.36194567327722049</v>
      </c>
      <c r="R243" s="92"/>
    </row>
    <row r="244" spans="1:18" x14ac:dyDescent="0.25">
      <c r="A244" s="326">
        <v>41183</v>
      </c>
      <c r="B244" s="326" t="s">
        <v>805</v>
      </c>
      <c r="C244" s="264" t="s">
        <v>419</v>
      </c>
      <c r="D244" s="157" t="s">
        <v>512</v>
      </c>
      <c r="E244" s="44">
        <f t="shared" si="15"/>
        <v>41183</v>
      </c>
      <c r="F244" s="146" t="str">
        <f t="shared" si="17"/>
        <v>2012-13</v>
      </c>
      <c r="G244" s="1"/>
      <c r="H244" s="161"/>
      <c r="I244" s="37"/>
      <c r="J244" s="135">
        <f t="shared" si="19"/>
        <v>0.9161881535038825</v>
      </c>
      <c r="K244" s="112"/>
      <c r="L244" s="37">
        <v>64.551403102899997</v>
      </c>
      <c r="M244" s="37" t="s">
        <v>509</v>
      </c>
      <c r="N244" s="37">
        <v>812.22926829268283</v>
      </c>
      <c r="O244" s="130">
        <f t="shared" si="18"/>
        <v>52430.53890953448</v>
      </c>
      <c r="P244" s="132">
        <f t="shared" si="16"/>
        <v>17386.508732908369</v>
      </c>
      <c r="Q244" s="262">
        <v>0.36194567327722049</v>
      </c>
      <c r="R244" s="92"/>
    </row>
    <row r="245" spans="1:18" x14ac:dyDescent="0.25">
      <c r="A245" s="326">
        <v>41183</v>
      </c>
      <c r="B245" s="326" t="s">
        <v>805</v>
      </c>
      <c r="C245" s="264" t="s">
        <v>419</v>
      </c>
      <c r="D245" s="157" t="s">
        <v>512</v>
      </c>
      <c r="E245" s="44">
        <f t="shared" si="15"/>
        <v>41183</v>
      </c>
      <c r="F245" s="146" t="str">
        <f t="shared" si="17"/>
        <v>2012-13</v>
      </c>
      <c r="G245" s="1"/>
      <c r="H245" s="161"/>
      <c r="I245" s="37"/>
      <c r="J245" s="135">
        <f t="shared" si="19"/>
        <v>0.9161881535038825</v>
      </c>
      <c r="K245" s="112"/>
      <c r="L245" s="37">
        <v>63.266615870599999</v>
      </c>
      <c r="M245" s="37" t="s">
        <v>509</v>
      </c>
      <c r="N245" s="37">
        <v>812.22926829268283</v>
      </c>
      <c r="O245" s="130">
        <f t="shared" si="18"/>
        <v>51386.99711593167</v>
      </c>
      <c r="P245" s="132">
        <f t="shared" si="16"/>
        <v>17040.459485943051</v>
      </c>
      <c r="Q245" s="262">
        <v>0.36194567327722049</v>
      </c>
      <c r="R245" s="92"/>
    </row>
    <row r="246" spans="1:18" x14ac:dyDescent="0.25">
      <c r="A246" s="326">
        <v>41183</v>
      </c>
      <c r="B246" s="326" t="s">
        <v>805</v>
      </c>
      <c r="C246" s="264" t="s">
        <v>419</v>
      </c>
      <c r="D246" s="157" t="s">
        <v>512</v>
      </c>
      <c r="E246" s="44">
        <f t="shared" ref="E246:E309" si="20">A246</f>
        <v>41183</v>
      </c>
      <c r="F246" s="146" t="str">
        <f t="shared" si="17"/>
        <v>2012-13</v>
      </c>
      <c r="G246" s="1"/>
      <c r="H246" s="161"/>
      <c r="I246" s="37"/>
      <c r="J246" s="135">
        <f t="shared" si="19"/>
        <v>0.9161881535038825</v>
      </c>
      <c r="K246" s="112"/>
      <c r="L246" s="37">
        <v>54.135408269300001</v>
      </c>
      <c r="M246" s="37" t="s">
        <v>509</v>
      </c>
      <c r="N246" s="37">
        <v>812.22926829268283</v>
      </c>
      <c r="O246" s="130">
        <f t="shared" si="18"/>
        <v>43970.363047299194</v>
      </c>
      <c r="P246" s="132">
        <f t="shared" si="16"/>
        <v>14581.026955112915</v>
      </c>
      <c r="Q246" s="262">
        <v>0.36194567327722049</v>
      </c>
      <c r="R246" s="92"/>
    </row>
    <row r="247" spans="1:18" x14ac:dyDescent="0.25">
      <c r="A247" s="326">
        <v>41183</v>
      </c>
      <c r="B247" s="326" t="s">
        <v>805</v>
      </c>
      <c r="C247" s="264" t="s">
        <v>419</v>
      </c>
      <c r="D247" s="157" t="s">
        <v>512</v>
      </c>
      <c r="E247" s="44">
        <f t="shared" si="20"/>
        <v>41183</v>
      </c>
      <c r="F247" s="146" t="str">
        <f t="shared" si="17"/>
        <v>2012-13</v>
      </c>
      <c r="G247" s="1"/>
      <c r="H247" s="161"/>
      <c r="I247" s="37"/>
      <c r="J247" s="135">
        <f t="shared" si="19"/>
        <v>0.9161881535038825</v>
      </c>
      <c r="K247" s="112"/>
      <c r="L247" s="37">
        <v>17.950370052099998</v>
      </c>
      <c r="M247" s="37" t="s">
        <v>509</v>
      </c>
      <c r="N247" s="37">
        <v>3336.4019512195118</v>
      </c>
      <c r="O247" s="130">
        <f t="shared" si="18"/>
        <v>59889.649666938727</v>
      </c>
      <c r="P247" s="132">
        <f t="shared" si="16"/>
        <v>19860.026972862142</v>
      </c>
      <c r="Q247" s="262">
        <v>0.36194567327722049</v>
      </c>
      <c r="R247" s="92"/>
    </row>
    <row r="248" spans="1:18" x14ac:dyDescent="0.25">
      <c r="A248" s="326">
        <v>41183</v>
      </c>
      <c r="B248" s="326" t="s">
        <v>805</v>
      </c>
      <c r="C248" s="264" t="s">
        <v>419</v>
      </c>
      <c r="D248" s="157" t="s">
        <v>512</v>
      </c>
      <c r="E248" s="44">
        <f t="shared" si="20"/>
        <v>41183</v>
      </c>
      <c r="F248" s="146" t="str">
        <f t="shared" si="17"/>
        <v>2012-13</v>
      </c>
      <c r="G248" s="1"/>
      <c r="H248" s="161"/>
      <c r="I248" s="37"/>
      <c r="J248" s="135">
        <f t="shared" si="19"/>
        <v>0.9161881535038825</v>
      </c>
      <c r="K248" s="112"/>
      <c r="L248" s="37">
        <v>17.587152992699998</v>
      </c>
      <c r="M248" s="37" t="s">
        <v>509</v>
      </c>
      <c r="N248" s="37">
        <v>3336.4019512195118</v>
      </c>
      <c r="O248" s="130">
        <f t="shared" si="18"/>
        <v>58677.811561240349</v>
      </c>
      <c r="P248" s="132">
        <f t="shared" si="16"/>
        <v>19458.168928947121</v>
      </c>
      <c r="Q248" s="262">
        <v>0.36194567327722049</v>
      </c>
      <c r="R248" s="92"/>
    </row>
    <row r="249" spans="1:18" x14ac:dyDescent="0.25">
      <c r="A249" s="326">
        <v>41183</v>
      </c>
      <c r="B249" s="326" t="s">
        <v>805</v>
      </c>
      <c r="C249" s="264" t="s">
        <v>419</v>
      </c>
      <c r="D249" s="157" t="s">
        <v>512</v>
      </c>
      <c r="E249" s="44">
        <f t="shared" si="20"/>
        <v>41183</v>
      </c>
      <c r="F249" s="146" t="str">
        <f t="shared" si="17"/>
        <v>2012-13</v>
      </c>
      <c r="G249" s="1"/>
      <c r="H249" s="161"/>
      <c r="I249" s="37"/>
      <c r="J249" s="135">
        <f t="shared" si="19"/>
        <v>0.9161881535038825</v>
      </c>
      <c r="K249" s="112"/>
      <c r="L249" s="37">
        <v>6.9672020209000003</v>
      </c>
      <c r="M249" s="37" t="s">
        <v>509</v>
      </c>
      <c r="N249" s="37">
        <v>812.22926829268283</v>
      </c>
      <c r="O249" s="130">
        <f t="shared" si="18"/>
        <v>5658.9653994829087</v>
      </c>
      <c r="P249" s="132">
        <f t="shared" si="16"/>
        <v>1876.5714292409025</v>
      </c>
      <c r="Q249" s="262">
        <v>0.36194567327722049</v>
      </c>
      <c r="R249" s="92"/>
    </row>
    <row r="250" spans="1:18" x14ac:dyDescent="0.25">
      <c r="A250" s="326">
        <v>41183</v>
      </c>
      <c r="B250" s="326" t="s">
        <v>805</v>
      </c>
      <c r="C250" s="264" t="s">
        <v>419</v>
      </c>
      <c r="D250" s="157" t="s">
        <v>512</v>
      </c>
      <c r="E250" s="44">
        <f t="shared" si="20"/>
        <v>41183</v>
      </c>
      <c r="F250" s="146" t="str">
        <f t="shared" si="17"/>
        <v>2012-13</v>
      </c>
      <c r="G250" s="1"/>
      <c r="H250" s="161"/>
      <c r="I250" s="37"/>
      <c r="J250" s="135">
        <f t="shared" si="19"/>
        <v>0.9161881535038825</v>
      </c>
      <c r="K250" s="112"/>
      <c r="L250" s="37">
        <v>7.3570496804100003</v>
      </c>
      <c r="M250" s="37" t="s">
        <v>509</v>
      </c>
      <c r="N250" s="37">
        <v>812.22926829268283</v>
      </c>
      <c r="O250" s="130">
        <f t="shared" si="18"/>
        <v>5975.6110787123307</v>
      </c>
      <c r="P250" s="132">
        <f t="shared" si="16"/>
        <v>1981.574409978125</v>
      </c>
      <c r="Q250" s="262">
        <v>0.36194567327722049</v>
      </c>
      <c r="R250" s="92"/>
    </row>
    <row r="251" spans="1:18" x14ac:dyDescent="0.25">
      <c r="A251" s="326">
        <v>41183</v>
      </c>
      <c r="B251" s="326" t="s">
        <v>805</v>
      </c>
      <c r="C251" s="264" t="s">
        <v>419</v>
      </c>
      <c r="D251" s="157" t="s">
        <v>512</v>
      </c>
      <c r="E251" s="44">
        <f t="shared" si="20"/>
        <v>41183</v>
      </c>
      <c r="F251" s="146" t="str">
        <f t="shared" si="17"/>
        <v>2012-13</v>
      </c>
      <c r="G251" s="1"/>
      <c r="H251" s="161"/>
      <c r="I251" s="37"/>
      <c r="J251" s="135">
        <f t="shared" si="19"/>
        <v>0.9161881535038825</v>
      </c>
      <c r="K251" s="112"/>
      <c r="L251" s="37">
        <v>9.4986799609200006</v>
      </c>
      <c r="M251" s="37" t="s">
        <v>509</v>
      </c>
      <c r="N251" s="37">
        <v>812.22926829268283</v>
      </c>
      <c r="O251" s="130">
        <f t="shared" si="18"/>
        <v>7715.1058744044212</v>
      </c>
      <c r="P251" s="132">
        <f t="shared" si="16"/>
        <v>2558.408867246108</v>
      </c>
      <c r="Q251" s="262">
        <v>0.36194567327722049</v>
      </c>
      <c r="R251" s="92"/>
    </row>
    <row r="252" spans="1:18" x14ac:dyDescent="0.25">
      <c r="A252" s="326">
        <v>41183</v>
      </c>
      <c r="B252" s="326" t="s">
        <v>805</v>
      </c>
      <c r="C252" s="264" t="s">
        <v>419</v>
      </c>
      <c r="D252" s="157" t="s">
        <v>512</v>
      </c>
      <c r="E252" s="44">
        <f t="shared" si="20"/>
        <v>41183</v>
      </c>
      <c r="F252" s="146" t="str">
        <f t="shared" si="17"/>
        <v>2012-13</v>
      </c>
      <c r="G252" s="1"/>
      <c r="H252" s="161"/>
      <c r="I252" s="37"/>
      <c r="J252" s="135">
        <f t="shared" si="19"/>
        <v>0.9161881535038825</v>
      </c>
      <c r="K252" s="112"/>
      <c r="L252" s="37">
        <v>9.3280482953299995</v>
      </c>
      <c r="M252" s="37" t="s">
        <v>509</v>
      </c>
      <c r="N252" s="37">
        <v>812.22926829268283</v>
      </c>
      <c r="O252" s="130">
        <f t="shared" si="18"/>
        <v>7576.513841514693</v>
      </c>
      <c r="P252" s="132">
        <f t="shared" si="16"/>
        <v>2512.4503163659342</v>
      </c>
      <c r="Q252" s="262">
        <v>0.36194567327722049</v>
      </c>
      <c r="R252" s="92"/>
    </row>
    <row r="253" spans="1:18" x14ac:dyDescent="0.25">
      <c r="A253" s="326">
        <v>41183</v>
      </c>
      <c r="B253" s="326" t="s">
        <v>805</v>
      </c>
      <c r="C253" s="264" t="s">
        <v>419</v>
      </c>
      <c r="D253" s="157" t="s">
        <v>512</v>
      </c>
      <c r="E253" s="44">
        <f t="shared" si="20"/>
        <v>41183</v>
      </c>
      <c r="F253" s="146" t="str">
        <f t="shared" si="17"/>
        <v>2012-13</v>
      </c>
      <c r="G253" s="1"/>
      <c r="H253" s="161"/>
      <c r="I253" s="37"/>
      <c r="J253" s="135">
        <f t="shared" si="19"/>
        <v>0.9161881535038825</v>
      </c>
      <c r="K253" s="112"/>
      <c r="L253" s="37">
        <v>43.3178132066</v>
      </c>
      <c r="M253" s="37" t="s">
        <v>509</v>
      </c>
      <c r="N253" s="37">
        <v>1162.6195121951216</v>
      </c>
      <c r="O253" s="130">
        <f t="shared" si="18"/>
        <v>50362.134859616686</v>
      </c>
      <c r="P253" s="132">
        <f t="shared" si="16"/>
        <v>16700.604566652717</v>
      </c>
      <c r="Q253" s="262">
        <v>0.36194567327722049</v>
      </c>
      <c r="R253" s="92"/>
    </row>
    <row r="254" spans="1:18" x14ac:dyDescent="0.25">
      <c r="A254" s="326">
        <v>41183</v>
      </c>
      <c r="B254" s="326" t="s">
        <v>805</v>
      </c>
      <c r="C254" s="264" t="s">
        <v>419</v>
      </c>
      <c r="D254" s="157" t="s">
        <v>512</v>
      </c>
      <c r="E254" s="44">
        <f t="shared" si="20"/>
        <v>41183</v>
      </c>
      <c r="F254" s="146" t="str">
        <f t="shared" si="17"/>
        <v>2012-13</v>
      </c>
      <c r="G254" s="1"/>
      <c r="H254" s="161"/>
      <c r="I254" s="37"/>
      <c r="J254" s="135">
        <f t="shared" si="19"/>
        <v>0.9161881535038825</v>
      </c>
      <c r="K254" s="112"/>
      <c r="L254" s="37">
        <v>46.657843810000003</v>
      </c>
      <c r="M254" s="37" t="s">
        <v>509</v>
      </c>
      <c r="N254" s="37">
        <v>3592.3639024390236</v>
      </c>
      <c r="O254" s="130">
        <f t="shared" si="18"/>
        <v>167611.95386868206</v>
      </c>
      <c r="P254" s="132">
        <f t="shared" si="16"/>
        <v>55581.85668672825</v>
      </c>
      <c r="Q254" s="262">
        <v>0.36194567327722049</v>
      </c>
      <c r="R254" s="92"/>
    </row>
    <row r="255" spans="1:18" x14ac:dyDescent="0.25">
      <c r="A255" s="326">
        <v>41183</v>
      </c>
      <c r="B255" s="326" t="s">
        <v>805</v>
      </c>
      <c r="C255" s="264" t="s">
        <v>419</v>
      </c>
      <c r="D255" s="157" t="s">
        <v>512</v>
      </c>
      <c r="E255" s="44">
        <f t="shared" si="20"/>
        <v>41183</v>
      </c>
      <c r="F255" s="146" t="str">
        <f t="shared" si="17"/>
        <v>2012-13</v>
      </c>
      <c r="G255" s="1"/>
      <c r="H255" s="161"/>
      <c r="I255" s="37"/>
      <c r="J255" s="135">
        <f t="shared" si="19"/>
        <v>0.9161881535038825</v>
      </c>
      <c r="K255" s="112"/>
      <c r="L255" s="37">
        <v>80.082770138200004</v>
      </c>
      <c r="M255" s="37" t="s">
        <v>509</v>
      </c>
      <c r="N255" s="37">
        <v>1162.6195121951216</v>
      </c>
      <c r="O255" s="130">
        <f t="shared" si="18"/>
        <v>93105.791153308135</v>
      </c>
      <c r="P255" s="132">
        <f t="shared" si="16"/>
        <v>30874.84288049076</v>
      </c>
      <c r="Q255" s="262">
        <v>0.36194567327722049</v>
      </c>
      <c r="R255" s="92"/>
    </row>
    <row r="256" spans="1:18" x14ac:dyDescent="0.25">
      <c r="A256" s="326">
        <v>41183</v>
      </c>
      <c r="B256" s="326" t="s">
        <v>805</v>
      </c>
      <c r="C256" s="264" t="s">
        <v>419</v>
      </c>
      <c r="D256" s="157" t="s">
        <v>512</v>
      </c>
      <c r="E256" s="44">
        <f t="shared" si="20"/>
        <v>41183</v>
      </c>
      <c r="F256" s="146" t="str">
        <f t="shared" si="17"/>
        <v>2012-13</v>
      </c>
      <c r="G256" s="1"/>
      <c r="H256" s="161"/>
      <c r="I256" s="37"/>
      <c r="J256" s="135">
        <f t="shared" si="19"/>
        <v>0.9161881535038825</v>
      </c>
      <c r="K256" s="112"/>
      <c r="L256" s="37">
        <v>36.288253195800003</v>
      </c>
      <c r="M256" s="37" t="s">
        <v>509</v>
      </c>
      <c r="N256" s="37">
        <v>3875.3912195121943</v>
      </c>
      <c r="O256" s="130">
        <f t="shared" si="18"/>
        <v>140631.17780643865</v>
      </c>
      <c r="P256" s="132">
        <f t="shared" si="16"/>
        <v>46634.752415375166</v>
      </c>
      <c r="Q256" s="262">
        <v>0.36194567327722049</v>
      </c>
      <c r="R256" s="92"/>
    </row>
    <row r="257" spans="1:18" x14ac:dyDescent="0.25">
      <c r="A257" s="326">
        <v>41183</v>
      </c>
      <c r="B257" s="326" t="s">
        <v>805</v>
      </c>
      <c r="C257" s="264" t="s">
        <v>419</v>
      </c>
      <c r="D257" s="157" t="s">
        <v>512</v>
      </c>
      <c r="E257" s="44">
        <f t="shared" si="20"/>
        <v>41183</v>
      </c>
      <c r="F257" s="146" t="str">
        <f t="shared" si="17"/>
        <v>2012-13</v>
      </c>
      <c r="G257" s="1"/>
      <c r="H257" s="161"/>
      <c r="I257" s="37"/>
      <c r="J257" s="135">
        <f t="shared" si="19"/>
        <v>0.9161881535038825</v>
      </c>
      <c r="K257" s="112"/>
      <c r="L257" s="37">
        <v>78.576678847899998</v>
      </c>
      <c r="M257" s="37" t="s">
        <v>509</v>
      </c>
      <c r="N257" s="37">
        <v>3875.3912195121943</v>
      </c>
      <c r="O257" s="130">
        <f t="shared" si="18"/>
        <v>304515.37126558123</v>
      </c>
      <c r="P257" s="132">
        <f t="shared" si="16"/>
        <v>100980.44521245739</v>
      </c>
      <c r="Q257" s="262">
        <v>0.36194567327722049</v>
      </c>
      <c r="R257" s="92"/>
    </row>
    <row r="258" spans="1:18" x14ac:dyDescent="0.25">
      <c r="A258" s="326">
        <v>41183</v>
      </c>
      <c r="B258" s="326" t="s">
        <v>805</v>
      </c>
      <c r="C258" s="264" t="s">
        <v>419</v>
      </c>
      <c r="D258" s="157" t="s">
        <v>512</v>
      </c>
      <c r="E258" s="44">
        <f t="shared" si="20"/>
        <v>41183</v>
      </c>
      <c r="F258" s="146" t="str">
        <f t="shared" si="17"/>
        <v>2012-13</v>
      </c>
      <c r="G258" s="1"/>
      <c r="H258" s="161"/>
      <c r="I258" s="37"/>
      <c r="J258" s="135">
        <f t="shared" si="19"/>
        <v>0.9161881535038825</v>
      </c>
      <c r="K258" s="112"/>
      <c r="L258" s="37">
        <v>33.048028736399999</v>
      </c>
      <c r="M258" s="37" t="s">
        <v>509</v>
      </c>
      <c r="N258" s="37">
        <v>3592.3639024390236</v>
      </c>
      <c r="O258" s="130">
        <f t="shared" si="18"/>
        <v>118720.5454794109</v>
      </c>
      <c r="P258" s="132">
        <f t="shared" si="16"/>
        <v>39368.960222113223</v>
      </c>
      <c r="Q258" s="262">
        <v>0.36194567327722049</v>
      </c>
      <c r="R258" s="92"/>
    </row>
    <row r="259" spans="1:18" x14ac:dyDescent="0.25">
      <c r="A259" s="326">
        <v>41183</v>
      </c>
      <c r="B259" s="326" t="s">
        <v>805</v>
      </c>
      <c r="C259" s="264" t="s">
        <v>419</v>
      </c>
      <c r="D259" s="157" t="s">
        <v>512</v>
      </c>
      <c r="E259" s="44">
        <f t="shared" si="20"/>
        <v>41183</v>
      </c>
      <c r="F259" s="146" t="str">
        <f t="shared" si="17"/>
        <v>2012-13</v>
      </c>
      <c r="G259" s="1"/>
      <c r="H259" s="161"/>
      <c r="I259" s="37"/>
      <c r="J259" s="135">
        <f t="shared" si="19"/>
        <v>0.9161881535038825</v>
      </c>
      <c r="K259" s="112"/>
      <c r="L259" s="37">
        <v>5.2451868415299998</v>
      </c>
      <c r="M259" s="37" t="s">
        <v>509</v>
      </c>
      <c r="N259" s="37">
        <v>950.87219512195099</v>
      </c>
      <c r="O259" s="130">
        <f t="shared" si="18"/>
        <v>4987.5023258304036</v>
      </c>
      <c r="P259" s="132">
        <f t="shared" si="16"/>
        <v>1653.9073323864302</v>
      </c>
      <c r="Q259" s="262">
        <v>0.36194567327722049</v>
      </c>
      <c r="R259" s="92"/>
    </row>
    <row r="260" spans="1:18" x14ac:dyDescent="0.25">
      <c r="A260" s="326">
        <v>41183</v>
      </c>
      <c r="B260" s="326" t="s">
        <v>805</v>
      </c>
      <c r="C260" s="264" t="s">
        <v>419</v>
      </c>
      <c r="D260" s="157" t="s">
        <v>512</v>
      </c>
      <c r="E260" s="44">
        <f t="shared" si="20"/>
        <v>41183</v>
      </c>
      <c r="F260" s="146" t="str">
        <f t="shared" si="17"/>
        <v>2012-13</v>
      </c>
      <c r="G260" s="1"/>
      <c r="H260" s="161"/>
      <c r="I260" s="37"/>
      <c r="J260" s="135">
        <f t="shared" si="19"/>
        <v>0.9161881535038825</v>
      </c>
      <c r="K260" s="112"/>
      <c r="L260" s="37">
        <v>87.498716924700005</v>
      </c>
      <c r="M260" s="37" t="s">
        <v>509</v>
      </c>
      <c r="N260" s="37">
        <v>3336.4019512195118</v>
      </c>
      <c r="O260" s="130">
        <f t="shared" si="18"/>
        <v>291930.88987677282</v>
      </c>
      <c r="P260" s="132">
        <f t="shared" si="16"/>
        <v>96807.301084696926</v>
      </c>
      <c r="Q260" s="262">
        <v>0.36194567327722049</v>
      </c>
      <c r="R260" s="92"/>
    </row>
    <row r="261" spans="1:18" x14ac:dyDescent="0.25">
      <c r="A261" s="326">
        <v>41183</v>
      </c>
      <c r="B261" s="326" t="s">
        <v>805</v>
      </c>
      <c r="C261" s="264" t="s">
        <v>419</v>
      </c>
      <c r="D261" s="157" t="s">
        <v>512</v>
      </c>
      <c r="E261" s="44">
        <f t="shared" si="20"/>
        <v>41183</v>
      </c>
      <c r="F261" s="146" t="str">
        <f t="shared" si="17"/>
        <v>2012-13</v>
      </c>
      <c r="G261" s="1"/>
      <c r="H261" s="161"/>
      <c r="I261" s="37"/>
      <c r="J261" s="135">
        <f t="shared" si="19"/>
        <v>0.9161881535038825</v>
      </c>
      <c r="K261" s="112"/>
      <c r="L261" s="37">
        <v>25.609999950599999</v>
      </c>
      <c r="M261" s="37" t="s">
        <v>509</v>
      </c>
      <c r="N261" s="37">
        <v>3592.3639024390236</v>
      </c>
      <c r="O261" s="130">
        <f t="shared" si="18"/>
        <v>92000.439364000616</v>
      </c>
      <c r="P261" s="132">
        <f t="shared" si="16"/>
        <v>30508.29679995379</v>
      </c>
      <c r="Q261" s="262">
        <v>0.36194567327722049</v>
      </c>
      <c r="R261" s="92"/>
    </row>
    <row r="262" spans="1:18" x14ac:dyDescent="0.25">
      <c r="A262" s="326">
        <v>41183</v>
      </c>
      <c r="B262" s="326" t="s">
        <v>805</v>
      </c>
      <c r="C262" s="264" t="s">
        <v>419</v>
      </c>
      <c r="D262" s="157" t="s">
        <v>512</v>
      </c>
      <c r="E262" s="44">
        <f t="shared" si="20"/>
        <v>41183</v>
      </c>
      <c r="F262" s="146" t="str">
        <f t="shared" si="17"/>
        <v>2012-13</v>
      </c>
      <c r="G262" s="1"/>
      <c r="H262" s="161"/>
      <c r="I262" s="37"/>
      <c r="J262" s="135">
        <f t="shared" si="19"/>
        <v>0.9161881535038825</v>
      </c>
      <c r="K262" s="112"/>
      <c r="L262" s="37">
        <v>3.9112055686199998</v>
      </c>
      <c r="M262" s="37" t="s">
        <v>509</v>
      </c>
      <c r="N262" s="37">
        <v>950.87219512195099</v>
      </c>
      <c r="O262" s="130">
        <f t="shared" si="18"/>
        <v>3719.0566246068979</v>
      </c>
      <c r="P262" s="132">
        <f t="shared" si="16"/>
        <v>1233.2776245820712</v>
      </c>
      <c r="Q262" s="262">
        <v>0.36194567327722049</v>
      </c>
      <c r="R262" s="92"/>
    </row>
    <row r="263" spans="1:18" x14ac:dyDescent="0.25">
      <c r="A263" s="326">
        <v>41183</v>
      </c>
      <c r="B263" s="326" t="s">
        <v>805</v>
      </c>
      <c r="C263" s="264" t="s">
        <v>419</v>
      </c>
      <c r="D263" s="157" t="s">
        <v>512</v>
      </c>
      <c r="E263" s="44">
        <f t="shared" si="20"/>
        <v>41183</v>
      </c>
      <c r="F263" s="146" t="str">
        <f t="shared" si="17"/>
        <v>2012-13</v>
      </c>
      <c r="G263" s="1"/>
      <c r="H263" s="161"/>
      <c r="I263" s="37"/>
      <c r="J263" s="135">
        <f t="shared" si="19"/>
        <v>0.9161881535038825</v>
      </c>
      <c r="K263" s="112"/>
      <c r="L263" s="37">
        <v>27.141055345000002</v>
      </c>
      <c r="M263" s="37" t="s">
        <v>509</v>
      </c>
      <c r="N263" s="37">
        <v>950.87219512195099</v>
      </c>
      <c r="O263" s="130">
        <f t="shared" si="18"/>
        <v>25807.674873826512</v>
      </c>
      <c r="P263" s="132">
        <f t="shared" si="16"/>
        <v>8558.09178967351</v>
      </c>
      <c r="Q263" s="262">
        <v>0.36194567327722049</v>
      </c>
      <c r="R263" s="92"/>
    </row>
    <row r="264" spans="1:18" x14ac:dyDescent="0.25">
      <c r="A264" s="326">
        <v>41439</v>
      </c>
      <c r="B264" s="326" t="s">
        <v>805</v>
      </c>
      <c r="C264" s="264" t="s">
        <v>420</v>
      </c>
      <c r="D264" s="157" t="s">
        <v>512</v>
      </c>
      <c r="E264" s="44">
        <f t="shared" si="20"/>
        <v>41439</v>
      </c>
      <c r="F264" s="146" t="str">
        <f t="shared" si="17"/>
        <v>2012-13</v>
      </c>
      <c r="G264" s="1"/>
      <c r="H264" s="161"/>
      <c r="I264" s="37"/>
      <c r="J264" s="135">
        <f t="shared" si="19"/>
        <v>0.9161881535038825</v>
      </c>
      <c r="K264" s="112"/>
      <c r="L264" s="37">
        <v>26.600332254800001</v>
      </c>
      <c r="M264" s="37" t="s">
        <v>509</v>
      </c>
      <c r="N264" s="37">
        <v>1162.6195121951216</v>
      </c>
      <c r="O264" s="130">
        <f t="shared" si="18"/>
        <v>30926.065310303737</v>
      </c>
      <c r="P264" s="132">
        <f t="shared" si="16"/>
        <v>2953.2185277849658</v>
      </c>
      <c r="Q264" s="262">
        <v>0.10422844145874527</v>
      </c>
      <c r="R264" s="92"/>
    </row>
    <row r="265" spans="1:18" x14ac:dyDescent="0.25">
      <c r="A265" s="326">
        <v>41439</v>
      </c>
      <c r="B265" s="326" t="s">
        <v>805</v>
      </c>
      <c r="C265" s="264" t="s">
        <v>420</v>
      </c>
      <c r="D265" s="157" t="s">
        <v>512</v>
      </c>
      <c r="E265" s="44">
        <f t="shared" si="20"/>
        <v>41439</v>
      </c>
      <c r="F265" s="146" t="str">
        <f t="shared" si="17"/>
        <v>2012-13</v>
      </c>
      <c r="G265" s="1"/>
      <c r="H265" s="161"/>
      <c r="I265" s="37"/>
      <c r="J265" s="135">
        <f t="shared" si="19"/>
        <v>0.9161881535038825</v>
      </c>
      <c r="K265" s="112"/>
      <c r="L265" s="37">
        <v>22.5149239739</v>
      </c>
      <c r="M265" s="37" t="s">
        <v>509</v>
      </c>
      <c r="N265" s="37">
        <v>1162.6195121951216</v>
      </c>
      <c r="O265" s="130">
        <f t="shared" si="18"/>
        <v>26176.289927645867</v>
      </c>
      <c r="P265" s="132">
        <f t="shared" si="16"/>
        <v>2499.6488763554098</v>
      </c>
      <c r="Q265" s="262">
        <v>0.10422844145874527</v>
      </c>
      <c r="R265" s="92"/>
    </row>
    <row r="266" spans="1:18" x14ac:dyDescent="0.25">
      <c r="A266" s="326">
        <v>41439</v>
      </c>
      <c r="B266" s="326" t="s">
        <v>805</v>
      </c>
      <c r="C266" s="264" t="s">
        <v>420</v>
      </c>
      <c r="D266" s="157" t="s">
        <v>512</v>
      </c>
      <c r="E266" s="44">
        <f t="shared" si="20"/>
        <v>41439</v>
      </c>
      <c r="F266" s="146" t="str">
        <f t="shared" si="17"/>
        <v>2012-13</v>
      </c>
      <c r="G266" s="1"/>
      <c r="H266" s="161"/>
      <c r="I266" s="37"/>
      <c r="J266" s="135">
        <f t="shared" si="19"/>
        <v>0.9161881535038825</v>
      </c>
      <c r="K266" s="112"/>
      <c r="L266" s="37">
        <v>24.551448522200001</v>
      </c>
      <c r="M266" s="37" t="s">
        <v>509</v>
      </c>
      <c r="N266" s="37">
        <v>1162.6195121951216</v>
      </c>
      <c r="O266" s="130">
        <f t="shared" si="18"/>
        <v>28543.993104563804</v>
      </c>
      <c r="P266" s="132">
        <f t="shared" si="16"/>
        <v>2725.7476322174989</v>
      </c>
      <c r="Q266" s="262">
        <v>0.10422844145874527</v>
      </c>
      <c r="R266" s="92"/>
    </row>
    <row r="267" spans="1:18" x14ac:dyDescent="0.25">
      <c r="A267" s="326">
        <v>41439</v>
      </c>
      <c r="B267" s="326" t="s">
        <v>805</v>
      </c>
      <c r="C267" s="264" t="s">
        <v>420</v>
      </c>
      <c r="D267" s="157" t="s">
        <v>512</v>
      </c>
      <c r="E267" s="44">
        <f t="shared" si="20"/>
        <v>41439</v>
      </c>
      <c r="F267" s="146" t="str">
        <f t="shared" si="17"/>
        <v>2012-13</v>
      </c>
      <c r="G267" s="1"/>
      <c r="H267" s="161"/>
      <c r="I267" s="37"/>
      <c r="J267" s="135">
        <f t="shared" si="19"/>
        <v>0.9161881535038825</v>
      </c>
      <c r="K267" s="112"/>
      <c r="L267" s="37">
        <v>28.3885631978</v>
      </c>
      <c r="M267" s="37" t="s">
        <v>509</v>
      </c>
      <c r="N267" s="37">
        <v>3875.3912195121943</v>
      </c>
      <c r="O267" s="130">
        <f t="shared" si="18"/>
        <v>110016.78855132114</v>
      </c>
      <c r="P267" s="132">
        <f t="shared" si="16"/>
        <v>10505.818152330983</v>
      </c>
      <c r="Q267" s="262">
        <v>0.10422844145874527</v>
      </c>
      <c r="R267" s="92"/>
    </row>
    <row r="268" spans="1:18" x14ac:dyDescent="0.25">
      <c r="A268" s="326">
        <v>41439</v>
      </c>
      <c r="B268" s="326" t="s">
        <v>805</v>
      </c>
      <c r="C268" s="264" t="s">
        <v>420</v>
      </c>
      <c r="D268" s="157" t="s">
        <v>512</v>
      </c>
      <c r="E268" s="44">
        <f t="shared" si="20"/>
        <v>41439</v>
      </c>
      <c r="F268" s="146" t="str">
        <f t="shared" si="17"/>
        <v>2012-13</v>
      </c>
      <c r="G268" s="1"/>
      <c r="H268" s="161"/>
      <c r="I268" s="37"/>
      <c r="J268" s="135">
        <f t="shared" si="19"/>
        <v>0.9161881535038825</v>
      </c>
      <c r="K268" s="112"/>
      <c r="L268" s="37">
        <v>49.103100210500003</v>
      </c>
      <c r="M268" s="37" t="s">
        <v>509</v>
      </c>
      <c r="N268" s="37">
        <v>1162.6195121951216</v>
      </c>
      <c r="O268" s="130">
        <f t="shared" si="18"/>
        <v>57088.222413999683</v>
      </c>
      <c r="P268" s="132">
        <f t="shared" si="16"/>
        <v>5451.5178203145624</v>
      </c>
      <c r="Q268" s="262">
        <v>0.10422844145874527</v>
      </c>
      <c r="R268" s="92"/>
    </row>
    <row r="269" spans="1:18" x14ac:dyDescent="0.25">
      <c r="A269" s="326">
        <v>41439</v>
      </c>
      <c r="B269" s="326" t="s">
        <v>805</v>
      </c>
      <c r="C269" s="264" t="s">
        <v>420</v>
      </c>
      <c r="D269" s="157" t="s">
        <v>512</v>
      </c>
      <c r="E269" s="44">
        <f t="shared" si="20"/>
        <v>41439</v>
      </c>
      <c r="F269" s="146" t="str">
        <f t="shared" si="17"/>
        <v>2012-13</v>
      </c>
      <c r="G269" s="1"/>
      <c r="H269" s="161"/>
      <c r="I269" s="37"/>
      <c r="J269" s="135">
        <f t="shared" si="19"/>
        <v>0.9161881535038825</v>
      </c>
      <c r="K269" s="112"/>
      <c r="L269" s="37">
        <v>123.990196844</v>
      </c>
      <c r="M269" s="37" t="s">
        <v>509</v>
      </c>
      <c r="N269" s="37">
        <v>812.22926829268283</v>
      </c>
      <c r="O269" s="130">
        <f t="shared" si="18"/>
        <v>100708.46685806783</v>
      </c>
      <c r="P269" s="132">
        <f t="shared" si="16"/>
        <v>9616.9398611136512</v>
      </c>
      <c r="Q269" s="262">
        <v>0.10422844145874527</v>
      </c>
      <c r="R269" s="92"/>
    </row>
    <row r="270" spans="1:18" x14ac:dyDescent="0.25">
      <c r="A270" s="326">
        <v>41439</v>
      </c>
      <c r="B270" s="326" t="s">
        <v>805</v>
      </c>
      <c r="C270" s="264" t="s">
        <v>420</v>
      </c>
      <c r="D270" s="157" t="s">
        <v>512</v>
      </c>
      <c r="E270" s="44">
        <f t="shared" si="20"/>
        <v>41439</v>
      </c>
      <c r="F270" s="146" t="str">
        <f t="shared" si="17"/>
        <v>2012-13</v>
      </c>
      <c r="G270" s="1"/>
      <c r="H270" s="161"/>
      <c r="I270" s="37"/>
      <c r="J270" s="135">
        <f t="shared" si="19"/>
        <v>0.9161881535038825</v>
      </c>
      <c r="K270" s="112"/>
      <c r="L270" s="37">
        <v>89.863978706699996</v>
      </c>
      <c r="M270" s="37" t="s">
        <v>509</v>
      </c>
      <c r="N270" s="37">
        <v>812.22926829268283</v>
      </c>
      <c r="O270" s="130">
        <f t="shared" si="18"/>
        <v>72990.153670812171</v>
      </c>
      <c r="P270" s="132">
        <f t="shared" si="16"/>
        <v>6970.0387683879362</v>
      </c>
      <c r="Q270" s="262">
        <v>0.10422844145874527</v>
      </c>
      <c r="R270" s="92"/>
    </row>
    <row r="271" spans="1:18" x14ac:dyDescent="0.25">
      <c r="A271" s="326">
        <v>41439</v>
      </c>
      <c r="B271" s="326" t="s">
        <v>805</v>
      </c>
      <c r="C271" s="264" t="s">
        <v>420</v>
      </c>
      <c r="D271" s="157" t="s">
        <v>512</v>
      </c>
      <c r="E271" s="44">
        <f t="shared" si="20"/>
        <v>41439</v>
      </c>
      <c r="F271" s="146" t="str">
        <f t="shared" si="17"/>
        <v>2012-13</v>
      </c>
      <c r="G271" s="1"/>
      <c r="H271" s="161"/>
      <c r="I271" s="37"/>
      <c r="J271" s="135">
        <f t="shared" si="19"/>
        <v>0.9161881535038825</v>
      </c>
      <c r="K271" s="112"/>
      <c r="L271" s="37">
        <v>99.866545041999998</v>
      </c>
      <c r="M271" s="37" t="s">
        <v>509</v>
      </c>
      <c r="N271" s="37">
        <v>812.22926829268283</v>
      </c>
      <c r="O271" s="130">
        <f t="shared" si="18"/>
        <v>81114.53080638191</v>
      </c>
      <c r="P271" s="132">
        <f t="shared" si="16"/>
        <v>7745.8588037767659</v>
      </c>
      <c r="Q271" s="262">
        <v>0.10422844145874527</v>
      </c>
      <c r="R271" s="92"/>
    </row>
    <row r="272" spans="1:18" x14ac:dyDescent="0.25">
      <c r="A272" s="326">
        <v>41439</v>
      </c>
      <c r="B272" s="326" t="s">
        <v>805</v>
      </c>
      <c r="C272" s="264" t="s">
        <v>420</v>
      </c>
      <c r="D272" s="157" t="s">
        <v>512</v>
      </c>
      <c r="E272" s="44">
        <f t="shared" si="20"/>
        <v>41439</v>
      </c>
      <c r="F272" s="146" t="str">
        <f t="shared" si="17"/>
        <v>2012-13</v>
      </c>
      <c r="G272" s="1"/>
      <c r="H272" s="161"/>
      <c r="I272" s="37"/>
      <c r="J272" s="135">
        <f t="shared" si="19"/>
        <v>0.9161881535038825</v>
      </c>
      <c r="K272" s="112"/>
      <c r="L272" s="37">
        <v>30.467971970600001</v>
      </c>
      <c r="M272" s="37" t="s">
        <v>509</v>
      </c>
      <c r="N272" s="37">
        <v>812.22926829268283</v>
      </c>
      <c r="O272" s="130">
        <f t="shared" si="18"/>
        <v>24746.978580042407</v>
      </c>
      <c r="P272" s="132">
        <f t="shared" si="16"/>
        <v>2363.1598431931639</v>
      </c>
      <c r="Q272" s="262">
        <v>0.10422844145874527</v>
      </c>
      <c r="R272" s="92"/>
    </row>
    <row r="273" spans="1:18" x14ac:dyDescent="0.25">
      <c r="A273" s="326">
        <v>41439</v>
      </c>
      <c r="B273" s="326" t="s">
        <v>805</v>
      </c>
      <c r="C273" s="264" t="s">
        <v>420</v>
      </c>
      <c r="D273" s="157" t="s">
        <v>512</v>
      </c>
      <c r="E273" s="44">
        <f t="shared" si="20"/>
        <v>41439</v>
      </c>
      <c r="F273" s="146" t="str">
        <f t="shared" si="17"/>
        <v>2012-13</v>
      </c>
      <c r="G273" s="1"/>
      <c r="H273" s="161"/>
      <c r="I273" s="37"/>
      <c r="J273" s="135">
        <f t="shared" si="19"/>
        <v>0.9161881535038825</v>
      </c>
      <c r="K273" s="112"/>
      <c r="L273" s="37">
        <v>21.257540239800001</v>
      </c>
      <c r="M273" s="37" t="s">
        <v>509</v>
      </c>
      <c r="N273" s="37">
        <v>3875.3912195121943</v>
      </c>
      <c r="O273" s="130">
        <f t="shared" si="18"/>
        <v>82381.284793748069</v>
      </c>
      <c r="P273" s="132">
        <f t="shared" si="16"/>
        <v>7866.8247691557772</v>
      </c>
      <c r="Q273" s="262">
        <v>0.10422844145874527</v>
      </c>
      <c r="R273" s="92"/>
    </row>
    <row r="274" spans="1:18" x14ac:dyDescent="0.25">
      <c r="A274" s="326">
        <v>41439</v>
      </c>
      <c r="B274" s="326" t="s">
        <v>805</v>
      </c>
      <c r="C274" s="264" t="s">
        <v>420</v>
      </c>
      <c r="D274" s="157" t="s">
        <v>512</v>
      </c>
      <c r="E274" s="44">
        <f t="shared" si="20"/>
        <v>41439</v>
      </c>
      <c r="F274" s="146" t="str">
        <f t="shared" si="17"/>
        <v>2012-13</v>
      </c>
      <c r="G274" s="1"/>
      <c r="H274" s="161"/>
      <c r="I274" s="37"/>
      <c r="J274" s="135">
        <f t="shared" si="19"/>
        <v>0.9161881535038825</v>
      </c>
      <c r="K274" s="112"/>
      <c r="L274" s="37">
        <v>34.896963091400004</v>
      </c>
      <c r="M274" s="37" t="s">
        <v>509</v>
      </c>
      <c r="N274" s="37">
        <v>3336.4019512195118</v>
      </c>
      <c r="O274" s="130">
        <f t="shared" si="18"/>
        <v>116430.29574978226</v>
      </c>
      <c r="P274" s="132">
        <f t="shared" si="16"/>
        <v>11118.262318652625</v>
      </c>
      <c r="Q274" s="262">
        <v>0.10422844145874527</v>
      </c>
      <c r="R274" s="92"/>
    </row>
    <row r="275" spans="1:18" x14ac:dyDescent="0.25">
      <c r="A275" s="326">
        <v>41439</v>
      </c>
      <c r="B275" s="326" t="s">
        <v>805</v>
      </c>
      <c r="C275" s="264" t="s">
        <v>420</v>
      </c>
      <c r="D275" s="157" t="s">
        <v>512</v>
      </c>
      <c r="E275" s="44">
        <f t="shared" si="20"/>
        <v>41439</v>
      </c>
      <c r="F275" s="146" t="str">
        <f t="shared" si="17"/>
        <v>2012-13</v>
      </c>
      <c r="G275" s="1"/>
      <c r="H275" s="161"/>
      <c r="I275" s="37"/>
      <c r="J275" s="135">
        <f t="shared" si="19"/>
        <v>0.9161881535038825</v>
      </c>
      <c r="K275" s="112"/>
      <c r="L275" s="37">
        <v>4.8243623412799996</v>
      </c>
      <c r="M275" s="37" t="s">
        <v>509</v>
      </c>
      <c r="N275" s="37">
        <v>1162.6195121951216</v>
      </c>
      <c r="O275" s="130">
        <f t="shared" si="18"/>
        <v>5608.8977918714681</v>
      </c>
      <c r="P275" s="132">
        <f t="shared" si="16"/>
        <v>535.60971023003765</v>
      </c>
      <c r="Q275" s="262">
        <v>0.10422844145874527</v>
      </c>
      <c r="R275" s="92"/>
    </row>
    <row r="276" spans="1:18" x14ac:dyDescent="0.25">
      <c r="A276" s="326">
        <v>41439</v>
      </c>
      <c r="B276" s="326" t="s">
        <v>805</v>
      </c>
      <c r="C276" s="264" t="s">
        <v>420</v>
      </c>
      <c r="D276" s="157" t="s">
        <v>512</v>
      </c>
      <c r="E276" s="44">
        <f t="shared" si="20"/>
        <v>41439</v>
      </c>
      <c r="F276" s="146" t="str">
        <f t="shared" si="17"/>
        <v>2012-13</v>
      </c>
      <c r="G276" s="1"/>
      <c r="H276" s="161"/>
      <c r="I276" s="37"/>
      <c r="J276" s="135">
        <f t="shared" si="19"/>
        <v>0.9161881535038825</v>
      </c>
      <c r="K276" s="112"/>
      <c r="L276" s="37">
        <v>21.6377434049</v>
      </c>
      <c r="M276" s="37" t="s">
        <v>509</v>
      </c>
      <c r="N276" s="37">
        <v>812.22926829268283</v>
      </c>
      <c r="O276" s="130">
        <f t="shared" si="18"/>
        <v>17574.808493266752</v>
      </c>
      <c r="P276" s="132">
        <f t="shared" si="16"/>
        <v>1678.2687853697157</v>
      </c>
      <c r="Q276" s="262">
        <v>0.10422844145874527</v>
      </c>
      <c r="R276" s="92"/>
    </row>
    <row r="277" spans="1:18" x14ac:dyDescent="0.25">
      <c r="A277" s="326">
        <v>41439</v>
      </c>
      <c r="B277" s="326" t="s">
        <v>805</v>
      </c>
      <c r="C277" s="264" t="s">
        <v>420</v>
      </c>
      <c r="D277" s="157" t="s">
        <v>512</v>
      </c>
      <c r="E277" s="44">
        <f t="shared" si="20"/>
        <v>41439</v>
      </c>
      <c r="F277" s="146" t="str">
        <f t="shared" si="17"/>
        <v>2012-13</v>
      </c>
      <c r="G277" s="1"/>
      <c r="H277" s="161"/>
      <c r="I277" s="37"/>
      <c r="J277" s="135">
        <f t="shared" si="19"/>
        <v>0.9161881535038825</v>
      </c>
      <c r="K277" s="112"/>
      <c r="L277" s="37">
        <v>12.981723755000001</v>
      </c>
      <c r="M277" s="37" t="s">
        <v>509</v>
      </c>
      <c r="N277" s="37">
        <v>812.22926829268283</v>
      </c>
      <c r="O277" s="130">
        <f t="shared" si="18"/>
        <v>10544.135986701389</v>
      </c>
      <c r="P277" s="132">
        <f t="shared" si="16"/>
        <v>1006.8897366337783</v>
      </c>
      <c r="Q277" s="262">
        <v>0.10422844145874527</v>
      </c>
      <c r="R277" s="92"/>
    </row>
    <row r="278" spans="1:18" x14ac:dyDescent="0.25">
      <c r="A278" s="326">
        <v>41439</v>
      </c>
      <c r="B278" s="326" t="s">
        <v>805</v>
      </c>
      <c r="C278" s="264" t="s">
        <v>420</v>
      </c>
      <c r="D278" s="157" t="s">
        <v>512</v>
      </c>
      <c r="E278" s="44">
        <f t="shared" si="20"/>
        <v>41439</v>
      </c>
      <c r="F278" s="146" t="str">
        <f t="shared" si="17"/>
        <v>2012-13</v>
      </c>
      <c r="G278" s="1"/>
      <c r="H278" s="161"/>
      <c r="I278" s="37"/>
      <c r="J278" s="135">
        <f t="shared" si="19"/>
        <v>0.9161881535038825</v>
      </c>
      <c r="K278" s="112"/>
      <c r="L278" s="37">
        <v>9.1362568946600007</v>
      </c>
      <c r="M278" s="37" t="s">
        <v>509</v>
      </c>
      <c r="N278" s="37">
        <v>812.22926829268283</v>
      </c>
      <c r="O278" s="130">
        <f t="shared" si="18"/>
        <v>7420.7352524836706</v>
      </c>
      <c r="P278" s="132">
        <f t="shared" si="16"/>
        <v>708.62725721918184</v>
      </c>
      <c r="Q278" s="262">
        <v>0.10422844145874527</v>
      </c>
      <c r="R278" s="92"/>
    </row>
    <row r="279" spans="1:18" x14ac:dyDescent="0.25">
      <c r="A279" s="326">
        <v>41439</v>
      </c>
      <c r="B279" s="326" t="s">
        <v>805</v>
      </c>
      <c r="C279" s="264" t="s">
        <v>420</v>
      </c>
      <c r="D279" s="157" t="s">
        <v>512</v>
      </c>
      <c r="E279" s="44">
        <f t="shared" si="20"/>
        <v>41439</v>
      </c>
      <c r="F279" s="146" t="str">
        <f t="shared" si="17"/>
        <v>2012-13</v>
      </c>
      <c r="G279" s="1"/>
      <c r="H279" s="161"/>
      <c r="I279" s="37"/>
      <c r="J279" s="135">
        <f t="shared" si="19"/>
        <v>0.9161881535038825</v>
      </c>
      <c r="K279" s="112"/>
      <c r="L279" s="37">
        <v>12.3515224163</v>
      </c>
      <c r="M279" s="37" t="s">
        <v>509</v>
      </c>
      <c r="N279" s="37">
        <v>812.22926829268283</v>
      </c>
      <c r="O279" s="130">
        <f t="shared" si="18"/>
        <v>10032.26801449202</v>
      </c>
      <c r="P279" s="132">
        <f t="shared" ref="P279:P342" si="21">IF(O279="-","-",IF(OR(E279&lt;$E$15,E279&gt;$E$16),0,O279*J279))*Q279</f>
        <v>958.00999832433388</v>
      </c>
      <c r="Q279" s="262">
        <v>0.10422844145874527</v>
      </c>
      <c r="R279" s="92"/>
    </row>
    <row r="280" spans="1:18" x14ac:dyDescent="0.25">
      <c r="A280" s="326">
        <v>41439</v>
      </c>
      <c r="B280" s="326" t="s">
        <v>805</v>
      </c>
      <c r="C280" s="264" t="s">
        <v>420</v>
      </c>
      <c r="D280" s="157" t="s">
        <v>512</v>
      </c>
      <c r="E280" s="44">
        <f t="shared" si="20"/>
        <v>41439</v>
      </c>
      <c r="F280" s="146" t="str">
        <f t="shared" ref="F280:F343" si="22">IF(E280="","-",IF(OR(E280&lt;$E$15,E280&gt;$E$16),"ERROR - date outside of range",IF(MONTH(E280)&gt;=7,YEAR(E280)&amp;"-"&amp;IF(YEAR(E280)=1999,"00",IF(AND(YEAR(E280)&gt;=2000,YEAR(E280)&lt;2009),"0","")&amp;RIGHT(YEAR(E280),2)+1),RIGHT(YEAR(E280),4)-1&amp;"-"&amp;RIGHT(YEAR(E280),2))))</f>
        <v>2012-13</v>
      </c>
      <c r="G280" s="1"/>
      <c r="H280" s="161"/>
      <c r="I280" s="37"/>
      <c r="J280" s="135">
        <f t="shared" si="19"/>
        <v>0.9161881535038825</v>
      </c>
      <c r="K280" s="112"/>
      <c r="L280" s="37">
        <v>5.4310155588100004</v>
      </c>
      <c r="M280" s="37" t="s">
        <v>509</v>
      </c>
      <c r="N280" s="37">
        <v>1162.6195121951216</v>
      </c>
      <c r="O280" s="130">
        <f t="shared" ref="O280:O343" si="23">IF(N280="","-",L280*N280)</f>
        <v>6314.2046597077988</v>
      </c>
      <c r="P280" s="132">
        <f t="shared" si="21"/>
        <v>602.96148256087668</v>
      </c>
      <c r="Q280" s="262">
        <v>0.10422844145874527</v>
      </c>
      <c r="R280" s="92"/>
    </row>
    <row r="281" spans="1:18" x14ac:dyDescent="0.25">
      <c r="A281" s="326">
        <v>41439</v>
      </c>
      <c r="B281" s="326" t="s">
        <v>805</v>
      </c>
      <c r="C281" s="264" t="s">
        <v>420</v>
      </c>
      <c r="D281" s="157" t="s">
        <v>512</v>
      </c>
      <c r="E281" s="44">
        <f t="shared" si="20"/>
        <v>41439</v>
      </c>
      <c r="F281" s="146" t="str">
        <f t="shared" si="22"/>
        <v>2012-13</v>
      </c>
      <c r="G281" s="1"/>
      <c r="H281" s="161"/>
      <c r="I281" s="37"/>
      <c r="J281" s="135">
        <f t="shared" ref="J281:J344" si="24">J280</f>
        <v>0.9161881535038825</v>
      </c>
      <c r="K281" s="112"/>
      <c r="L281" s="37">
        <v>30.8144130813</v>
      </c>
      <c r="M281" s="37" t="s">
        <v>509</v>
      </c>
      <c r="N281" s="37">
        <v>812.22926829268283</v>
      </c>
      <c r="O281" s="130">
        <f t="shared" si="23"/>
        <v>25028.368189892772</v>
      </c>
      <c r="P281" s="132">
        <f t="shared" si="21"/>
        <v>2390.0305427470257</v>
      </c>
      <c r="Q281" s="262">
        <v>0.10422844145874527</v>
      </c>
      <c r="R281" s="92"/>
    </row>
    <row r="282" spans="1:18" x14ac:dyDescent="0.25">
      <c r="A282" s="326">
        <v>41439</v>
      </c>
      <c r="B282" s="326" t="s">
        <v>805</v>
      </c>
      <c r="C282" s="264" t="s">
        <v>420</v>
      </c>
      <c r="D282" s="157" t="s">
        <v>512</v>
      </c>
      <c r="E282" s="44">
        <f t="shared" si="20"/>
        <v>41439</v>
      </c>
      <c r="F282" s="146" t="str">
        <f t="shared" si="22"/>
        <v>2012-13</v>
      </c>
      <c r="G282" s="1"/>
      <c r="H282" s="161"/>
      <c r="I282" s="37"/>
      <c r="J282" s="135">
        <f t="shared" si="24"/>
        <v>0.9161881535038825</v>
      </c>
      <c r="K282" s="112"/>
      <c r="L282" s="37">
        <v>21.737773166899999</v>
      </c>
      <c r="M282" s="37" t="s">
        <v>509</v>
      </c>
      <c r="N282" s="37">
        <v>3336.4019512195118</v>
      </c>
      <c r="O282" s="130">
        <f t="shared" si="23"/>
        <v>72525.948809212307</v>
      </c>
      <c r="P282" s="132">
        <f t="shared" si="21"/>
        <v>6925.7105169854594</v>
      </c>
      <c r="Q282" s="262">
        <v>0.10422844145874527</v>
      </c>
      <c r="R282" s="92"/>
    </row>
    <row r="283" spans="1:18" x14ac:dyDescent="0.25">
      <c r="A283" s="326">
        <v>41439</v>
      </c>
      <c r="B283" s="326" t="s">
        <v>805</v>
      </c>
      <c r="C283" s="264" t="s">
        <v>420</v>
      </c>
      <c r="D283" s="157" t="s">
        <v>512</v>
      </c>
      <c r="E283" s="44">
        <f t="shared" si="20"/>
        <v>41439</v>
      </c>
      <c r="F283" s="146" t="str">
        <f t="shared" si="22"/>
        <v>2012-13</v>
      </c>
      <c r="G283" s="1"/>
      <c r="H283" s="161"/>
      <c r="I283" s="37"/>
      <c r="J283" s="135">
        <f t="shared" si="24"/>
        <v>0.9161881535038825</v>
      </c>
      <c r="K283" s="112"/>
      <c r="L283" s="37">
        <v>24.806282147899999</v>
      </c>
      <c r="M283" s="37" t="s">
        <v>509</v>
      </c>
      <c r="N283" s="37">
        <v>812.22926829268283</v>
      </c>
      <c r="O283" s="130">
        <f t="shared" si="23"/>
        <v>20148.388398050658</v>
      </c>
      <c r="P283" s="132">
        <f t="shared" si="21"/>
        <v>1924.0272994672291</v>
      </c>
      <c r="Q283" s="262">
        <v>0.10422844145874527</v>
      </c>
      <c r="R283" s="92"/>
    </row>
    <row r="284" spans="1:18" x14ac:dyDescent="0.25">
      <c r="A284" s="326">
        <v>41439</v>
      </c>
      <c r="B284" s="326" t="s">
        <v>805</v>
      </c>
      <c r="C284" s="264" t="s">
        <v>420</v>
      </c>
      <c r="D284" s="157" t="s">
        <v>512</v>
      </c>
      <c r="E284" s="44">
        <f t="shared" si="20"/>
        <v>41439</v>
      </c>
      <c r="F284" s="146" t="str">
        <f t="shared" si="22"/>
        <v>2012-13</v>
      </c>
      <c r="G284" s="1"/>
      <c r="H284" s="161"/>
      <c r="I284" s="37"/>
      <c r="J284" s="135">
        <f t="shared" si="24"/>
        <v>0.9161881535038825</v>
      </c>
      <c r="K284" s="112"/>
      <c r="L284" s="37">
        <v>8.1185810475900002</v>
      </c>
      <c r="M284" s="37" t="s">
        <v>509</v>
      </c>
      <c r="N284" s="37">
        <v>812.22926829268283</v>
      </c>
      <c r="O284" s="130">
        <f t="shared" si="23"/>
        <v>6594.1491438588682</v>
      </c>
      <c r="P284" s="132">
        <f t="shared" si="21"/>
        <v>629.6941829238516</v>
      </c>
      <c r="Q284" s="262">
        <v>0.10422844145874527</v>
      </c>
      <c r="R284" s="92"/>
    </row>
    <row r="285" spans="1:18" x14ac:dyDescent="0.25">
      <c r="A285" s="326">
        <v>41439</v>
      </c>
      <c r="B285" s="326" t="s">
        <v>805</v>
      </c>
      <c r="C285" s="264" t="s">
        <v>420</v>
      </c>
      <c r="D285" s="157" t="s">
        <v>512</v>
      </c>
      <c r="E285" s="44">
        <f t="shared" si="20"/>
        <v>41439</v>
      </c>
      <c r="F285" s="146" t="str">
        <f t="shared" si="22"/>
        <v>2012-13</v>
      </c>
      <c r="G285" s="1"/>
      <c r="H285" s="161"/>
      <c r="I285" s="37"/>
      <c r="J285" s="135">
        <f t="shared" si="24"/>
        <v>0.9161881535038825</v>
      </c>
      <c r="K285" s="112"/>
      <c r="L285" s="37">
        <v>35.592471120600003</v>
      </c>
      <c r="M285" s="37" t="s">
        <v>509</v>
      </c>
      <c r="N285" s="37">
        <v>812.22926829268283</v>
      </c>
      <c r="O285" s="130">
        <f t="shared" si="23"/>
        <v>28909.246775013384</v>
      </c>
      <c r="P285" s="132">
        <f t="shared" si="21"/>
        <v>2760.626751047846</v>
      </c>
      <c r="Q285" s="262">
        <v>0.10422844145874527</v>
      </c>
      <c r="R285" s="92"/>
    </row>
    <row r="286" spans="1:18" x14ac:dyDescent="0.25">
      <c r="A286" s="326">
        <v>41439</v>
      </c>
      <c r="B286" s="326" t="s">
        <v>805</v>
      </c>
      <c r="C286" s="264" t="s">
        <v>420</v>
      </c>
      <c r="D286" s="157" t="s">
        <v>512</v>
      </c>
      <c r="E286" s="44">
        <f t="shared" si="20"/>
        <v>41439</v>
      </c>
      <c r="F286" s="146" t="str">
        <f t="shared" si="22"/>
        <v>2012-13</v>
      </c>
      <c r="G286" s="1"/>
      <c r="H286" s="161"/>
      <c r="I286" s="37"/>
      <c r="J286" s="135">
        <f t="shared" si="24"/>
        <v>0.9161881535038825</v>
      </c>
      <c r="K286" s="112"/>
      <c r="L286" s="37">
        <v>6.4442691594900001</v>
      </c>
      <c r="M286" s="37" t="s">
        <v>509</v>
      </c>
      <c r="N286" s="37">
        <v>812.22926829268283</v>
      </c>
      <c r="O286" s="130">
        <f t="shared" si="23"/>
        <v>5234.2240240936653</v>
      </c>
      <c r="P286" s="132">
        <f t="shared" si="21"/>
        <v>499.83103933304005</v>
      </c>
      <c r="Q286" s="262">
        <v>0.10422844145874527</v>
      </c>
      <c r="R286" s="92"/>
    </row>
    <row r="287" spans="1:18" x14ac:dyDescent="0.25">
      <c r="A287" s="326">
        <v>41487</v>
      </c>
      <c r="B287" s="326" t="s">
        <v>805</v>
      </c>
      <c r="C287" s="264" t="s">
        <v>421</v>
      </c>
      <c r="D287" s="157" t="s">
        <v>512</v>
      </c>
      <c r="E287" s="44">
        <f t="shared" si="20"/>
        <v>41487</v>
      </c>
      <c r="F287" s="146" t="str">
        <f t="shared" si="22"/>
        <v>2013-14</v>
      </c>
      <c r="G287" s="1"/>
      <c r="H287" s="161"/>
      <c r="I287" s="37"/>
      <c r="J287" s="135">
        <f t="shared" si="24"/>
        <v>0.9161881535038825</v>
      </c>
      <c r="K287" s="112"/>
      <c r="L287" s="37">
        <v>24.3981106321</v>
      </c>
      <c r="M287" s="37" t="s">
        <v>509</v>
      </c>
      <c r="N287" s="37">
        <v>3875.3912195121943</v>
      </c>
      <c r="O287" s="130">
        <f t="shared" si="23"/>
        <v>94552.223716327455</v>
      </c>
      <c r="P287" s="132">
        <f t="shared" si="21"/>
        <v>8856.8086594843335</v>
      </c>
      <c r="Q287" s="262">
        <v>0.10224000056327651</v>
      </c>
      <c r="R287" s="92"/>
    </row>
    <row r="288" spans="1:18" x14ac:dyDescent="0.25">
      <c r="A288" s="326">
        <v>41487</v>
      </c>
      <c r="B288" s="326" t="s">
        <v>805</v>
      </c>
      <c r="C288" s="264" t="s">
        <v>421</v>
      </c>
      <c r="D288" s="157" t="s">
        <v>512</v>
      </c>
      <c r="E288" s="44">
        <f t="shared" si="20"/>
        <v>41487</v>
      </c>
      <c r="F288" s="146" t="str">
        <f t="shared" si="22"/>
        <v>2013-14</v>
      </c>
      <c r="G288" s="1"/>
      <c r="H288" s="161"/>
      <c r="I288" s="37"/>
      <c r="J288" s="135">
        <f t="shared" si="24"/>
        <v>0.9161881535038825</v>
      </c>
      <c r="K288" s="112"/>
      <c r="L288" s="37">
        <v>50.6181935177</v>
      </c>
      <c r="M288" s="37" t="s">
        <v>509</v>
      </c>
      <c r="N288" s="37">
        <v>1162.6195121951216</v>
      </c>
      <c r="O288" s="130">
        <f t="shared" si="23"/>
        <v>58849.699455746639</v>
      </c>
      <c r="P288" s="132">
        <f t="shared" si="21"/>
        <v>5512.5147485844045</v>
      </c>
      <c r="Q288" s="262">
        <v>0.10224000056327651</v>
      </c>
      <c r="R288" s="92"/>
    </row>
    <row r="289" spans="1:18" x14ac:dyDescent="0.25">
      <c r="A289" s="326">
        <v>41487</v>
      </c>
      <c r="B289" s="326" t="s">
        <v>805</v>
      </c>
      <c r="C289" s="264" t="s">
        <v>421</v>
      </c>
      <c r="D289" s="157" t="s">
        <v>512</v>
      </c>
      <c r="E289" s="44">
        <f t="shared" si="20"/>
        <v>41487</v>
      </c>
      <c r="F289" s="146" t="str">
        <f t="shared" si="22"/>
        <v>2013-14</v>
      </c>
      <c r="G289" s="1"/>
      <c r="H289" s="161"/>
      <c r="I289" s="37"/>
      <c r="J289" s="135">
        <f t="shared" si="24"/>
        <v>0.9161881535038825</v>
      </c>
      <c r="K289" s="112"/>
      <c r="L289" s="37">
        <v>27.896133238899999</v>
      </c>
      <c r="M289" s="37" t="s">
        <v>509</v>
      </c>
      <c r="N289" s="37">
        <v>3336.4019512195118</v>
      </c>
      <c r="O289" s="130">
        <f t="shared" si="23"/>
        <v>93072.713369745441</v>
      </c>
      <c r="P289" s="132">
        <f t="shared" si="21"/>
        <v>8718.2213313986649</v>
      </c>
      <c r="Q289" s="262">
        <v>0.10224000056327651</v>
      </c>
      <c r="R289" s="92"/>
    </row>
    <row r="290" spans="1:18" x14ac:dyDescent="0.25">
      <c r="A290" s="326">
        <v>41487</v>
      </c>
      <c r="B290" s="326" t="s">
        <v>805</v>
      </c>
      <c r="C290" s="264" t="s">
        <v>421</v>
      </c>
      <c r="D290" s="157" t="s">
        <v>512</v>
      </c>
      <c r="E290" s="44">
        <f t="shared" si="20"/>
        <v>41487</v>
      </c>
      <c r="F290" s="146" t="str">
        <f t="shared" si="22"/>
        <v>2013-14</v>
      </c>
      <c r="G290" s="1"/>
      <c r="H290" s="161"/>
      <c r="I290" s="37"/>
      <c r="J290" s="135">
        <f t="shared" si="24"/>
        <v>0.9161881535038825</v>
      </c>
      <c r="K290" s="112"/>
      <c r="L290" s="37">
        <v>18.393325468800001</v>
      </c>
      <c r="M290" s="37" t="s">
        <v>509</v>
      </c>
      <c r="N290" s="37">
        <v>3875.3912195121943</v>
      </c>
      <c r="O290" s="130">
        <f t="shared" si="23"/>
        <v>71281.332019417532</v>
      </c>
      <c r="P290" s="132">
        <f t="shared" si="21"/>
        <v>6676.9991637979492</v>
      </c>
      <c r="Q290" s="262">
        <v>0.10224000056327651</v>
      </c>
      <c r="R290" s="92"/>
    </row>
    <row r="291" spans="1:18" x14ac:dyDescent="0.25">
      <c r="A291" s="326">
        <v>41487</v>
      </c>
      <c r="B291" s="326" t="s">
        <v>805</v>
      </c>
      <c r="C291" s="264" t="s">
        <v>421</v>
      </c>
      <c r="D291" s="157" t="s">
        <v>512</v>
      </c>
      <c r="E291" s="44">
        <f t="shared" si="20"/>
        <v>41487</v>
      </c>
      <c r="F291" s="146" t="str">
        <f t="shared" si="22"/>
        <v>2013-14</v>
      </c>
      <c r="G291" s="1"/>
      <c r="H291" s="161"/>
      <c r="I291" s="37"/>
      <c r="J291" s="135">
        <f t="shared" si="24"/>
        <v>0.9161881535038825</v>
      </c>
      <c r="K291" s="112"/>
      <c r="L291" s="37">
        <v>5.4435691416600003</v>
      </c>
      <c r="M291" s="37" t="s">
        <v>509</v>
      </c>
      <c r="N291" s="37">
        <v>1162.6195121951216</v>
      </c>
      <c r="O291" s="130">
        <f t="shared" si="23"/>
        <v>6328.7997000771666</v>
      </c>
      <c r="P291" s="132">
        <f t="shared" si="21"/>
        <v>592.8254861139344</v>
      </c>
      <c r="Q291" s="262">
        <v>0.10224000056327651</v>
      </c>
      <c r="R291" s="92"/>
    </row>
    <row r="292" spans="1:18" x14ac:dyDescent="0.25">
      <c r="A292" s="326">
        <v>41487</v>
      </c>
      <c r="B292" s="326" t="s">
        <v>805</v>
      </c>
      <c r="C292" s="264" t="s">
        <v>421</v>
      </c>
      <c r="D292" s="157" t="s">
        <v>512</v>
      </c>
      <c r="E292" s="44">
        <f t="shared" si="20"/>
        <v>41487</v>
      </c>
      <c r="F292" s="146" t="str">
        <f t="shared" si="22"/>
        <v>2013-14</v>
      </c>
      <c r="G292" s="1"/>
      <c r="H292" s="161"/>
      <c r="I292" s="37"/>
      <c r="J292" s="135">
        <f t="shared" si="24"/>
        <v>0.9161881535038825</v>
      </c>
      <c r="K292" s="112"/>
      <c r="L292" s="37">
        <v>2.7177729853699999</v>
      </c>
      <c r="M292" s="37" t="s">
        <v>509</v>
      </c>
      <c r="N292" s="37">
        <v>1162.6195121951216</v>
      </c>
      <c r="O292" s="130">
        <f t="shared" si="23"/>
        <v>3159.7359025079486</v>
      </c>
      <c r="P292" s="132">
        <f t="shared" si="21"/>
        <v>295.97586606716061</v>
      </c>
      <c r="Q292" s="262">
        <v>0.10224000056327651</v>
      </c>
      <c r="R292" s="92"/>
    </row>
    <row r="293" spans="1:18" x14ac:dyDescent="0.25">
      <c r="A293" s="326">
        <v>41487</v>
      </c>
      <c r="B293" s="326" t="s">
        <v>805</v>
      </c>
      <c r="C293" s="264" t="s">
        <v>421</v>
      </c>
      <c r="D293" s="157" t="s">
        <v>512</v>
      </c>
      <c r="E293" s="44">
        <f t="shared" si="20"/>
        <v>41487</v>
      </c>
      <c r="F293" s="146" t="str">
        <f t="shared" si="22"/>
        <v>2013-14</v>
      </c>
      <c r="G293" s="1"/>
      <c r="H293" s="161"/>
      <c r="I293" s="37"/>
      <c r="J293" s="135">
        <f t="shared" si="24"/>
        <v>0.9161881535038825</v>
      </c>
      <c r="K293" s="112"/>
      <c r="L293" s="37">
        <v>21.990113255699999</v>
      </c>
      <c r="M293" s="37" t="s">
        <v>509</v>
      </c>
      <c r="N293" s="37">
        <v>812.22926829268283</v>
      </c>
      <c r="O293" s="130">
        <f t="shared" si="23"/>
        <v>17861.013599350437</v>
      </c>
      <c r="P293" s="132">
        <f t="shared" si="21"/>
        <v>1673.0603860623698</v>
      </c>
      <c r="Q293" s="262">
        <v>0.10224000056327651</v>
      </c>
      <c r="R293" s="92"/>
    </row>
    <row r="294" spans="1:18" x14ac:dyDescent="0.25">
      <c r="A294" s="326">
        <v>41487</v>
      </c>
      <c r="B294" s="326" t="s">
        <v>805</v>
      </c>
      <c r="C294" s="264" t="s">
        <v>421</v>
      </c>
      <c r="D294" s="157" t="s">
        <v>512</v>
      </c>
      <c r="E294" s="44">
        <f t="shared" si="20"/>
        <v>41487</v>
      </c>
      <c r="F294" s="146" t="str">
        <f t="shared" si="22"/>
        <v>2013-14</v>
      </c>
      <c r="G294" s="1"/>
      <c r="H294" s="161"/>
      <c r="I294" s="37"/>
      <c r="J294" s="135">
        <f t="shared" si="24"/>
        <v>0.9161881535038825</v>
      </c>
      <c r="K294" s="112"/>
      <c r="L294" s="37">
        <v>5.4955211763799996</v>
      </c>
      <c r="M294" s="37" t="s">
        <v>509</v>
      </c>
      <c r="N294" s="37">
        <v>3336.4019512195118</v>
      </c>
      <c r="O294" s="130">
        <f t="shared" si="23"/>
        <v>18335.267575842379</v>
      </c>
      <c r="P294" s="132">
        <f t="shared" si="21"/>
        <v>1717.4842669685506</v>
      </c>
      <c r="Q294" s="262">
        <v>0.10224000056327651</v>
      </c>
      <c r="R294" s="92"/>
    </row>
    <row r="295" spans="1:18" x14ac:dyDescent="0.25">
      <c r="A295" s="326">
        <v>41487</v>
      </c>
      <c r="B295" s="326" t="s">
        <v>805</v>
      </c>
      <c r="C295" s="264" t="s">
        <v>421</v>
      </c>
      <c r="D295" s="157" t="s">
        <v>512</v>
      </c>
      <c r="E295" s="44">
        <f t="shared" si="20"/>
        <v>41487</v>
      </c>
      <c r="F295" s="146" t="str">
        <f t="shared" si="22"/>
        <v>2013-14</v>
      </c>
      <c r="G295" s="1"/>
      <c r="H295" s="161"/>
      <c r="I295" s="37"/>
      <c r="J295" s="135">
        <f t="shared" si="24"/>
        <v>0.9161881535038825</v>
      </c>
      <c r="K295" s="112"/>
      <c r="L295" s="37">
        <v>26.227540490599999</v>
      </c>
      <c r="M295" s="37" t="s">
        <v>509</v>
      </c>
      <c r="N295" s="37">
        <v>1162.6195121951216</v>
      </c>
      <c r="O295" s="130">
        <f t="shared" si="23"/>
        <v>30492.65033125917</v>
      </c>
      <c r="P295" s="132">
        <f t="shared" si="21"/>
        <v>2856.2794071853041</v>
      </c>
      <c r="Q295" s="262">
        <v>0.10224000056327651</v>
      </c>
      <c r="R295" s="92"/>
    </row>
    <row r="296" spans="1:18" x14ac:dyDescent="0.25">
      <c r="A296" s="326">
        <v>41487</v>
      </c>
      <c r="B296" s="326" t="s">
        <v>805</v>
      </c>
      <c r="C296" s="264" t="s">
        <v>421</v>
      </c>
      <c r="D296" s="157" t="s">
        <v>512</v>
      </c>
      <c r="E296" s="44">
        <f t="shared" si="20"/>
        <v>41487</v>
      </c>
      <c r="F296" s="146" t="str">
        <f t="shared" si="22"/>
        <v>2013-14</v>
      </c>
      <c r="G296" s="1"/>
      <c r="H296" s="161"/>
      <c r="I296" s="37"/>
      <c r="J296" s="135">
        <f t="shared" si="24"/>
        <v>0.9161881535038825</v>
      </c>
      <c r="K296" s="112"/>
      <c r="L296" s="37">
        <v>100.26505422699999</v>
      </c>
      <c r="M296" s="37" t="s">
        <v>509</v>
      </c>
      <c r="N296" s="37">
        <v>812.22926829268283</v>
      </c>
      <c r="O296" s="130">
        <f t="shared" si="23"/>
        <v>81438.211630122372</v>
      </c>
      <c r="P296" s="132">
        <f t="shared" si="21"/>
        <v>7628.4050192468721</v>
      </c>
      <c r="Q296" s="262">
        <v>0.10224000056327651</v>
      </c>
      <c r="R296" s="92"/>
    </row>
    <row r="297" spans="1:18" x14ac:dyDescent="0.25">
      <c r="A297" s="326">
        <v>41487</v>
      </c>
      <c r="B297" s="326" t="s">
        <v>805</v>
      </c>
      <c r="C297" s="264" t="s">
        <v>421</v>
      </c>
      <c r="D297" s="157" t="s">
        <v>512</v>
      </c>
      <c r="E297" s="44">
        <f t="shared" si="20"/>
        <v>41487</v>
      </c>
      <c r="F297" s="146" t="str">
        <f t="shared" si="22"/>
        <v>2013-14</v>
      </c>
      <c r="G297" s="1"/>
      <c r="H297" s="161"/>
      <c r="I297" s="37"/>
      <c r="J297" s="135">
        <f t="shared" si="24"/>
        <v>0.9161881535038825</v>
      </c>
      <c r="K297" s="112"/>
      <c r="L297" s="37">
        <v>20.064313025800001</v>
      </c>
      <c r="M297" s="37" t="s">
        <v>509</v>
      </c>
      <c r="N297" s="37">
        <v>812.22926829268283</v>
      </c>
      <c r="O297" s="130">
        <f t="shared" si="23"/>
        <v>16296.822287740879</v>
      </c>
      <c r="P297" s="132">
        <f t="shared" si="21"/>
        <v>1526.540900753201</v>
      </c>
      <c r="Q297" s="262">
        <v>0.10224000056327651</v>
      </c>
      <c r="R297" s="92"/>
    </row>
    <row r="298" spans="1:18" x14ac:dyDescent="0.25">
      <c r="A298" s="326">
        <v>41487</v>
      </c>
      <c r="B298" s="326" t="s">
        <v>805</v>
      </c>
      <c r="C298" s="264" t="s">
        <v>421</v>
      </c>
      <c r="D298" s="157" t="s">
        <v>512</v>
      </c>
      <c r="E298" s="44">
        <f t="shared" si="20"/>
        <v>41487</v>
      </c>
      <c r="F298" s="146" t="str">
        <f t="shared" si="22"/>
        <v>2013-14</v>
      </c>
      <c r="G298" s="1"/>
      <c r="H298" s="161"/>
      <c r="I298" s="37"/>
      <c r="J298" s="135">
        <f t="shared" si="24"/>
        <v>0.9161881535038825</v>
      </c>
      <c r="K298" s="112"/>
      <c r="L298" s="37">
        <v>11.4485058511</v>
      </c>
      <c r="M298" s="37" t="s">
        <v>509</v>
      </c>
      <c r="N298" s="37">
        <v>812.22926829268283</v>
      </c>
      <c r="O298" s="130">
        <f t="shared" si="23"/>
        <v>9298.8115304834519</v>
      </c>
      <c r="P298" s="132">
        <f t="shared" si="21"/>
        <v>871.02969395183982</v>
      </c>
      <c r="Q298" s="262">
        <v>0.10224000056327651</v>
      </c>
      <c r="R298" s="92"/>
    </row>
    <row r="299" spans="1:18" x14ac:dyDescent="0.25">
      <c r="A299" s="326">
        <v>41487</v>
      </c>
      <c r="B299" s="326" t="s">
        <v>805</v>
      </c>
      <c r="C299" s="264" t="s">
        <v>421</v>
      </c>
      <c r="D299" s="157" t="s">
        <v>512</v>
      </c>
      <c r="E299" s="44">
        <f t="shared" si="20"/>
        <v>41487</v>
      </c>
      <c r="F299" s="146" t="str">
        <f t="shared" si="22"/>
        <v>2013-14</v>
      </c>
      <c r="G299" s="1"/>
      <c r="H299" s="161"/>
      <c r="I299" s="37"/>
      <c r="J299" s="135">
        <f t="shared" si="24"/>
        <v>0.9161881535038825</v>
      </c>
      <c r="K299" s="112"/>
      <c r="L299" s="37">
        <v>31.4948377684</v>
      </c>
      <c r="M299" s="37" t="s">
        <v>509</v>
      </c>
      <c r="N299" s="37">
        <v>812.22926829268283</v>
      </c>
      <c r="O299" s="130">
        <f t="shared" si="23"/>
        <v>25581.029035624284</v>
      </c>
      <c r="P299" s="132">
        <f t="shared" si="21"/>
        <v>2396.2025489847197</v>
      </c>
      <c r="Q299" s="262">
        <v>0.10224000056327651</v>
      </c>
      <c r="R299" s="92"/>
    </row>
    <row r="300" spans="1:18" x14ac:dyDescent="0.25">
      <c r="A300" s="326">
        <v>41487</v>
      </c>
      <c r="B300" s="326" t="s">
        <v>805</v>
      </c>
      <c r="C300" s="264" t="s">
        <v>421</v>
      </c>
      <c r="D300" s="157" t="s">
        <v>512</v>
      </c>
      <c r="E300" s="44">
        <f t="shared" si="20"/>
        <v>41487</v>
      </c>
      <c r="F300" s="146" t="str">
        <f t="shared" si="22"/>
        <v>2013-14</v>
      </c>
      <c r="G300" s="1"/>
      <c r="H300" s="161"/>
      <c r="I300" s="37"/>
      <c r="J300" s="135">
        <f t="shared" si="24"/>
        <v>0.9161881535038825</v>
      </c>
      <c r="K300" s="112"/>
      <c r="L300" s="37">
        <v>3.4970966529399998</v>
      </c>
      <c r="M300" s="37" t="s">
        <v>509</v>
      </c>
      <c r="N300" s="37">
        <v>812.22926829268283</v>
      </c>
      <c r="O300" s="130">
        <f t="shared" si="23"/>
        <v>2840.4442555662463</v>
      </c>
      <c r="P300" s="132">
        <f t="shared" si="21"/>
        <v>266.06747351556425</v>
      </c>
      <c r="Q300" s="262">
        <v>0.10224000056327651</v>
      </c>
      <c r="R300" s="92"/>
    </row>
    <row r="301" spans="1:18" x14ac:dyDescent="0.25">
      <c r="A301" s="326">
        <v>41487</v>
      </c>
      <c r="B301" s="326" t="s">
        <v>805</v>
      </c>
      <c r="C301" s="264" t="s">
        <v>421</v>
      </c>
      <c r="D301" s="157" t="s">
        <v>512</v>
      </c>
      <c r="E301" s="44">
        <f t="shared" si="20"/>
        <v>41487</v>
      </c>
      <c r="F301" s="146" t="str">
        <f t="shared" si="22"/>
        <v>2013-14</v>
      </c>
      <c r="G301" s="1"/>
      <c r="H301" s="161"/>
      <c r="I301" s="37"/>
      <c r="J301" s="135">
        <f t="shared" si="24"/>
        <v>0.9161881535038825</v>
      </c>
      <c r="K301" s="112"/>
      <c r="L301" s="37">
        <v>14.6949821368</v>
      </c>
      <c r="M301" s="37" t="s">
        <v>509</v>
      </c>
      <c r="N301" s="37">
        <v>812.22926829268283</v>
      </c>
      <c r="O301" s="130">
        <f t="shared" si="23"/>
        <v>11935.694588547109</v>
      </c>
      <c r="P301" s="132">
        <f t="shared" si="21"/>
        <v>1118.0293707946898</v>
      </c>
      <c r="Q301" s="262">
        <v>0.10224000056327651</v>
      </c>
      <c r="R301" s="92"/>
    </row>
    <row r="302" spans="1:18" x14ac:dyDescent="0.25">
      <c r="A302" s="326">
        <v>41487</v>
      </c>
      <c r="B302" s="326" t="s">
        <v>805</v>
      </c>
      <c r="C302" s="264" t="s">
        <v>421</v>
      </c>
      <c r="D302" s="157" t="s">
        <v>512</v>
      </c>
      <c r="E302" s="44">
        <f t="shared" si="20"/>
        <v>41487</v>
      </c>
      <c r="F302" s="146" t="str">
        <f t="shared" si="22"/>
        <v>2013-14</v>
      </c>
      <c r="G302" s="1"/>
      <c r="H302" s="161"/>
      <c r="I302" s="37"/>
      <c r="J302" s="135">
        <f t="shared" si="24"/>
        <v>0.9161881535038825</v>
      </c>
      <c r="K302" s="112"/>
      <c r="L302" s="37">
        <v>16.987683185200002</v>
      </c>
      <c r="M302" s="37" t="s">
        <v>509</v>
      </c>
      <c r="N302" s="37">
        <v>812.22926829268283</v>
      </c>
      <c r="O302" s="130">
        <f t="shared" si="23"/>
        <v>13797.893483502909</v>
      </c>
      <c r="P302" s="132">
        <f t="shared" si="21"/>
        <v>1292.4635474885015</v>
      </c>
      <c r="Q302" s="262">
        <v>0.10224000056327651</v>
      </c>
      <c r="R302" s="92"/>
    </row>
    <row r="303" spans="1:18" x14ac:dyDescent="0.25">
      <c r="A303" s="326">
        <v>41487</v>
      </c>
      <c r="B303" s="326" t="s">
        <v>805</v>
      </c>
      <c r="C303" s="264" t="s">
        <v>421</v>
      </c>
      <c r="D303" s="157" t="s">
        <v>512</v>
      </c>
      <c r="E303" s="44">
        <f t="shared" si="20"/>
        <v>41487</v>
      </c>
      <c r="F303" s="146" t="str">
        <f t="shared" si="22"/>
        <v>2013-14</v>
      </c>
      <c r="G303" s="1"/>
      <c r="H303" s="161"/>
      <c r="I303" s="37"/>
      <c r="J303" s="135">
        <f t="shared" si="24"/>
        <v>0.9161881535038825</v>
      </c>
      <c r="K303" s="112"/>
      <c r="L303" s="37">
        <v>7.5555267956799996</v>
      </c>
      <c r="M303" s="37" t="s">
        <v>509</v>
      </c>
      <c r="N303" s="37">
        <v>812.22926829268283</v>
      </c>
      <c r="O303" s="130">
        <f t="shared" si="23"/>
        <v>6136.8200008209251</v>
      </c>
      <c r="P303" s="132">
        <f t="shared" si="21"/>
        <v>574.84254085905434</v>
      </c>
      <c r="Q303" s="262">
        <v>0.10224000056327651</v>
      </c>
      <c r="R303" s="92"/>
    </row>
    <row r="304" spans="1:18" x14ac:dyDescent="0.25">
      <c r="A304" s="326">
        <v>41487</v>
      </c>
      <c r="B304" s="326" t="s">
        <v>805</v>
      </c>
      <c r="C304" s="264" t="s">
        <v>421</v>
      </c>
      <c r="D304" s="157" t="s">
        <v>512</v>
      </c>
      <c r="E304" s="44">
        <f t="shared" si="20"/>
        <v>41487</v>
      </c>
      <c r="F304" s="146" t="str">
        <f t="shared" si="22"/>
        <v>2013-14</v>
      </c>
      <c r="G304" s="1"/>
      <c r="H304" s="161"/>
      <c r="I304" s="37"/>
      <c r="J304" s="135">
        <f t="shared" si="24"/>
        <v>0.9161881535038825</v>
      </c>
      <c r="K304" s="112"/>
      <c r="L304" s="37">
        <v>2.7406966267700001</v>
      </c>
      <c r="M304" s="37" t="s">
        <v>509</v>
      </c>
      <c r="N304" s="37">
        <v>3336.4019512195118</v>
      </c>
      <c r="O304" s="130">
        <f t="shared" si="23"/>
        <v>9144.0655732561627</v>
      </c>
      <c r="P304" s="132">
        <f t="shared" si="21"/>
        <v>856.53447342585048</v>
      </c>
      <c r="Q304" s="262">
        <v>0.10224000056327651</v>
      </c>
      <c r="R304" s="92"/>
    </row>
    <row r="305" spans="1:18" x14ac:dyDescent="0.25">
      <c r="A305" s="326">
        <v>41487</v>
      </c>
      <c r="B305" s="326" t="s">
        <v>805</v>
      </c>
      <c r="C305" s="264" t="s">
        <v>421</v>
      </c>
      <c r="D305" s="157" t="s">
        <v>512</v>
      </c>
      <c r="E305" s="44">
        <f t="shared" si="20"/>
        <v>41487</v>
      </c>
      <c r="F305" s="146" t="str">
        <f t="shared" si="22"/>
        <v>2013-14</v>
      </c>
      <c r="G305" s="1"/>
      <c r="H305" s="161"/>
      <c r="I305" s="37"/>
      <c r="J305" s="135">
        <f t="shared" si="24"/>
        <v>0.9161881535038825</v>
      </c>
      <c r="K305" s="112"/>
      <c r="L305" s="37">
        <v>25.3986705951</v>
      </c>
      <c r="M305" s="37" t="s">
        <v>509</v>
      </c>
      <c r="N305" s="37">
        <v>812.22926829268283</v>
      </c>
      <c r="O305" s="130">
        <f t="shared" si="23"/>
        <v>20629.543633064954</v>
      </c>
      <c r="P305" s="132">
        <f t="shared" si="21"/>
        <v>1932.3915769417122</v>
      </c>
      <c r="Q305" s="262">
        <v>0.10224000056327651</v>
      </c>
      <c r="R305" s="92"/>
    </row>
    <row r="306" spans="1:18" x14ac:dyDescent="0.25">
      <c r="A306" s="326">
        <v>41563</v>
      </c>
      <c r="B306" s="326" t="s">
        <v>805</v>
      </c>
      <c r="C306" s="264" t="s">
        <v>422</v>
      </c>
      <c r="D306" s="157" t="s">
        <v>512</v>
      </c>
      <c r="E306" s="44">
        <f t="shared" si="20"/>
        <v>41563</v>
      </c>
      <c r="F306" s="146" t="str">
        <f t="shared" si="22"/>
        <v>2013-14</v>
      </c>
      <c r="G306" s="1"/>
      <c r="H306" s="161"/>
      <c r="I306" s="37"/>
      <c r="J306" s="135">
        <f t="shared" si="24"/>
        <v>0.9161881535038825</v>
      </c>
      <c r="K306" s="112"/>
      <c r="L306" s="37">
        <v>112.314454435</v>
      </c>
      <c r="M306" s="37" t="s">
        <v>509</v>
      </c>
      <c r="N306" s="37">
        <v>812.22926829268283</v>
      </c>
      <c r="O306" s="130">
        <f t="shared" si="23"/>
        <v>91225.08714443192</v>
      </c>
      <c r="P306" s="132">
        <f t="shared" si="21"/>
        <v>2462.7902959725775</v>
      </c>
      <c r="Q306" s="262">
        <v>2.9466494636842488E-2</v>
      </c>
      <c r="R306" s="92"/>
    </row>
    <row r="307" spans="1:18" x14ac:dyDescent="0.25">
      <c r="A307" s="326">
        <v>41563</v>
      </c>
      <c r="B307" s="326" t="s">
        <v>805</v>
      </c>
      <c r="C307" s="264" t="s">
        <v>422</v>
      </c>
      <c r="D307" s="157" t="s">
        <v>512</v>
      </c>
      <c r="E307" s="44">
        <f t="shared" si="20"/>
        <v>41563</v>
      </c>
      <c r="F307" s="146" t="str">
        <f t="shared" si="22"/>
        <v>2013-14</v>
      </c>
      <c r="G307" s="1"/>
      <c r="H307" s="161"/>
      <c r="I307" s="37"/>
      <c r="J307" s="135">
        <f t="shared" si="24"/>
        <v>0.9161881535038825</v>
      </c>
      <c r="K307" s="112"/>
      <c r="L307" s="37">
        <v>29.109745619000002</v>
      </c>
      <c r="M307" s="37" t="s">
        <v>509</v>
      </c>
      <c r="N307" s="37">
        <v>1162.6195121951216</v>
      </c>
      <c r="O307" s="130">
        <f t="shared" si="23"/>
        <v>33843.558251685863</v>
      </c>
      <c r="P307" s="132">
        <f t="shared" si="21"/>
        <v>913.66957766202552</v>
      </c>
      <c r="Q307" s="262">
        <v>2.9466494636842488E-2</v>
      </c>
      <c r="R307" s="92"/>
    </row>
    <row r="308" spans="1:18" x14ac:dyDescent="0.25">
      <c r="A308" s="326">
        <v>41563</v>
      </c>
      <c r="B308" s="326" t="s">
        <v>805</v>
      </c>
      <c r="C308" s="264" t="s">
        <v>422</v>
      </c>
      <c r="D308" s="157" t="s">
        <v>512</v>
      </c>
      <c r="E308" s="44">
        <f t="shared" si="20"/>
        <v>41563</v>
      </c>
      <c r="F308" s="146" t="str">
        <f t="shared" si="22"/>
        <v>2013-14</v>
      </c>
      <c r="G308" s="1"/>
      <c r="H308" s="161"/>
      <c r="I308" s="37"/>
      <c r="J308" s="135">
        <f t="shared" si="24"/>
        <v>0.9161881535038825</v>
      </c>
      <c r="K308" s="112"/>
      <c r="L308" s="37">
        <v>8.6207413493799994</v>
      </c>
      <c r="M308" s="37" t="s">
        <v>509</v>
      </c>
      <c r="N308" s="37">
        <v>812.22926829268283</v>
      </c>
      <c r="O308" s="130">
        <f t="shared" si="23"/>
        <v>7002.0184383473925</v>
      </c>
      <c r="P308" s="132">
        <f t="shared" si="21"/>
        <v>189.03246466490842</v>
      </c>
      <c r="Q308" s="262">
        <v>2.9466494636842488E-2</v>
      </c>
      <c r="R308" s="92"/>
    </row>
    <row r="309" spans="1:18" x14ac:dyDescent="0.25">
      <c r="A309" s="326">
        <v>41563</v>
      </c>
      <c r="B309" s="326" t="s">
        <v>805</v>
      </c>
      <c r="C309" s="264" t="s">
        <v>422</v>
      </c>
      <c r="D309" s="157" t="s">
        <v>512</v>
      </c>
      <c r="E309" s="44">
        <f t="shared" si="20"/>
        <v>41563</v>
      </c>
      <c r="F309" s="146" t="str">
        <f t="shared" si="22"/>
        <v>2013-14</v>
      </c>
      <c r="G309" s="1"/>
      <c r="H309" s="161"/>
      <c r="I309" s="37"/>
      <c r="J309" s="135">
        <f t="shared" si="24"/>
        <v>0.9161881535038825</v>
      </c>
      <c r="K309" s="112"/>
      <c r="L309" s="37">
        <v>11.9750072207</v>
      </c>
      <c r="M309" s="37" t="s">
        <v>509</v>
      </c>
      <c r="N309" s="37">
        <v>812.22926829268283</v>
      </c>
      <c r="O309" s="130">
        <f t="shared" si="23"/>
        <v>9726.4513526687551</v>
      </c>
      <c r="P309" s="132">
        <f t="shared" si="21"/>
        <v>262.58358041003027</v>
      </c>
      <c r="Q309" s="262">
        <v>2.9466494636842488E-2</v>
      </c>
      <c r="R309" s="92"/>
    </row>
    <row r="310" spans="1:18" x14ac:dyDescent="0.25">
      <c r="A310" s="326">
        <v>41563</v>
      </c>
      <c r="B310" s="326" t="s">
        <v>805</v>
      </c>
      <c r="C310" s="264" t="s">
        <v>422</v>
      </c>
      <c r="D310" s="157" t="s">
        <v>512</v>
      </c>
      <c r="E310" s="44">
        <f t="shared" ref="E310:E373" si="25">A310</f>
        <v>41563</v>
      </c>
      <c r="F310" s="146" t="str">
        <f t="shared" si="22"/>
        <v>2013-14</v>
      </c>
      <c r="G310" s="1"/>
      <c r="H310" s="161"/>
      <c r="I310" s="37"/>
      <c r="J310" s="135">
        <f t="shared" si="24"/>
        <v>0.9161881535038825</v>
      </c>
      <c r="K310" s="112"/>
      <c r="L310" s="37">
        <v>32.562593839199998</v>
      </c>
      <c r="M310" s="37" t="s">
        <v>509</v>
      </c>
      <c r="N310" s="37">
        <v>812.22926829268283</v>
      </c>
      <c r="O310" s="130">
        <f t="shared" si="23"/>
        <v>26448.291767725237</v>
      </c>
      <c r="P310" s="132">
        <f t="shared" si="21"/>
        <v>714.02065319463861</v>
      </c>
      <c r="Q310" s="262">
        <v>2.9466494636842488E-2</v>
      </c>
      <c r="R310" s="92"/>
    </row>
    <row r="311" spans="1:18" x14ac:dyDescent="0.25">
      <c r="A311" s="326">
        <v>41563</v>
      </c>
      <c r="B311" s="326" t="s">
        <v>805</v>
      </c>
      <c r="C311" s="264" t="s">
        <v>422</v>
      </c>
      <c r="D311" s="157" t="s">
        <v>512</v>
      </c>
      <c r="E311" s="44">
        <f t="shared" si="25"/>
        <v>41563</v>
      </c>
      <c r="F311" s="146" t="str">
        <f t="shared" si="22"/>
        <v>2013-14</v>
      </c>
      <c r="G311" s="1"/>
      <c r="H311" s="161"/>
      <c r="I311" s="37"/>
      <c r="J311" s="135">
        <f t="shared" si="24"/>
        <v>0.9161881535038825</v>
      </c>
      <c r="K311" s="112"/>
      <c r="L311" s="37">
        <v>26.772209414100001</v>
      </c>
      <c r="M311" s="37" t="s">
        <v>509</v>
      </c>
      <c r="N311" s="37">
        <v>812.22926829268283</v>
      </c>
      <c r="O311" s="130">
        <f t="shared" si="23"/>
        <v>21745.172062992919</v>
      </c>
      <c r="P311" s="132">
        <f t="shared" si="21"/>
        <v>587.05122041926916</v>
      </c>
      <c r="Q311" s="262">
        <v>2.9466494636842488E-2</v>
      </c>
      <c r="R311" s="92"/>
    </row>
    <row r="312" spans="1:18" x14ac:dyDescent="0.25">
      <c r="A312" s="326">
        <v>41563</v>
      </c>
      <c r="B312" s="326" t="s">
        <v>805</v>
      </c>
      <c r="C312" s="264" t="s">
        <v>422</v>
      </c>
      <c r="D312" s="157" t="s">
        <v>512</v>
      </c>
      <c r="E312" s="44">
        <f t="shared" si="25"/>
        <v>41563</v>
      </c>
      <c r="F312" s="146" t="str">
        <f t="shared" si="22"/>
        <v>2013-14</v>
      </c>
      <c r="G312" s="1"/>
      <c r="H312" s="161"/>
      <c r="I312" s="37"/>
      <c r="J312" s="135">
        <f t="shared" si="24"/>
        <v>0.9161881535038825</v>
      </c>
      <c r="K312" s="112"/>
      <c r="L312" s="37">
        <v>16.8138637554</v>
      </c>
      <c r="M312" s="37" t="s">
        <v>509</v>
      </c>
      <c r="N312" s="37">
        <v>3336.4019512195118</v>
      </c>
      <c r="O312" s="130">
        <f t="shared" si="23"/>
        <v>56097.80784105559</v>
      </c>
      <c r="P312" s="132">
        <f t="shared" si="21"/>
        <v>1514.4642893851017</v>
      </c>
      <c r="Q312" s="262">
        <v>2.9466494636842488E-2</v>
      </c>
      <c r="R312" s="92"/>
    </row>
    <row r="313" spans="1:18" x14ac:dyDescent="0.25">
      <c r="A313" s="326">
        <v>41563</v>
      </c>
      <c r="B313" s="326" t="s">
        <v>805</v>
      </c>
      <c r="C313" s="264" t="s">
        <v>422</v>
      </c>
      <c r="D313" s="157" t="s">
        <v>512</v>
      </c>
      <c r="E313" s="44">
        <f t="shared" si="25"/>
        <v>41563</v>
      </c>
      <c r="F313" s="146" t="str">
        <f t="shared" si="22"/>
        <v>2013-14</v>
      </c>
      <c r="G313" s="1"/>
      <c r="H313" s="161"/>
      <c r="I313" s="37"/>
      <c r="J313" s="135">
        <f t="shared" si="24"/>
        <v>0.9161881535038825</v>
      </c>
      <c r="K313" s="112"/>
      <c r="L313" s="37">
        <v>7.6515693161599998</v>
      </c>
      <c r="M313" s="37" t="s">
        <v>509</v>
      </c>
      <c r="N313" s="37">
        <v>812.22926829268283</v>
      </c>
      <c r="O313" s="130">
        <f t="shared" si="23"/>
        <v>6214.8285469553803</v>
      </c>
      <c r="P313" s="132">
        <f t="shared" si="21"/>
        <v>167.78081463865479</v>
      </c>
      <c r="Q313" s="262">
        <v>2.9466494636842488E-2</v>
      </c>
      <c r="R313" s="92"/>
    </row>
    <row r="314" spans="1:18" x14ac:dyDescent="0.25">
      <c r="A314" s="326">
        <v>41563</v>
      </c>
      <c r="B314" s="326" t="s">
        <v>805</v>
      </c>
      <c r="C314" s="264" t="s">
        <v>422</v>
      </c>
      <c r="D314" s="157" t="s">
        <v>512</v>
      </c>
      <c r="E314" s="44">
        <f t="shared" si="25"/>
        <v>41563</v>
      </c>
      <c r="F314" s="146" t="str">
        <f t="shared" si="22"/>
        <v>2013-14</v>
      </c>
      <c r="G314" s="1"/>
      <c r="H314" s="161"/>
      <c r="I314" s="37"/>
      <c r="J314" s="135">
        <f t="shared" si="24"/>
        <v>0.9161881535038825</v>
      </c>
      <c r="K314" s="112"/>
      <c r="L314" s="37">
        <v>17.714248079899999</v>
      </c>
      <c r="M314" s="37" t="s">
        <v>509</v>
      </c>
      <c r="N314" s="37">
        <v>3336.4019512195118</v>
      </c>
      <c r="O314" s="130">
        <f t="shared" si="23"/>
        <v>59101.851858164846</v>
      </c>
      <c r="P314" s="132">
        <f t="shared" si="21"/>
        <v>1595.564025056472</v>
      </c>
      <c r="Q314" s="262">
        <v>2.9466494636842488E-2</v>
      </c>
      <c r="R314" s="92"/>
    </row>
    <row r="315" spans="1:18" x14ac:dyDescent="0.25">
      <c r="A315" s="326">
        <v>41563</v>
      </c>
      <c r="B315" s="326" t="s">
        <v>805</v>
      </c>
      <c r="C315" s="264" t="s">
        <v>422</v>
      </c>
      <c r="D315" s="157" t="s">
        <v>512</v>
      </c>
      <c r="E315" s="44">
        <f t="shared" si="25"/>
        <v>41563</v>
      </c>
      <c r="F315" s="146" t="str">
        <f t="shared" si="22"/>
        <v>2013-14</v>
      </c>
      <c r="G315" s="1"/>
      <c r="H315" s="161"/>
      <c r="I315" s="37"/>
      <c r="J315" s="135">
        <f t="shared" si="24"/>
        <v>0.9161881535038825</v>
      </c>
      <c r="K315" s="112"/>
      <c r="L315" s="37">
        <v>7.4539434529699999</v>
      </c>
      <c r="M315" s="37" t="s">
        <v>509</v>
      </c>
      <c r="N315" s="37">
        <v>812.22926829268283</v>
      </c>
      <c r="O315" s="130">
        <f t="shared" si="23"/>
        <v>6054.3110367008567</v>
      </c>
      <c r="P315" s="132">
        <f t="shared" si="21"/>
        <v>163.44734696037645</v>
      </c>
      <c r="Q315" s="262">
        <v>2.9466494636842488E-2</v>
      </c>
      <c r="R315" s="92"/>
    </row>
    <row r="316" spans="1:18" x14ac:dyDescent="0.25">
      <c r="A316" s="326">
        <v>41563</v>
      </c>
      <c r="B316" s="326" t="s">
        <v>805</v>
      </c>
      <c r="C316" s="264" t="s">
        <v>422</v>
      </c>
      <c r="D316" s="157" t="s">
        <v>512</v>
      </c>
      <c r="E316" s="44">
        <f t="shared" si="25"/>
        <v>41563</v>
      </c>
      <c r="F316" s="146" t="str">
        <f t="shared" si="22"/>
        <v>2013-14</v>
      </c>
      <c r="G316" s="1"/>
      <c r="H316" s="161"/>
      <c r="I316" s="37"/>
      <c r="J316" s="135">
        <f t="shared" si="24"/>
        <v>0.9161881535038825</v>
      </c>
      <c r="K316" s="112"/>
      <c r="L316" s="37">
        <v>17.5539354593</v>
      </c>
      <c r="M316" s="37" t="s">
        <v>509</v>
      </c>
      <c r="N316" s="37">
        <v>812.22926829268283</v>
      </c>
      <c r="O316" s="130">
        <f t="shared" si="23"/>
        <v>14257.820153764218</v>
      </c>
      <c r="P316" s="132">
        <f t="shared" si="21"/>
        <v>384.91627923378752</v>
      </c>
      <c r="Q316" s="262">
        <v>2.9466494636842488E-2</v>
      </c>
      <c r="R316" s="92"/>
    </row>
    <row r="317" spans="1:18" x14ac:dyDescent="0.25">
      <c r="A317" s="326">
        <v>41563</v>
      </c>
      <c r="B317" s="326" t="s">
        <v>805</v>
      </c>
      <c r="C317" s="264" t="s">
        <v>422</v>
      </c>
      <c r="D317" s="157" t="s">
        <v>512</v>
      </c>
      <c r="E317" s="44">
        <f t="shared" si="25"/>
        <v>41563</v>
      </c>
      <c r="F317" s="146" t="str">
        <f t="shared" si="22"/>
        <v>2013-14</v>
      </c>
      <c r="G317" s="1"/>
      <c r="H317" s="161"/>
      <c r="I317" s="37"/>
      <c r="J317" s="135">
        <f t="shared" si="24"/>
        <v>0.9161881535038825</v>
      </c>
      <c r="K317" s="112"/>
      <c r="L317" s="37">
        <v>43.8111157632</v>
      </c>
      <c r="M317" s="37" t="s">
        <v>509</v>
      </c>
      <c r="N317" s="37">
        <v>812.22926829268283</v>
      </c>
      <c r="O317" s="130">
        <f t="shared" si="23"/>
        <v>35584.670499429958</v>
      </c>
      <c r="P317" s="132">
        <f t="shared" si="21"/>
        <v>960.67412961333469</v>
      </c>
      <c r="Q317" s="262">
        <v>2.9466494636842488E-2</v>
      </c>
      <c r="R317" s="92"/>
    </row>
    <row r="318" spans="1:18" x14ac:dyDescent="0.25">
      <c r="A318" s="326">
        <v>41563</v>
      </c>
      <c r="B318" s="326" t="s">
        <v>805</v>
      </c>
      <c r="C318" s="264" t="s">
        <v>422</v>
      </c>
      <c r="D318" s="157" t="s">
        <v>512</v>
      </c>
      <c r="E318" s="44">
        <f t="shared" si="25"/>
        <v>41563</v>
      </c>
      <c r="F318" s="146" t="str">
        <f t="shared" si="22"/>
        <v>2013-14</v>
      </c>
      <c r="G318" s="1"/>
      <c r="H318" s="161"/>
      <c r="I318" s="37"/>
      <c r="J318" s="135">
        <f t="shared" si="24"/>
        <v>0.9161881535038825</v>
      </c>
      <c r="K318" s="112"/>
      <c r="L318" s="37">
        <v>9.4830672782699992</v>
      </c>
      <c r="M318" s="37" t="s">
        <v>509</v>
      </c>
      <c r="N318" s="37">
        <v>812.22926829268283</v>
      </c>
      <c r="O318" s="130">
        <f t="shared" si="23"/>
        <v>7702.4247965995246</v>
      </c>
      <c r="P318" s="132">
        <f t="shared" si="21"/>
        <v>207.94123237712571</v>
      </c>
      <c r="Q318" s="262">
        <v>2.9466494636842488E-2</v>
      </c>
      <c r="R318" s="92"/>
    </row>
    <row r="319" spans="1:18" x14ac:dyDescent="0.25">
      <c r="A319" s="326">
        <v>41604</v>
      </c>
      <c r="B319" s="326" t="s">
        <v>805</v>
      </c>
      <c r="C319" s="264" t="s">
        <v>423</v>
      </c>
      <c r="D319" s="157" t="s">
        <v>512</v>
      </c>
      <c r="E319" s="44">
        <f t="shared" si="25"/>
        <v>41604</v>
      </c>
      <c r="F319" s="146" t="str">
        <f t="shared" si="22"/>
        <v>2013-14</v>
      </c>
      <c r="G319" s="1"/>
      <c r="H319" s="161"/>
      <c r="I319" s="37"/>
      <c r="J319" s="135">
        <f t="shared" si="24"/>
        <v>0.9161881535038825</v>
      </c>
      <c r="K319" s="112"/>
      <c r="L319" s="37">
        <v>29.242837763699999</v>
      </c>
      <c r="M319" s="37" t="s">
        <v>509</v>
      </c>
      <c r="N319" s="37">
        <v>950.87219512195099</v>
      </c>
      <c r="O319" s="130">
        <f t="shared" si="23"/>
        <v>27806.201335964503</v>
      </c>
      <c r="P319" s="132">
        <f t="shared" si="21"/>
        <v>2634.815889249232</v>
      </c>
      <c r="Q319" s="262">
        <v>0.1034246211674235</v>
      </c>
      <c r="R319" s="92"/>
    </row>
    <row r="320" spans="1:18" x14ac:dyDescent="0.25">
      <c r="A320" s="326">
        <v>41604</v>
      </c>
      <c r="B320" s="326" t="s">
        <v>805</v>
      </c>
      <c r="C320" s="264" t="s">
        <v>423</v>
      </c>
      <c r="D320" s="157" t="s">
        <v>512</v>
      </c>
      <c r="E320" s="44">
        <f t="shared" si="25"/>
        <v>41604</v>
      </c>
      <c r="F320" s="146" t="str">
        <f t="shared" si="22"/>
        <v>2013-14</v>
      </c>
      <c r="G320" s="1"/>
      <c r="H320" s="161"/>
      <c r="I320" s="37"/>
      <c r="J320" s="135">
        <f t="shared" si="24"/>
        <v>0.9161881535038825</v>
      </c>
      <c r="K320" s="112"/>
      <c r="L320" s="37">
        <v>49.450686602399998</v>
      </c>
      <c r="M320" s="37" t="s">
        <v>509</v>
      </c>
      <c r="N320" s="37">
        <v>812.22926829268283</v>
      </c>
      <c r="O320" s="130">
        <f t="shared" si="23"/>
        <v>40165.294995638127</v>
      </c>
      <c r="P320" s="132">
        <f t="shared" si="21"/>
        <v>3805.9192685917874</v>
      </c>
      <c r="Q320" s="262">
        <v>0.1034246211674235</v>
      </c>
      <c r="R320" s="92"/>
    </row>
    <row r="321" spans="1:18" x14ac:dyDescent="0.25">
      <c r="A321" s="326">
        <v>41604</v>
      </c>
      <c r="B321" s="326" t="s">
        <v>805</v>
      </c>
      <c r="C321" s="264" t="s">
        <v>423</v>
      </c>
      <c r="D321" s="157" t="s">
        <v>512</v>
      </c>
      <c r="E321" s="44">
        <f t="shared" si="25"/>
        <v>41604</v>
      </c>
      <c r="F321" s="146" t="str">
        <f t="shared" si="22"/>
        <v>2013-14</v>
      </c>
      <c r="G321" s="1"/>
      <c r="H321" s="161"/>
      <c r="I321" s="37"/>
      <c r="J321" s="135">
        <f t="shared" si="24"/>
        <v>0.9161881535038825</v>
      </c>
      <c r="K321" s="112"/>
      <c r="L321" s="37">
        <v>18.783638225899999</v>
      </c>
      <c r="M321" s="37" t="s">
        <v>509</v>
      </c>
      <c r="N321" s="37">
        <v>3592.3639024390236</v>
      </c>
      <c r="O321" s="130">
        <f t="shared" si="23"/>
        <v>67477.663919196944</v>
      </c>
      <c r="P321" s="132">
        <f t="shared" si="21"/>
        <v>6393.9413699693241</v>
      </c>
      <c r="Q321" s="262">
        <v>0.1034246211674235</v>
      </c>
      <c r="R321" s="92"/>
    </row>
    <row r="322" spans="1:18" x14ac:dyDescent="0.25">
      <c r="A322" s="326">
        <v>41604</v>
      </c>
      <c r="B322" s="326" t="s">
        <v>805</v>
      </c>
      <c r="C322" s="264" t="s">
        <v>423</v>
      </c>
      <c r="D322" s="157" t="s">
        <v>512</v>
      </c>
      <c r="E322" s="44">
        <f t="shared" si="25"/>
        <v>41604</v>
      </c>
      <c r="F322" s="146" t="str">
        <f t="shared" si="22"/>
        <v>2013-14</v>
      </c>
      <c r="G322" s="1"/>
      <c r="H322" s="161"/>
      <c r="I322" s="37"/>
      <c r="J322" s="135">
        <f t="shared" si="24"/>
        <v>0.9161881535038825</v>
      </c>
      <c r="K322" s="112"/>
      <c r="L322" s="37">
        <v>6.5214030698899998</v>
      </c>
      <c r="M322" s="37" t="s">
        <v>509</v>
      </c>
      <c r="N322" s="37">
        <v>950.87219512195099</v>
      </c>
      <c r="O322" s="130">
        <f t="shared" si="23"/>
        <v>6201.0208523413339</v>
      </c>
      <c r="P322" s="132">
        <f t="shared" si="21"/>
        <v>587.58649100992113</v>
      </c>
      <c r="Q322" s="262">
        <v>0.1034246211674235</v>
      </c>
      <c r="R322" s="92"/>
    </row>
    <row r="323" spans="1:18" x14ac:dyDescent="0.25">
      <c r="A323" s="326">
        <v>41604</v>
      </c>
      <c r="B323" s="326" t="s">
        <v>805</v>
      </c>
      <c r="C323" s="264" t="s">
        <v>423</v>
      </c>
      <c r="D323" s="157" t="s">
        <v>512</v>
      </c>
      <c r="E323" s="44">
        <f t="shared" si="25"/>
        <v>41604</v>
      </c>
      <c r="F323" s="146" t="str">
        <f t="shared" si="22"/>
        <v>2013-14</v>
      </c>
      <c r="G323" s="1"/>
      <c r="H323" s="161"/>
      <c r="I323" s="37"/>
      <c r="J323" s="135">
        <f t="shared" si="24"/>
        <v>0.9161881535038825</v>
      </c>
      <c r="K323" s="112"/>
      <c r="L323" s="37">
        <v>55.129107454299998</v>
      </c>
      <c r="M323" s="37" t="s">
        <v>509</v>
      </c>
      <c r="N323" s="37">
        <v>812.22926829268283</v>
      </c>
      <c r="O323" s="130">
        <f t="shared" si="23"/>
        <v>44777.47460923477</v>
      </c>
      <c r="P323" s="132">
        <f t="shared" si="21"/>
        <v>4242.9528634776207</v>
      </c>
      <c r="Q323" s="262">
        <v>0.1034246211674235</v>
      </c>
      <c r="R323" s="92"/>
    </row>
    <row r="324" spans="1:18" x14ac:dyDescent="0.25">
      <c r="A324" s="326">
        <v>41604</v>
      </c>
      <c r="B324" s="326" t="s">
        <v>805</v>
      </c>
      <c r="C324" s="264" t="s">
        <v>423</v>
      </c>
      <c r="D324" s="157" t="s">
        <v>512</v>
      </c>
      <c r="E324" s="44">
        <f t="shared" si="25"/>
        <v>41604</v>
      </c>
      <c r="F324" s="146" t="str">
        <f t="shared" si="22"/>
        <v>2013-14</v>
      </c>
      <c r="G324" s="1"/>
      <c r="H324" s="161"/>
      <c r="I324" s="37"/>
      <c r="J324" s="135">
        <f t="shared" si="24"/>
        <v>0.9161881535038825</v>
      </c>
      <c r="K324" s="112"/>
      <c r="L324" s="37">
        <v>67.450806810200007</v>
      </c>
      <c r="M324" s="37" t="s">
        <v>509</v>
      </c>
      <c r="N324" s="37">
        <v>812.22926829268283</v>
      </c>
      <c r="O324" s="130">
        <f t="shared" si="23"/>
        <v>54785.51946119986</v>
      </c>
      <c r="P324" s="132">
        <f t="shared" si="21"/>
        <v>5191.2792917326915</v>
      </c>
      <c r="Q324" s="262">
        <v>0.1034246211674235</v>
      </c>
      <c r="R324" s="92"/>
    </row>
    <row r="325" spans="1:18" x14ac:dyDescent="0.25">
      <c r="A325" s="326">
        <v>41604</v>
      </c>
      <c r="B325" s="326" t="s">
        <v>805</v>
      </c>
      <c r="C325" s="264" t="s">
        <v>423</v>
      </c>
      <c r="D325" s="157" t="s">
        <v>512</v>
      </c>
      <c r="E325" s="44">
        <f t="shared" si="25"/>
        <v>41604</v>
      </c>
      <c r="F325" s="146" t="str">
        <f t="shared" si="22"/>
        <v>2013-14</v>
      </c>
      <c r="G325" s="1"/>
      <c r="H325" s="161"/>
      <c r="I325" s="37"/>
      <c r="J325" s="135">
        <f t="shared" si="24"/>
        <v>0.9161881535038825</v>
      </c>
      <c r="K325" s="112"/>
      <c r="L325" s="37">
        <v>73.767054836699998</v>
      </c>
      <c r="M325" s="37" t="s">
        <v>509</v>
      </c>
      <c r="N325" s="37">
        <v>3336.4019512195118</v>
      </c>
      <c r="O325" s="130">
        <f t="shared" si="23"/>
        <v>246116.54569288259</v>
      </c>
      <c r="P325" s="132">
        <f t="shared" si="21"/>
        <v>23321.120974550708</v>
      </c>
      <c r="Q325" s="262">
        <v>0.1034246211674235</v>
      </c>
      <c r="R325" s="92"/>
    </row>
    <row r="326" spans="1:18" x14ac:dyDescent="0.25">
      <c r="A326" s="326">
        <v>41604</v>
      </c>
      <c r="B326" s="326" t="s">
        <v>805</v>
      </c>
      <c r="C326" s="264" t="s">
        <v>423</v>
      </c>
      <c r="D326" s="157" t="s">
        <v>512</v>
      </c>
      <c r="E326" s="44">
        <f t="shared" si="25"/>
        <v>41604</v>
      </c>
      <c r="F326" s="146" t="str">
        <f t="shared" si="22"/>
        <v>2013-14</v>
      </c>
      <c r="G326" s="1"/>
      <c r="H326" s="161"/>
      <c r="I326" s="37"/>
      <c r="J326" s="135">
        <f t="shared" si="24"/>
        <v>0.9161881535038825</v>
      </c>
      <c r="K326" s="112"/>
      <c r="L326" s="37">
        <v>44.7370659762</v>
      </c>
      <c r="M326" s="37" t="s">
        <v>509</v>
      </c>
      <c r="N326" s="37">
        <v>812.22926829268283</v>
      </c>
      <c r="O326" s="130">
        <f t="shared" si="23"/>
        <v>36336.7543634104</v>
      </c>
      <c r="P326" s="132">
        <f t="shared" si="21"/>
        <v>3443.1404924278258</v>
      </c>
      <c r="Q326" s="262">
        <v>0.1034246211674235</v>
      </c>
      <c r="R326" s="92"/>
    </row>
    <row r="327" spans="1:18" x14ac:dyDescent="0.25">
      <c r="A327" s="326">
        <v>41604</v>
      </c>
      <c r="B327" s="326" t="s">
        <v>805</v>
      </c>
      <c r="C327" s="264" t="s">
        <v>423</v>
      </c>
      <c r="D327" s="157" t="s">
        <v>512</v>
      </c>
      <c r="E327" s="44">
        <f t="shared" si="25"/>
        <v>41604</v>
      </c>
      <c r="F327" s="146" t="str">
        <f t="shared" si="22"/>
        <v>2013-14</v>
      </c>
      <c r="G327" s="1"/>
      <c r="H327" s="161"/>
      <c r="I327" s="37"/>
      <c r="J327" s="135">
        <f t="shared" si="24"/>
        <v>0.9161881535038825</v>
      </c>
      <c r="K327" s="112"/>
      <c r="L327" s="37">
        <v>52.162172470000002</v>
      </c>
      <c r="M327" s="37" t="s">
        <v>509</v>
      </c>
      <c r="N327" s="37">
        <v>812.22926829268283</v>
      </c>
      <c r="O327" s="130">
        <f t="shared" si="23"/>
        <v>42367.643177864826</v>
      </c>
      <c r="P327" s="132">
        <f t="shared" si="21"/>
        <v>4014.6058818432266</v>
      </c>
      <c r="Q327" s="262">
        <v>0.1034246211674235</v>
      </c>
      <c r="R327" s="92"/>
    </row>
    <row r="328" spans="1:18" x14ac:dyDescent="0.25">
      <c r="A328" s="326">
        <v>41761</v>
      </c>
      <c r="B328" s="326" t="s">
        <v>805</v>
      </c>
      <c r="C328" s="264" t="s">
        <v>424</v>
      </c>
      <c r="D328" s="157" t="s">
        <v>512</v>
      </c>
      <c r="E328" s="44">
        <f t="shared" si="25"/>
        <v>41761</v>
      </c>
      <c r="F328" s="146" t="str">
        <f t="shared" si="22"/>
        <v>2013-14</v>
      </c>
      <c r="G328" s="1"/>
      <c r="H328" s="161"/>
      <c r="I328" s="37"/>
      <c r="J328" s="135">
        <f t="shared" si="24"/>
        <v>0.9161881535038825</v>
      </c>
      <c r="K328" s="112"/>
      <c r="L328" s="37">
        <v>30.331974323099999</v>
      </c>
      <c r="M328" s="37" t="s">
        <v>509</v>
      </c>
      <c r="N328" s="37">
        <v>950.87219512195099</v>
      </c>
      <c r="O328" s="130">
        <f t="shared" si="23"/>
        <v>28841.831006988748</v>
      </c>
      <c r="P328" s="132">
        <f t="shared" si="21"/>
        <v>2597.0689319665867</v>
      </c>
      <c r="Q328" s="262">
        <v>9.8282450678734895E-2</v>
      </c>
      <c r="R328" s="92"/>
    </row>
    <row r="329" spans="1:18" x14ac:dyDescent="0.25">
      <c r="A329" s="326">
        <v>41761</v>
      </c>
      <c r="B329" s="326" t="s">
        <v>805</v>
      </c>
      <c r="C329" s="264" t="s">
        <v>424</v>
      </c>
      <c r="D329" s="157" t="s">
        <v>512</v>
      </c>
      <c r="E329" s="44">
        <f t="shared" si="25"/>
        <v>41761</v>
      </c>
      <c r="F329" s="146" t="str">
        <f t="shared" si="22"/>
        <v>2013-14</v>
      </c>
      <c r="G329" s="1"/>
      <c r="H329" s="161"/>
      <c r="I329" s="37"/>
      <c r="J329" s="135">
        <f t="shared" si="24"/>
        <v>0.9161881535038825</v>
      </c>
      <c r="K329" s="112"/>
      <c r="L329" s="37">
        <v>44.573585256199998</v>
      </c>
      <c r="M329" s="37" t="s">
        <v>509</v>
      </c>
      <c r="N329" s="37">
        <v>812.22926829268283</v>
      </c>
      <c r="O329" s="130">
        <f t="shared" si="23"/>
        <v>36203.97053782484</v>
      </c>
      <c r="P329" s="132">
        <f t="shared" si="21"/>
        <v>3259.9943836726334</v>
      </c>
      <c r="Q329" s="262">
        <v>9.8282450678734895E-2</v>
      </c>
      <c r="R329" s="92"/>
    </row>
    <row r="330" spans="1:18" x14ac:dyDescent="0.25">
      <c r="A330" s="326">
        <v>41761</v>
      </c>
      <c r="B330" s="326" t="s">
        <v>805</v>
      </c>
      <c r="C330" s="264" t="s">
        <v>424</v>
      </c>
      <c r="D330" s="157" t="s">
        <v>512</v>
      </c>
      <c r="E330" s="44">
        <f t="shared" si="25"/>
        <v>41761</v>
      </c>
      <c r="F330" s="146" t="str">
        <f t="shared" si="22"/>
        <v>2013-14</v>
      </c>
      <c r="G330" s="1"/>
      <c r="H330" s="161"/>
      <c r="I330" s="37"/>
      <c r="J330" s="135">
        <f t="shared" si="24"/>
        <v>0.9161881535038825</v>
      </c>
      <c r="K330" s="112"/>
      <c r="L330" s="37">
        <v>29.4381566367</v>
      </c>
      <c r="M330" s="37" t="s">
        <v>509</v>
      </c>
      <c r="N330" s="37">
        <v>812.22926829268283</v>
      </c>
      <c r="O330" s="130">
        <f t="shared" si="23"/>
        <v>23910.532424912228</v>
      </c>
      <c r="P330" s="132">
        <f t="shared" si="21"/>
        <v>2153.0290810064125</v>
      </c>
      <c r="Q330" s="262">
        <v>9.8282450678734895E-2</v>
      </c>
      <c r="R330" s="92"/>
    </row>
    <row r="331" spans="1:18" x14ac:dyDescent="0.25">
      <c r="A331" s="326">
        <v>41761</v>
      </c>
      <c r="B331" s="326" t="s">
        <v>805</v>
      </c>
      <c r="C331" s="264" t="s">
        <v>424</v>
      </c>
      <c r="D331" s="157" t="s">
        <v>512</v>
      </c>
      <c r="E331" s="44">
        <f t="shared" si="25"/>
        <v>41761</v>
      </c>
      <c r="F331" s="146" t="str">
        <f t="shared" si="22"/>
        <v>2013-14</v>
      </c>
      <c r="G331" s="1"/>
      <c r="H331" s="161"/>
      <c r="I331" s="37"/>
      <c r="J331" s="135">
        <f t="shared" si="24"/>
        <v>0.9161881535038825</v>
      </c>
      <c r="K331" s="112"/>
      <c r="L331" s="37">
        <v>49.212622132100002</v>
      </c>
      <c r="M331" s="37" t="s">
        <v>509</v>
      </c>
      <c r="N331" s="37">
        <v>3336.4019512195118</v>
      </c>
      <c r="O331" s="130">
        <f t="shared" si="23"/>
        <v>164193.08850616697</v>
      </c>
      <c r="P331" s="132">
        <f t="shared" si="21"/>
        <v>14784.802285946376</v>
      </c>
      <c r="Q331" s="262">
        <v>9.8282450678734895E-2</v>
      </c>
      <c r="R331" s="92"/>
    </row>
    <row r="332" spans="1:18" x14ac:dyDescent="0.25">
      <c r="A332" s="326">
        <v>41761</v>
      </c>
      <c r="B332" s="326" t="s">
        <v>805</v>
      </c>
      <c r="C332" s="264" t="s">
        <v>424</v>
      </c>
      <c r="D332" s="157" t="s">
        <v>512</v>
      </c>
      <c r="E332" s="44">
        <f t="shared" si="25"/>
        <v>41761</v>
      </c>
      <c r="F332" s="146" t="str">
        <f t="shared" si="22"/>
        <v>2013-14</v>
      </c>
      <c r="G332" s="1"/>
      <c r="H332" s="161"/>
      <c r="I332" s="37"/>
      <c r="J332" s="135">
        <f t="shared" si="24"/>
        <v>0.9161881535038825</v>
      </c>
      <c r="K332" s="112"/>
      <c r="L332" s="37">
        <v>21.2741177921</v>
      </c>
      <c r="M332" s="37" t="s">
        <v>509</v>
      </c>
      <c r="N332" s="37">
        <v>3592.3639024390236</v>
      </c>
      <c r="O332" s="130">
        <f t="shared" si="23"/>
        <v>76424.372812575821</v>
      </c>
      <c r="P332" s="132">
        <f t="shared" si="21"/>
        <v>6881.6492346993646</v>
      </c>
      <c r="Q332" s="262">
        <v>9.8282450678734895E-2</v>
      </c>
      <c r="R332" s="92"/>
    </row>
    <row r="333" spans="1:18" x14ac:dyDescent="0.25">
      <c r="A333" s="326">
        <v>41761</v>
      </c>
      <c r="B333" s="326" t="s">
        <v>805</v>
      </c>
      <c r="C333" s="264" t="s">
        <v>424</v>
      </c>
      <c r="D333" s="157" t="s">
        <v>512</v>
      </c>
      <c r="E333" s="44">
        <f t="shared" si="25"/>
        <v>41761</v>
      </c>
      <c r="F333" s="146" t="str">
        <f t="shared" si="22"/>
        <v>2013-14</v>
      </c>
      <c r="G333" s="1"/>
      <c r="H333" s="161"/>
      <c r="I333" s="37"/>
      <c r="J333" s="135">
        <f t="shared" si="24"/>
        <v>0.9161881535038825</v>
      </c>
      <c r="K333" s="112"/>
      <c r="L333" s="37">
        <v>22.3829604164</v>
      </c>
      <c r="M333" s="37" t="s">
        <v>509</v>
      </c>
      <c r="N333" s="37">
        <v>812.22926829268283</v>
      </c>
      <c r="O333" s="130">
        <f t="shared" si="23"/>
        <v>18180.095561236656</v>
      </c>
      <c r="P333" s="132">
        <f t="shared" si="21"/>
        <v>1637.0306500593033</v>
      </c>
      <c r="Q333" s="262">
        <v>9.8282450678734895E-2</v>
      </c>
      <c r="R333" s="92"/>
    </row>
    <row r="334" spans="1:18" x14ac:dyDescent="0.25">
      <c r="A334" s="326">
        <v>41761</v>
      </c>
      <c r="B334" s="326" t="s">
        <v>805</v>
      </c>
      <c r="C334" s="264" t="s">
        <v>424</v>
      </c>
      <c r="D334" s="157" t="s">
        <v>512</v>
      </c>
      <c r="E334" s="44">
        <f t="shared" si="25"/>
        <v>41761</v>
      </c>
      <c r="F334" s="146" t="str">
        <f t="shared" si="22"/>
        <v>2013-14</v>
      </c>
      <c r="G334" s="1"/>
      <c r="H334" s="161"/>
      <c r="I334" s="37"/>
      <c r="J334" s="135">
        <f t="shared" si="24"/>
        <v>0.9161881535038825</v>
      </c>
      <c r="K334" s="112"/>
      <c r="L334" s="37">
        <v>4.8508437410400003</v>
      </c>
      <c r="M334" s="37" t="s">
        <v>509</v>
      </c>
      <c r="N334" s="37">
        <v>950.87219512195099</v>
      </c>
      <c r="O334" s="130">
        <f t="shared" si="23"/>
        <v>4612.5324362362817</v>
      </c>
      <c r="P334" s="132">
        <f t="shared" si="21"/>
        <v>415.33648418280779</v>
      </c>
      <c r="Q334" s="262">
        <v>9.8282450678734895E-2</v>
      </c>
      <c r="R334" s="92"/>
    </row>
    <row r="335" spans="1:18" x14ac:dyDescent="0.25">
      <c r="A335" s="326">
        <v>41761</v>
      </c>
      <c r="B335" s="326" t="s">
        <v>805</v>
      </c>
      <c r="C335" s="264" t="s">
        <v>424</v>
      </c>
      <c r="D335" s="157" t="s">
        <v>512</v>
      </c>
      <c r="E335" s="44">
        <f t="shared" si="25"/>
        <v>41761</v>
      </c>
      <c r="F335" s="146" t="str">
        <f t="shared" si="22"/>
        <v>2013-14</v>
      </c>
      <c r="G335" s="1"/>
      <c r="H335" s="161"/>
      <c r="I335" s="37"/>
      <c r="J335" s="135">
        <f t="shared" si="24"/>
        <v>0.9161881535038825</v>
      </c>
      <c r="K335" s="112"/>
      <c r="L335" s="37">
        <v>21.177003515999999</v>
      </c>
      <c r="M335" s="37" t="s">
        <v>509</v>
      </c>
      <c r="N335" s="37">
        <v>3336.4019512195118</v>
      </c>
      <c r="O335" s="130">
        <f t="shared" si="23"/>
        <v>70654.995851764863</v>
      </c>
      <c r="P335" s="132">
        <f t="shared" si="21"/>
        <v>6362.1444342553414</v>
      </c>
      <c r="Q335" s="262">
        <v>9.8282450678734895E-2</v>
      </c>
      <c r="R335" s="92"/>
    </row>
    <row r="336" spans="1:18" x14ac:dyDescent="0.25">
      <c r="A336" s="326">
        <v>41761</v>
      </c>
      <c r="B336" s="326" t="s">
        <v>805</v>
      </c>
      <c r="C336" s="264" t="s">
        <v>424</v>
      </c>
      <c r="D336" s="157" t="s">
        <v>512</v>
      </c>
      <c r="E336" s="44">
        <f t="shared" si="25"/>
        <v>41761</v>
      </c>
      <c r="F336" s="146" t="str">
        <f t="shared" si="22"/>
        <v>2013-14</v>
      </c>
      <c r="G336" s="1"/>
      <c r="H336" s="161"/>
      <c r="I336" s="37"/>
      <c r="J336" s="135">
        <f t="shared" si="24"/>
        <v>0.9161881535038825</v>
      </c>
      <c r="K336" s="112"/>
      <c r="L336" s="37">
        <v>22.450014484499999</v>
      </c>
      <c r="M336" s="37" t="s">
        <v>509</v>
      </c>
      <c r="N336" s="37">
        <v>812.22926829268283</v>
      </c>
      <c r="O336" s="130">
        <f t="shared" si="23"/>
        <v>18234.558837905566</v>
      </c>
      <c r="P336" s="132">
        <f t="shared" si="21"/>
        <v>1641.9348076259869</v>
      </c>
      <c r="Q336" s="262">
        <v>9.8282450678734895E-2</v>
      </c>
      <c r="R336" s="92"/>
    </row>
    <row r="337" spans="1:18" x14ac:dyDescent="0.25">
      <c r="A337" s="326">
        <v>41761</v>
      </c>
      <c r="B337" s="326" t="s">
        <v>805</v>
      </c>
      <c r="C337" s="264" t="s">
        <v>424</v>
      </c>
      <c r="D337" s="157" t="s">
        <v>512</v>
      </c>
      <c r="E337" s="44">
        <f t="shared" si="25"/>
        <v>41761</v>
      </c>
      <c r="F337" s="146" t="str">
        <f t="shared" si="22"/>
        <v>2013-14</v>
      </c>
      <c r="G337" s="1"/>
      <c r="H337" s="161"/>
      <c r="I337" s="37"/>
      <c r="J337" s="135">
        <f t="shared" si="24"/>
        <v>0.9161881535038825</v>
      </c>
      <c r="K337" s="112"/>
      <c r="L337" s="37">
        <v>37.050876329300003</v>
      </c>
      <c r="M337" s="37" t="s">
        <v>509</v>
      </c>
      <c r="N337" s="37">
        <v>812.22926829268283</v>
      </c>
      <c r="O337" s="130">
        <f t="shared" si="23"/>
        <v>30093.806170550022</v>
      </c>
      <c r="P337" s="132">
        <f t="shared" si="21"/>
        <v>2709.8033072595731</v>
      </c>
      <c r="Q337" s="262">
        <v>9.8282450678734895E-2</v>
      </c>
      <c r="R337" s="92"/>
    </row>
    <row r="338" spans="1:18" x14ac:dyDescent="0.25">
      <c r="A338" s="326">
        <v>41761</v>
      </c>
      <c r="B338" s="326" t="s">
        <v>805</v>
      </c>
      <c r="C338" s="264" t="s">
        <v>424</v>
      </c>
      <c r="D338" s="157" t="s">
        <v>512</v>
      </c>
      <c r="E338" s="44">
        <f t="shared" si="25"/>
        <v>41761</v>
      </c>
      <c r="F338" s="146" t="str">
        <f t="shared" si="22"/>
        <v>2013-14</v>
      </c>
      <c r="G338" s="1"/>
      <c r="H338" s="161"/>
      <c r="I338" s="37"/>
      <c r="J338" s="135">
        <f t="shared" si="24"/>
        <v>0.9161881535038825</v>
      </c>
      <c r="K338" s="112"/>
      <c r="L338" s="37">
        <v>22.172920862600002</v>
      </c>
      <c r="M338" s="37" t="s">
        <v>509</v>
      </c>
      <c r="N338" s="37">
        <v>812.22926829268283</v>
      </c>
      <c r="O338" s="130">
        <f t="shared" si="23"/>
        <v>18009.495288141163</v>
      </c>
      <c r="P338" s="132">
        <f t="shared" si="21"/>
        <v>1621.6689114465933</v>
      </c>
      <c r="Q338" s="262">
        <v>9.8282450678734895E-2</v>
      </c>
      <c r="R338" s="92"/>
    </row>
    <row r="339" spans="1:18" x14ac:dyDescent="0.25">
      <c r="A339" s="326">
        <v>41761</v>
      </c>
      <c r="B339" s="326" t="s">
        <v>805</v>
      </c>
      <c r="C339" s="264" t="s">
        <v>424</v>
      </c>
      <c r="D339" s="157" t="s">
        <v>512</v>
      </c>
      <c r="E339" s="44">
        <f t="shared" si="25"/>
        <v>41761</v>
      </c>
      <c r="F339" s="146" t="str">
        <f t="shared" si="22"/>
        <v>2013-14</v>
      </c>
      <c r="G339" s="1"/>
      <c r="H339" s="161"/>
      <c r="I339" s="37"/>
      <c r="J339" s="135">
        <f t="shared" si="24"/>
        <v>0.9161881535038825</v>
      </c>
      <c r="K339" s="112"/>
      <c r="L339" s="37">
        <v>32.2637647679</v>
      </c>
      <c r="M339" s="37" t="s">
        <v>509</v>
      </c>
      <c r="N339" s="37">
        <v>3336.4019512195118</v>
      </c>
      <c r="O339" s="130">
        <f t="shared" si="23"/>
        <v>107644.8877253089</v>
      </c>
      <c r="P339" s="132">
        <f t="shared" si="21"/>
        <v>9692.9072751549593</v>
      </c>
      <c r="Q339" s="262">
        <v>9.8282450678734895E-2</v>
      </c>
      <c r="R339" s="92"/>
    </row>
    <row r="340" spans="1:18" x14ac:dyDescent="0.25">
      <c r="A340" s="326">
        <v>41761</v>
      </c>
      <c r="B340" s="326" t="s">
        <v>805</v>
      </c>
      <c r="C340" s="264" t="s">
        <v>424</v>
      </c>
      <c r="D340" s="157" t="s">
        <v>512</v>
      </c>
      <c r="E340" s="44">
        <f t="shared" si="25"/>
        <v>41761</v>
      </c>
      <c r="F340" s="146" t="str">
        <f t="shared" si="22"/>
        <v>2013-14</v>
      </c>
      <c r="G340" s="1"/>
      <c r="H340" s="161"/>
      <c r="I340" s="37"/>
      <c r="J340" s="135">
        <f t="shared" si="24"/>
        <v>0.9161881535038825</v>
      </c>
      <c r="K340" s="112"/>
      <c r="L340" s="37">
        <v>30.1789011491</v>
      </c>
      <c r="M340" s="37" t="s">
        <v>509</v>
      </c>
      <c r="N340" s="37">
        <v>3336.4019512195118</v>
      </c>
      <c r="O340" s="130">
        <f t="shared" si="23"/>
        <v>100688.94467951801</v>
      </c>
      <c r="P340" s="132">
        <f t="shared" si="21"/>
        <v>9066.5578740931778</v>
      </c>
      <c r="Q340" s="262">
        <v>9.8282450678734895E-2</v>
      </c>
      <c r="R340" s="92"/>
    </row>
    <row r="341" spans="1:18" x14ac:dyDescent="0.25">
      <c r="A341" s="326">
        <v>41761</v>
      </c>
      <c r="B341" s="326" t="s">
        <v>805</v>
      </c>
      <c r="C341" s="264" t="s">
        <v>424</v>
      </c>
      <c r="D341" s="157" t="s">
        <v>512</v>
      </c>
      <c r="E341" s="44">
        <f t="shared" si="25"/>
        <v>41761</v>
      </c>
      <c r="F341" s="146" t="str">
        <f t="shared" si="22"/>
        <v>2013-14</v>
      </c>
      <c r="G341" s="1"/>
      <c r="H341" s="161"/>
      <c r="I341" s="37"/>
      <c r="J341" s="135">
        <f t="shared" si="24"/>
        <v>0.9161881535038825</v>
      </c>
      <c r="K341" s="112"/>
      <c r="L341" s="37">
        <v>23.720654398699999</v>
      </c>
      <c r="M341" s="37" t="s">
        <v>509</v>
      </c>
      <c r="N341" s="37">
        <v>812.22926829268283</v>
      </c>
      <c r="O341" s="130">
        <f t="shared" si="23"/>
        <v>19266.60976567971</v>
      </c>
      <c r="P341" s="132">
        <f t="shared" si="21"/>
        <v>1734.8660573819418</v>
      </c>
      <c r="Q341" s="262">
        <v>9.8282450678734895E-2</v>
      </c>
      <c r="R341" s="92"/>
    </row>
    <row r="342" spans="1:18" x14ac:dyDescent="0.25">
      <c r="A342" s="326">
        <v>41761</v>
      </c>
      <c r="B342" s="326" t="s">
        <v>805</v>
      </c>
      <c r="C342" s="264" t="s">
        <v>424</v>
      </c>
      <c r="D342" s="157" t="s">
        <v>512</v>
      </c>
      <c r="E342" s="44">
        <f t="shared" si="25"/>
        <v>41761</v>
      </c>
      <c r="F342" s="146" t="str">
        <f t="shared" si="22"/>
        <v>2013-14</v>
      </c>
      <c r="G342" s="1"/>
      <c r="H342" s="161"/>
      <c r="I342" s="37"/>
      <c r="J342" s="135">
        <f t="shared" si="24"/>
        <v>0.9161881535038825</v>
      </c>
      <c r="K342" s="112"/>
      <c r="L342" s="37">
        <v>21.749262976000001</v>
      </c>
      <c r="M342" s="37" t="s">
        <v>509</v>
      </c>
      <c r="N342" s="37">
        <v>812.22926829268283</v>
      </c>
      <c r="O342" s="130">
        <f t="shared" si="23"/>
        <v>17665.387952901619</v>
      </c>
      <c r="P342" s="132">
        <f t="shared" si="21"/>
        <v>1590.6836917704957</v>
      </c>
      <c r="Q342" s="262">
        <v>9.8282450678734895E-2</v>
      </c>
      <c r="R342" s="92"/>
    </row>
    <row r="343" spans="1:18" x14ac:dyDescent="0.25">
      <c r="A343" s="326">
        <v>41761</v>
      </c>
      <c r="B343" s="326" t="s">
        <v>805</v>
      </c>
      <c r="C343" s="264" t="s">
        <v>424</v>
      </c>
      <c r="D343" s="157" t="s">
        <v>512</v>
      </c>
      <c r="E343" s="44">
        <f t="shared" si="25"/>
        <v>41761</v>
      </c>
      <c r="F343" s="146" t="str">
        <f t="shared" si="22"/>
        <v>2013-14</v>
      </c>
      <c r="G343" s="1"/>
      <c r="H343" s="161"/>
      <c r="I343" s="37"/>
      <c r="J343" s="135">
        <f t="shared" si="24"/>
        <v>0.9161881535038825</v>
      </c>
      <c r="K343" s="112"/>
      <c r="L343" s="37">
        <v>38.749857074300003</v>
      </c>
      <c r="M343" s="37" t="s">
        <v>509</v>
      </c>
      <c r="N343" s="37">
        <v>812.22926829268283</v>
      </c>
      <c r="O343" s="130">
        <f t="shared" si="23"/>
        <v>31473.76805790473</v>
      </c>
      <c r="P343" s="132">
        <f t="shared" ref="P343:P405" si="26">IF(O343="-","-",IF(OR(E343&lt;$E$15,E343&gt;$E$16),0,O343*J343))*Q343</f>
        <v>2834.0622748708347</v>
      </c>
      <c r="Q343" s="262">
        <v>9.8282450678734895E-2</v>
      </c>
      <c r="R343" s="92"/>
    </row>
    <row r="344" spans="1:18" x14ac:dyDescent="0.25">
      <c r="A344" s="326">
        <v>41761</v>
      </c>
      <c r="B344" s="326" t="s">
        <v>805</v>
      </c>
      <c r="C344" s="264" t="s">
        <v>424</v>
      </c>
      <c r="D344" s="157" t="s">
        <v>512</v>
      </c>
      <c r="E344" s="44">
        <f t="shared" si="25"/>
        <v>41761</v>
      </c>
      <c r="F344" s="146" t="str">
        <f t="shared" ref="F344:F405" si="27">IF(E344="","-",IF(OR(E344&lt;$E$15,E344&gt;$E$16),"ERROR - date outside of range",IF(MONTH(E344)&gt;=7,YEAR(E344)&amp;"-"&amp;IF(YEAR(E344)=1999,"00",IF(AND(YEAR(E344)&gt;=2000,YEAR(E344)&lt;2009),"0","")&amp;RIGHT(YEAR(E344),2)+1),RIGHT(YEAR(E344),4)-1&amp;"-"&amp;RIGHT(YEAR(E344),2))))</f>
        <v>2013-14</v>
      </c>
      <c r="G344" s="1"/>
      <c r="H344" s="161"/>
      <c r="I344" s="37"/>
      <c r="J344" s="135">
        <f t="shared" si="24"/>
        <v>0.9161881535038825</v>
      </c>
      <c r="K344" s="112"/>
      <c r="L344" s="37">
        <v>4.8624160661099998</v>
      </c>
      <c r="M344" s="37" t="s">
        <v>509</v>
      </c>
      <c r="N344" s="37">
        <v>812.22926829268283</v>
      </c>
      <c r="O344" s="130">
        <f t="shared" ref="O344:O405" si="28">IF(N344="","-",L344*N344)</f>
        <v>3949.3966435111106</v>
      </c>
      <c r="P344" s="132">
        <f t="shared" si="26"/>
        <v>355.62427782031085</v>
      </c>
      <c r="Q344" s="262">
        <v>9.8282450678734895E-2</v>
      </c>
      <c r="R344" s="92"/>
    </row>
    <row r="345" spans="1:18" x14ac:dyDescent="0.25">
      <c r="A345" s="326">
        <v>41761</v>
      </c>
      <c r="B345" s="326" t="s">
        <v>805</v>
      </c>
      <c r="C345" s="264" t="s">
        <v>424</v>
      </c>
      <c r="D345" s="157" t="s">
        <v>512</v>
      </c>
      <c r="E345" s="44">
        <f t="shared" si="25"/>
        <v>41761</v>
      </c>
      <c r="F345" s="146" t="str">
        <f t="shared" si="27"/>
        <v>2013-14</v>
      </c>
      <c r="G345" s="1"/>
      <c r="H345" s="161"/>
      <c r="I345" s="37"/>
      <c r="J345" s="135">
        <f t="shared" ref="J345:J405" si="29">J344</f>
        <v>0.9161881535038825</v>
      </c>
      <c r="K345" s="112"/>
      <c r="L345" s="37">
        <v>51.042702736000003</v>
      </c>
      <c r="M345" s="37" t="s">
        <v>509</v>
      </c>
      <c r="N345" s="37">
        <v>950.87219512195099</v>
      </c>
      <c r="O345" s="130">
        <f t="shared" si="28"/>
        <v>48535.086795537536</v>
      </c>
      <c r="P345" s="132">
        <f t="shared" si="26"/>
        <v>4370.3524230638814</v>
      </c>
      <c r="Q345" s="262">
        <v>9.8282450678734895E-2</v>
      </c>
      <c r="R345" s="92"/>
    </row>
    <row r="346" spans="1:18" x14ac:dyDescent="0.25">
      <c r="A346" s="326">
        <v>41761</v>
      </c>
      <c r="B346" s="326" t="s">
        <v>805</v>
      </c>
      <c r="C346" s="264" t="s">
        <v>424</v>
      </c>
      <c r="D346" s="157" t="s">
        <v>512</v>
      </c>
      <c r="E346" s="44">
        <f t="shared" si="25"/>
        <v>41761</v>
      </c>
      <c r="F346" s="146" t="str">
        <f t="shared" si="27"/>
        <v>2013-14</v>
      </c>
      <c r="G346" s="1"/>
      <c r="H346" s="161"/>
      <c r="I346" s="37"/>
      <c r="J346" s="135">
        <f t="shared" si="29"/>
        <v>0.9161881535038825</v>
      </c>
      <c r="K346" s="112"/>
      <c r="L346" s="37">
        <v>33.889379826099997</v>
      </c>
      <c r="M346" s="37" t="s">
        <v>509</v>
      </c>
      <c r="N346" s="37">
        <v>812.22926829268283</v>
      </c>
      <c r="O346" s="130">
        <f t="shared" si="28"/>
        <v>27525.946179046008</v>
      </c>
      <c r="P346" s="132">
        <f t="shared" si="26"/>
        <v>2478.5797970753865</v>
      </c>
      <c r="Q346" s="262">
        <v>9.8282450678734895E-2</v>
      </c>
      <c r="R346" s="92"/>
    </row>
    <row r="347" spans="1:18" x14ac:dyDescent="0.25">
      <c r="A347" s="326">
        <v>41761</v>
      </c>
      <c r="B347" s="326" t="s">
        <v>805</v>
      </c>
      <c r="C347" s="264" t="s">
        <v>424</v>
      </c>
      <c r="D347" s="157" t="s">
        <v>512</v>
      </c>
      <c r="E347" s="44">
        <f t="shared" si="25"/>
        <v>41761</v>
      </c>
      <c r="F347" s="146" t="str">
        <f t="shared" si="27"/>
        <v>2013-14</v>
      </c>
      <c r="G347" s="1"/>
      <c r="H347" s="161"/>
      <c r="I347" s="37"/>
      <c r="J347" s="135">
        <f t="shared" si="29"/>
        <v>0.9161881535038825</v>
      </c>
      <c r="K347" s="112"/>
      <c r="L347" s="37">
        <v>28.415238212599998</v>
      </c>
      <c r="M347" s="37" t="s">
        <v>509</v>
      </c>
      <c r="N347" s="37">
        <v>3336.4019512195118</v>
      </c>
      <c r="O347" s="130">
        <f t="shared" si="28"/>
        <v>94804.656216885865</v>
      </c>
      <c r="P347" s="132">
        <f t="shared" si="26"/>
        <v>8536.7058425308114</v>
      </c>
      <c r="Q347" s="262">
        <v>9.8282450678734895E-2</v>
      </c>
      <c r="R347" s="92"/>
    </row>
    <row r="348" spans="1:18" x14ac:dyDescent="0.25">
      <c r="A348" s="326">
        <v>41761</v>
      </c>
      <c r="B348" s="326" t="s">
        <v>805</v>
      </c>
      <c r="C348" s="264" t="s">
        <v>424</v>
      </c>
      <c r="D348" s="157" t="s">
        <v>512</v>
      </c>
      <c r="E348" s="44">
        <f t="shared" si="25"/>
        <v>41761</v>
      </c>
      <c r="F348" s="146" t="str">
        <f t="shared" si="27"/>
        <v>2013-14</v>
      </c>
      <c r="G348" s="1"/>
      <c r="H348" s="161"/>
      <c r="I348" s="37"/>
      <c r="J348" s="135">
        <f t="shared" si="29"/>
        <v>0.9161881535038825</v>
      </c>
      <c r="K348" s="112"/>
      <c r="L348" s="37">
        <v>42.292571763200002</v>
      </c>
      <c r="M348" s="37" t="s">
        <v>509</v>
      </c>
      <c r="N348" s="37">
        <v>812.22926829268283</v>
      </c>
      <c r="O348" s="130">
        <f t="shared" si="28"/>
        <v>34351.264617439716</v>
      </c>
      <c r="P348" s="132">
        <f t="shared" si="26"/>
        <v>3093.16707701735</v>
      </c>
      <c r="Q348" s="262">
        <v>9.8282450678734895E-2</v>
      </c>
      <c r="R348" s="92"/>
    </row>
    <row r="349" spans="1:18" x14ac:dyDescent="0.25">
      <c r="A349" s="326">
        <v>41761</v>
      </c>
      <c r="B349" s="326" t="s">
        <v>805</v>
      </c>
      <c r="C349" s="264" t="s">
        <v>424</v>
      </c>
      <c r="D349" s="157" t="s">
        <v>512</v>
      </c>
      <c r="E349" s="44">
        <f t="shared" si="25"/>
        <v>41761</v>
      </c>
      <c r="F349" s="146" t="str">
        <f t="shared" si="27"/>
        <v>2013-14</v>
      </c>
      <c r="G349" s="1"/>
      <c r="H349" s="161"/>
      <c r="I349" s="37"/>
      <c r="J349" s="135">
        <f t="shared" si="29"/>
        <v>0.9161881535038825</v>
      </c>
      <c r="K349" s="112"/>
      <c r="L349" s="37">
        <v>22.769650416200001</v>
      </c>
      <c r="M349" s="37" t="s">
        <v>509</v>
      </c>
      <c r="N349" s="37">
        <v>812.22926829268283</v>
      </c>
      <c r="O349" s="130">
        <f t="shared" si="28"/>
        <v>18494.176496830307</v>
      </c>
      <c r="P349" s="132">
        <f t="shared" si="26"/>
        <v>1665.312136063282</v>
      </c>
      <c r="Q349" s="262">
        <v>9.8282450678734895E-2</v>
      </c>
      <c r="R349" s="92"/>
    </row>
    <row r="350" spans="1:18" x14ac:dyDescent="0.25">
      <c r="A350" s="326">
        <v>41761</v>
      </c>
      <c r="B350" s="326" t="s">
        <v>805</v>
      </c>
      <c r="C350" s="264" t="s">
        <v>424</v>
      </c>
      <c r="D350" s="157" t="s">
        <v>512</v>
      </c>
      <c r="E350" s="44">
        <f t="shared" si="25"/>
        <v>41761</v>
      </c>
      <c r="F350" s="146" t="str">
        <f t="shared" si="27"/>
        <v>2013-14</v>
      </c>
      <c r="G350" s="1"/>
      <c r="H350" s="161"/>
      <c r="I350" s="37"/>
      <c r="J350" s="135">
        <f t="shared" si="29"/>
        <v>0.9161881535038825</v>
      </c>
      <c r="K350" s="112"/>
      <c r="L350" s="37">
        <v>21.076425694600001</v>
      </c>
      <c r="M350" s="37" t="s">
        <v>509</v>
      </c>
      <c r="N350" s="37">
        <v>3592.3639024390236</v>
      </c>
      <c r="O350" s="130">
        <f t="shared" si="28"/>
        <v>75714.190857719368</v>
      </c>
      <c r="P350" s="132">
        <f t="shared" si="26"/>
        <v>6817.7007464583066</v>
      </c>
      <c r="Q350" s="262">
        <v>9.8282450678734895E-2</v>
      </c>
      <c r="R350" s="92"/>
    </row>
    <row r="351" spans="1:18" x14ac:dyDescent="0.25">
      <c r="A351" s="326">
        <v>41761</v>
      </c>
      <c r="B351" s="326" t="s">
        <v>805</v>
      </c>
      <c r="C351" s="264" t="s">
        <v>424</v>
      </c>
      <c r="D351" s="157" t="s">
        <v>512</v>
      </c>
      <c r="E351" s="44">
        <f t="shared" si="25"/>
        <v>41761</v>
      </c>
      <c r="F351" s="146" t="str">
        <f t="shared" si="27"/>
        <v>2013-14</v>
      </c>
      <c r="G351" s="1"/>
      <c r="H351" s="161"/>
      <c r="I351" s="37"/>
      <c r="J351" s="135">
        <f t="shared" si="29"/>
        <v>0.9161881535038825</v>
      </c>
      <c r="K351" s="112"/>
      <c r="L351" s="37">
        <v>5.0496527603399999</v>
      </c>
      <c r="M351" s="37" t="s">
        <v>509</v>
      </c>
      <c r="N351" s="37">
        <v>812.22926829268283</v>
      </c>
      <c r="O351" s="130">
        <f t="shared" si="28"/>
        <v>4101.475766663084</v>
      </c>
      <c r="P351" s="132">
        <f t="shared" si="26"/>
        <v>369.31827546709707</v>
      </c>
      <c r="Q351" s="262">
        <v>9.8282450678734895E-2</v>
      </c>
      <c r="R351" s="92"/>
    </row>
    <row r="352" spans="1:18" x14ac:dyDescent="0.25">
      <c r="A352" s="326">
        <v>41761</v>
      </c>
      <c r="B352" s="326" t="s">
        <v>805</v>
      </c>
      <c r="C352" s="264" t="s">
        <v>424</v>
      </c>
      <c r="D352" s="157" t="s">
        <v>512</v>
      </c>
      <c r="E352" s="44">
        <f t="shared" si="25"/>
        <v>41761</v>
      </c>
      <c r="F352" s="146" t="str">
        <f t="shared" si="27"/>
        <v>2013-14</v>
      </c>
      <c r="G352" s="1"/>
      <c r="H352" s="161"/>
      <c r="I352" s="37"/>
      <c r="J352" s="135">
        <f t="shared" si="29"/>
        <v>0.9161881535038825</v>
      </c>
      <c r="K352" s="112"/>
      <c r="L352" s="37">
        <v>15.5552599766</v>
      </c>
      <c r="M352" s="37" t="s">
        <v>509</v>
      </c>
      <c r="N352" s="37">
        <v>812.22926829268283</v>
      </c>
      <c r="O352" s="130">
        <f t="shared" si="28"/>
        <v>12634.437428896274</v>
      </c>
      <c r="P352" s="132">
        <f t="shared" si="26"/>
        <v>1137.6706600739535</v>
      </c>
      <c r="Q352" s="262">
        <v>9.8282450678734895E-2</v>
      </c>
      <c r="R352" s="92"/>
    </row>
    <row r="353" spans="1:18" x14ac:dyDescent="0.25">
      <c r="A353" s="326">
        <v>41761</v>
      </c>
      <c r="B353" s="326" t="s">
        <v>805</v>
      </c>
      <c r="C353" s="264" t="s">
        <v>424</v>
      </c>
      <c r="D353" s="157" t="s">
        <v>512</v>
      </c>
      <c r="E353" s="44">
        <f t="shared" si="25"/>
        <v>41761</v>
      </c>
      <c r="F353" s="146" t="str">
        <f t="shared" si="27"/>
        <v>2013-14</v>
      </c>
      <c r="G353" s="1"/>
      <c r="H353" s="161"/>
      <c r="I353" s="37"/>
      <c r="J353" s="135">
        <f t="shared" si="29"/>
        <v>0.9161881535038825</v>
      </c>
      <c r="K353" s="112"/>
      <c r="L353" s="37">
        <v>17.819816300999999</v>
      </c>
      <c r="M353" s="37" t="s">
        <v>509</v>
      </c>
      <c r="N353" s="37">
        <v>812.22926829268283</v>
      </c>
      <c r="O353" s="130">
        <f t="shared" si="28"/>
        <v>14473.776355271251</v>
      </c>
      <c r="P353" s="132">
        <f t="shared" si="26"/>
        <v>1303.2943328528327</v>
      </c>
      <c r="Q353" s="262">
        <v>9.8282450678734895E-2</v>
      </c>
      <c r="R353" s="92"/>
    </row>
    <row r="354" spans="1:18" x14ac:dyDescent="0.25">
      <c r="A354" s="326">
        <v>41761</v>
      </c>
      <c r="B354" s="326" t="s">
        <v>805</v>
      </c>
      <c r="C354" s="264" t="s">
        <v>424</v>
      </c>
      <c r="D354" s="157" t="s">
        <v>512</v>
      </c>
      <c r="E354" s="44">
        <f t="shared" si="25"/>
        <v>41761</v>
      </c>
      <c r="F354" s="146" t="str">
        <f t="shared" si="27"/>
        <v>2013-14</v>
      </c>
      <c r="G354" s="1"/>
      <c r="H354" s="161"/>
      <c r="I354" s="37"/>
      <c r="J354" s="135">
        <f t="shared" si="29"/>
        <v>0.9161881535038825</v>
      </c>
      <c r="K354" s="112"/>
      <c r="L354" s="37">
        <v>6.7089364283800004</v>
      </c>
      <c r="M354" s="37" t="s">
        <v>509</v>
      </c>
      <c r="N354" s="37">
        <v>812.22926829268283</v>
      </c>
      <c r="O354" s="130">
        <f t="shared" si="28"/>
        <v>5449.1945262452127</v>
      </c>
      <c r="P354" s="132">
        <f t="shared" si="26"/>
        <v>490.67390364102152</v>
      </c>
      <c r="Q354" s="262">
        <v>9.8282450678734895E-2</v>
      </c>
      <c r="R354" s="92"/>
    </row>
    <row r="355" spans="1:18" x14ac:dyDescent="0.25">
      <c r="A355" s="326">
        <v>41761</v>
      </c>
      <c r="B355" s="326" t="s">
        <v>805</v>
      </c>
      <c r="C355" s="264" t="s">
        <v>424</v>
      </c>
      <c r="D355" s="157" t="s">
        <v>512</v>
      </c>
      <c r="E355" s="44">
        <f t="shared" si="25"/>
        <v>41761</v>
      </c>
      <c r="F355" s="146" t="str">
        <f t="shared" si="27"/>
        <v>2013-14</v>
      </c>
      <c r="G355" s="1"/>
      <c r="H355" s="161"/>
      <c r="I355" s="37"/>
      <c r="J355" s="135">
        <f t="shared" si="29"/>
        <v>0.9161881535038825</v>
      </c>
      <c r="K355" s="112"/>
      <c r="L355" s="37">
        <v>37.240906655800003</v>
      </c>
      <c r="M355" s="37" t="s">
        <v>509</v>
      </c>
      <c r="N355" s="37">
        <v>812.22926829268283</v>
      </c>
      <c r="O355" s="130">
        <f t="shared" si="28"/>
        <v>30248.154363596539</v>
      </c>
      <c r="P355" s="132">
        <f t="shared" si="26"/>
        <v>2723.7016237974231</v>
      </c>
      <c r="Q355" s="262">
        <v>9.8282450678734895E-2</v>
      </c>
      <c r="R355" s="92"/>
    </row>
    <row r="356" spans="1:18" x14ac:dyDescent="0.25">
      <c r="A356" s="326">
        <v>41761</v>
      </c>
      <c r="B356" s="326" t="s">
        <v>805</v>
      </c>
      <c r="C356" s="264" t="s">
        <v>424</v>
      </c>
      <c r="D356" s="157" t="s">
        <v>512</v>
      </c>
      <c r="E356" s="44">
        <f t="shared" si="25"/>
        <v>41761</v>
      </c>
      <c r="F356" s="146" t="str">
        <f t="shared" si="27"/>
        <v>2013-14</v>
      </c>
      <c r="G356" s="1"/>
      <c r="H356" s="161"/>
      <c r="I356" s="37"/>
      <c r="J356" s="135">
        <f t="shared" si="29"/>
        <v>0.9161881535038825</v>
      </c>
      <c r="K356" s="112"/>
      <c r="L356" s="37">
        <v>24.3426598862</v>
      </c>
      <c r="M356" s="37" t="s">
        <v>509</v>
      </c>
      <c r="N356" s="37">
        <v>3336.4019512195118</v>
      </c>
      <c r="O356" s="130">
        <f t="shared" si="28"/>
        <v>81216.897942190626</v>
      </c>
      <c r="P356" s="132">
        <f t="shared" si="26"/>
        <v>7313.1932000175102</v>
      </c>
      <c r="Q356" s="262">
        <v>9.8282450678734895E-2</v>
      </c>
      <c r="R356" s="92"/>
    </row>
    <row r="357" spans="1:18" x14ac:dyDescent="0.25">
      <c r="A357" s="326">
        <v>41761</v>
      </c>
      <c r="B357" s="326" t="s">
        <v>805</v>
      </c>
      <c r="C357" s="264" t="s">
        <v>424</v>
      </c>
      <c r="D357" s="157" t="s">
        <v>512</v>
      </c>
      <c r="E357" s="44">
        <f t="shared" si="25"/>
        <v>41761</v>
      </c>
      <c r="F357" s="146" t="str">
        <f t="shared" si="27"/>
        <v>2013-14</v>
      </c>
      <c r="G357" s="1"/>
      <c r="H357" s="161"/>
      <c r="I357" s="37"/>
      <c r="J357" s="135">
        <f t="shared" si="29"/>
        <v>0.9161881535038825</v>
      </c>
      <c r="K357" s="112"/>
      <c r="L357" s="37">
        <v>32.504751221900001</v>
      </c>
      <c r="M357" s="37" t="s">
        <v>509</v>
      </c>
      <c r="N357" s="37">
        <v>812.22926829268283</v>
      </c>
      <c r="O357" s="130">
        <f t="shared" si="28"/>
        <v>26401.310300999525</v>
      </c>
      <c r="P357" s="132">
        <f t="shared" si="26"/>
        <v>2377.3117153803737</v>
      </c>
      <c r="Q357" s="262">
        <v>9.8282450678734895E-2</v>
      </c>
      <c r="R357" s="92"/>
    </row>
    <row r="358" spans="1:18" x14ac:dyDescent="0.25">
      <c r="A358" s="326">
        <v>41761</v>
      </c>
      <c r="B358" s="326" t="s">
        <v>805</v>
      </c>
      <c r="C358" s="264" t="s">
        <v>424</v>
      </c>
      <c r="D358" s="157" t="s">
        <v>512</v>
      </c>
      <c r="E358" s="44">
        <f t="shared" si="25"/>
        <v>41761</v>
      </c>
      <c r="F358" s="146" t="str">
        <f t="shared" si="27"/>
        <v>2013-14</v>
      </c>
      <c r="G358" s="1"/>
      <c r="H358" s="161"/>
      <c r="I358" s="37"/>
      <c r="J358" s="135">
        <f t="shared" si="29"/>
        <v>0.9161881535038825</v>
      </c>
      <c r="K358" s="112"/>
      <c r="L358" s="37">
        <v>6.2410378143400003</v>
      </c>
      <c r="M358" s="37" t="s">
        <v>509</v>
      </c>
      <c r="N358" s="37">
        <v>3336.4019512195118</v>
      </c>
      <c r="O358" s="130">
        <f t="shared" si="28"/>
        <v>20822.610741398734</v>
      </c>
      <c r="P358" s="132">
        <f t="shared" si="26"/>
        <v>1874.9765029070672</v>
      </c>
      <c r="Q358" s="262">
        <v>9.8282450678734895E-2</v>
      </c>
      <c r="R358" s="92"/>
    </row>
    <row r="359" spans="1:18" x14ac:dyDescent="0.25">
      <c r="A359" s="326">
        <v>41761</v>
      </c>
      <c r="B359" s="326" t="s">
        <v>805</v>
      </c>
      <c r="C359" s="264" t="s">
        <v>424</v>
      </c>
      <c r="D359" s="157" t="s">
        <v>512</v>
      </c>
      <c r="E359" s="44">
        <f t="shared" si="25"/>
        <v>41761</v>
      </c>
      <c r="F359" s="146" t="str">
        <f t="shared" si="27"/>
        <v>2013-14</v>
      </c>
      <c r="G359" s="1"/>
      <c r="H359" s="161"/>
      <c r="I359" s="37"/>
      <c r="J359" s="135">
        <f t="shared" si="29"/>
        <v>0.9161881535038825</v>
      </c>
      <c r="K359" s="112"/>
      <c r="L359" s="37">
        <v>19.755767035600002</v>
      </c>
      <c r="M359" s="37" t="s">
        <v>509</v>
      </c>
      <c r="N359" s="37">
        <v>3336.4019512195118</v>
      </c>
      <c r="O359" s="130">
        <f t="shared" si="28"/>
        <v>65913.179685413954</v>
      </c>
      <c r="P359" s="132">
        <f t="shared" si="26"/>
        <v>5935.1665685386042</v>
      </c>
      <c r="Q359" s="262">
        <v>9.8282450678734895E-2</v>
      </c>
      <c r="R359" s="92"/>
    </row>
    <row r="360" spans="1:18" x14ac:dyDescent="0.25">
      <c r="A360" s="326">
        <v>41761</v>
      </c>
      <c r="B360" s="326" t="s">
        <v>805</v>
      </c>
      <c r="C360" s="264" t="s">
        <v>424</v>
      </c>
      <c r="D360" s="157" t="s">
        <v>512</v>
      </c>
      <c r="E360" s="44">
        <f t="shared" si="25"/>
        <v>41761</v>
      </c>
      <c r="F360" s="146" t="str">
        <f t="shared" si="27"/>
        <v>2013-14</v>
      </c>
      <c r="G360" s="1"/>
      <c r="H360" s="161"/>
      <c r="I360" s="37"/>
      <c r="J360" s="135">
        <f t="shared" si="29"/>
        <v>0.9161881535038825</v>
      </c>
      <c r="K360" s="112"/>
      <c r="L360" s="37">
        <v>31.514362632499999</v>
      </c>
      <c r="M360" s="37" t="s">
        <v>509</v>
      </c>
      <c r="N360" s="37">
        <v>812.22926829268283</v>
      </c>
      <c r="O360" s="130">
        <f t="shared" si="28"/>
        <v>25596.887701705742</v>
      </c>
      <c r="P360" s="132">
        <f t="shared" si="26"/>
        <v>2304.8773078598711</v>
      </c>
      <c r="Q360" s="262">
        <v>9.8282450678734895E-2</v>
      </c>
      <c r="R360" s="92"/>
    </row>
    <row r="361" spans="1:18" x14ac:dyDescent="0.25">
      <c r="A361" s="326">
        <v>41939</v>
      </c>
      <c r="B361" s="326" t="s">
        <v>805</v>
      </c>
      <c r="C361" s="264" t="s">
        <v>425</v>
      </c>
      <c r="D361" s="157" t="s">
        <v>512</v>
      </c>
      <c r="E361" s="44">
        <f t="shared" si="25"/>
        <v>41939</v>
      </c>
      <c r="F361" s="146" t="str">
        <f t="shared" si="27"/>
        <v>2014-15</v>
      </c>
      <c r="G361" s="1"/>
      <c r="H361" s="161"/>
      <c r="I361" s="37"/>
      <c r="J361" s="135">
        <f t="shared" si="29"/>
        <v>0.9161881535038825</v>
      </c>
      <c r="K361" s="112"/>
      <c r="L361" s="37">
        <v>6.1376661336699998</v>
      </c>
      <c r="M361" s="37" t="s">
        <v>509</v>
      </c>
      <c r="N361" s="37">
        <v>812.22926829268283</v>
      </c>
      <c r="O361" s="130">
        <f t="shared" si="28"/>
        <v>4985.1920727755632</v>
      </c>
      <c r="P361" s="132">
        <f t="shared" si="26"/>
        <v>949.93974086019091</v>
      </c>
      <c r="Q361" s="262">
        <v>0.20798379057529773</v>
      </c>
      <c r="R361" s="92"/>
    </row>
    <row r="362" spans="1:18" x14ac:dyDescent="0.25">
      <c r="A362" s="326">
        <v>41939</v>
      </c>
      <c r="B362" s="326" t="s">
        <v>805</v>
      </c>
      <c r="C362" s="264" t="s">
        <v>425</v>
      </c>
      <c r="D362" s="157" t="s">
        <v>512</v>
      </c>
      <c r="E362" s="44">
        <f t="shared" si="25"/>
        <v>41939</v>
      </c>
      <c r="F362" s="146" t="str">
        <f t="shared" si="27"/>
        <v>2014-15</v>
      </c>
      <c r="G362" s="1"/>
      <c r="H362" s="161"/>
      <c r="I362" s="37"/>
      <c r="J362" s="135">
        <f t="shared" si="29"/>
        <v>0.9161881535038825</v>
      </c>
      <c r="K362" s="112"/>
      <c r="L362" s="37">
        <v>73.972931346899998</v>
      </c>
      <c r="M362" s="37" t="s">
        <v>509</v>
      </c>
      <c r="N362" s="37">
        <v>3875.3912195121943</v>
      </c>
      <c r="O362" s="130">
        <f t="shared" si="28"/>
        <v>286674.04862335458</v>
      </c>
      <c r="P362" s="132">
        <f t="shared" si="26"/>
        <v>54626.395028545456</v>
      </c>
      <c r="Q362" s="262">
        <v>0.20798379057529773</v>
      </c>
      <c r="R362" s="92"/>
    </row>
    <row r="363" spans="1:18" x14ac:dyDescent="0.25">
      <c r="A363" s="326">
        <v>41939</v>
      </c>
      <c r="B363" s="326" t="s">
        <v>805</v>
      </c>
      <c r="C363" s="264" t="s">
        <v>425</v>
      </c>
      <c r="D363" s="157" t="s">
        <v>512</v>
      </c>
      <c r="E363" s="44">
        <f t="shared" si="25"/>
        <v>41939</v>
      </c>
      <c r="F363" s="146" t="str">
        <f t="shared" si="27"/>
        <v>2014-15</v>
      </c>
      <c r="G363" s="1"/>
      <c r="H363" s="161"/>
      <c r="I363" s="37"/>
      <c r="J363" s="135">
        <f t="shared" si="29"/>
        <v>0.9161881535038825</v>
      </c>
      <c r="K363" s="112"/>
      <c r="L363" s="37">
        <v>87.449633340000005</v>
      </c>
      <c r="M363" s="37" t="s">
        <v>509</v>
      </c>
      <c r="N363" s="37">
        <v>3592.3639024390236</v>
      </c>
      <c r="O363" s="130">
        <f t="shared" si="28"/>
        <v>314150.90609214414</v>
      </c>
      <c r="P363" s="132">
        <f t="shared" si="26"/>
        <v>59862.173005104363</v>
      </c>
      <c r="Q363" s="262">
        <v>0.20798379057529773</v>
      </c>
      <c r="R363" s="92"/>
    </row>
    <row r="364" spans="1:18" x14ac:dyDescent="0.25">
      <c r="A364" s="326">
        <v>41939</v>
      </c>
      <c r="B364" s="326" t="s">
        <v>805</v>
      </c>
      <c r="C364" s="264" t="s">
        <v>425</v>
      </c>
      <c r="D364" s="157" t="s">
        <v>512</v>
      </c>
      <c r="E364" s="44">
        <f t="shared" si="25"/>
        <v>41939</v>
      </c>
      <c r="F364" s="146" t="str">
        <f t="shared" si="27"/>
        <v>2014-15</v>
      </c>
      <c r="G364" s="1"/>
      <c r="H364" s="161"/>
      <c r="I364" s="37"/>
      <c r="J364" s="135">
        <f t="shared" si="29"/>
        <v>0.9161881535038825</v>
      </c>
      <c r="K364" s="112"/>
      <c r="L364" s="37">
        <v>118.508517133</v>
      </c>
      <c r="M364" s="37" t="s">
        <v>509</v>
      </c>
      <c r="N364" s="37">
        <v>1162.6195121951216</v>
      </c>
      <c r="O364" s="130">
        <f t="shared" si="28"/>
        <v>137780.31438013568</v>
      </c>
      <c r="P364" s="132">
        <f t="shared" si="26"/>
        <v>26254.353739480117</v>
      </c>
      <c r="Q364" s="262">
        <v>0.20798379057529773</v>
      </c>
      <c r="R364" s="92"/>
    </row>
    <row r="365" spans="1:18" x14ac:dyDescent="0.25">
      <c r="A365" s="326">
        <v>41939</v>
      </c>
      <c r="B365" s="326" t="s">
        <v>805</v>
      </c>
      <c r="C365" s="264" t="s">
        <v>425</v>
      </c>
      <c r="D365" s="157" t="s">
        <v>512</v>
      </c>
      <c r="E365" s="44">
        <f t="shared" si="25"/>
        <v>41939</v>
      </c>
      <c r="F365" s="146" t="str">
        <f t="shared" si="27"/>
        <v>2014-15</v>
      </c>
      <c r="G365" s="1"/>
      <c r="H365" s="161"/>
      <c r="I365" s="37"/>
      <c r="J365" s="135">
        <f t="shared" si="29"/>
        <v>0.9161881535038825</v>
      </c>
      <c r="K365" s="112"/>
      <c r="L365" s="37">
        <v>74.929807400000001</v>
      </c>
      <c r="M365" s="37" t="s">
        <v>509</v>
      </c>
      <c r="N365" s="37">
        <v>3875.3912195121943</v>
      </c>
      <c r="O365" s="130">
        <f t="shared" si="28"/>
        <v>290382.31767769984</v>
      </c>
      <c r="P365" s="132">
        <f t="shared" si="26"/>
        <v>55333.01417041602</v>
      </c>
      <c r="Q365" s="262">
        <v>0.20798379057529773</v>
      </c>
      <c r="R365" s="92"/>
    </row>
    <row r="366" spans="1:18" x14ac:dyDescent="0.25">
      <c r="A366" s="326">
        <v>41939</v>
      </c>
      <c r="B366" s="326" t="s">
        <v>805</v>
      </c>
      <c r="C366" s="264" t="s">
        <v>425</v>
      </c>
      <c r="D366" s="157" t="s">
        <v>512</v>
      </c>
      <c r="E366" s="44">
        <f t="shared" si="25"/>
        <v>41939</v>
      </c>
      <c r="F366" s="146" t="str">
        <f t="shared" si="27"/>
        <v>2014-15</v>
      </c>
      <c r="G366" s="1"/>
      <c r="H366" s="161"/>
      <c r="I366" s="37"/>
      <c r="J366" s="135">
        <f t="shared" si="29"/>
        <v>0.9161881535038825</v>
      </c>
      <c r="K366" s="112"/>
      <c r="L366" s="37">
        <v>20.782040155299999</v>
      </c>
      <c r="M366" s="37" t="s">
        <v>509</v>
      </c>
      <c r="N366" s="37">
        <v>3592.3639024390236</v>
      </c>
      <c r="O366" s="130">
        <f t="shared" si="28"/>
        <v>74656.650872938</v>
      </c>
      <c r="P366" s="132">
        <f t="shared" si="26"/>
        <v>14225.995417713832</v>
      </c>
      <c r="Q366" s="262">
        <v>0.20798379057529773</v>
      </c>
      <c r="R366" s="92"/>
    </row>
    <row r="367" spans="1:18" x14ac:dyDescent="0.25">
      <c r="A367" s="326">
        <v>41939</v>
      </c>
      <c r="B367" s="326" t="s">
        <v>805</v>
      </c>
      <c r="C367" s="264" t="s">
        <v>425</v>
      </c>
      <c r="D367" s="157" t="s">
        <v>512</v>
      </c>
      <c r="E367" s="44">
        <f t="shared" si="25"/>
        <v>41939</v>
      </c>
      <c r="F367" s="146" t="str">
        <f t="shared" si="27"/>
        <v>2014-15</v>
      </c>
      <c r="G367" s="1"/>
      <c r="H367" s="161"/>
      <c r="I367" s="37"/>
      <c r="J367" s="135">
        <f t="shared" si="29"/>
        <v>0.9161881535038825</v>
      </c>
      <c r="K367" s="112"/>
      <c r="L367" s="37">
        <v>5.0378571818299998</v>
      </c>
      <c r="M367" s="37" t="s">
        <v>509</v>
      </c>
      <c r="N367" s="37">
        <v>812.22926829268283</v>
      </c>
      <c r="O367" s="130">
        <f t="shared" si="28"/>
        <v>4091.8950525608179</v>
      </c>
      <c r="P367" s="132">
        <f t="shared" si="26"/>
        <v>779.71995243355968</v>
      </c>
      <c r="Q367" s="262">
        <v>0.20798379057529773</v>
      </c>
      <c r="R367" s="92"/>
    </row>
    <row r="368" spans="1:18" x14ac:dyDescent="0.25">
      <c r="A368" s="326">
        <v>41939</v>
      </c>
      <c r="B368" s="326" t="s">
        <v>805</v>
      </c>
      <c r="C368" s="264" t="s">
        <v>425</v>
      </c>
      <c r="D368" s="157" t="s">
        <v>512</v>
      </c>
      <c r="E368" s="44">
        <f t="shared" si="25"/>
        <v>41939</v>
      </c>
      <c r="F368" s="146" t="str">
        <f t="shared" si="27"/>
        <v>2014-15</v>
      </c>
      <c r="G368" s="1"/>
      <c r="H368" s="161"/>
      <c r="I368" s="37"/>
      <c r="J368" s="135">
        <f t="shared" si="29"/>
        <v>0.9161881535038825</v>
      </c>
      <c r="K368" s="112"/>
      <c r="L368" s="37">
        <v>59.898728567500001</v>
      </c>
      <c r="M368" s="37" t="s">
        <v>509</v>
      </c>
      <c r="N368" s="37">
        <v>1162.6195121951216</v>
      </c>
      <c r="O368" s="130">
        <f t="shared" si="28"/>
        <v>69639.430588254851</v>
      </c>
      <c r="P368" s="132">
        <f t="shared" si="26"/>
        <v>13269.952627888713</v>
      </c>
      <c r="Q368" s="262">
        <v>0.20798379057529773</v>
      </c>
      <c r="R368" s="92"/>
    </row>
    <row r="369" spans="1:18" x14ac:dyDescent="0.25">
      <c r="A369" s="326">
        <v>41939</v>
      </c>
      <c r="B369" s="326" t="s">
        <v>805</v>
      </c>
      <c r="C369" s="264" t="s">
        <v>425</v>
      </c>
      <c r="D369" s="157" t="s">
        <v>512</v>
      </c>
      <c r="E369" s="44">
        <f t="shared" si="25"/>
        <v>41939</v>
      </c>
      <c r="F369" s="146" t="str">
        <f t="shared" si="27"/>
        <v>2014-15</v>
      </c>
      <c r="G369" s="1"/>
      <c r="H369" s="161"/>
      <c r="I369" s="37"/>
      <c r="J369" s="135">
        <f t="shared" si="29"/>
        <v>0.9161881535038825</v>
      </c>
      <c r="K369" s="112"/>
      <c r="L369" s="37">
        <v>6.0399657283800003</v>
      </c>
      <c r="M369" s="37" t="s">
        <v>509</v>
      </c>
      <c r="N369" s="37">
        <v>3875.3912195121943</v>
      </c>
      <c r="O369" s="130">
        <f t="shared" si="28"/>
        <v>23407.230149918429</v>
      </c>
      <c r="P369" s="132">
        <f t="shared" si="26"/>
        <v>4460.3011916627138</v>
      </c>
      <c r="Q369" s="262">
        <v>0.20798379057529773</v>
      </c>
      <c r="R369" s="92"/>
    </row>
    <row r="370" spans="1:18" x14ac:dyDescent="0.25">
      <c r="A370" s="326">
        <v>41939</v>
      </c>
      <c r="B370" s="326" t="s">
        <v>805</v>
      </c>
      <c r="C370" s="264" t="s">
        <v>425</v>
      </c>
      <c r="D370" s="157" t="s">
        <v>512</v>
      </c>
      <c r="E370" s="44">
        <f t="shared" si="25"/>
        <v>41939</v>
      </c>
      <c r="F370" s="146" t="str">
        <f t="shared" si="27"/>
        <v>2014-15</v>
      </c>
      <c r="G370" s="1"/>
      <c r="H370" s="161"/>
      <c r="I370" s="37"/>
      <c r="J370" s="135">
        <f t="shared" si="29"/>
        <v>0.9161881535038825</v>
      </c>
      <c r="K370" s="112"/>
      <c r="L370" s="37">
        <v>8.5495670650599997</v>
      </c>
      <c r="M370" s="37" t="s">
        <v>509</v>
      </c>
      <c r="N370" s="37">
        <v>1162.6195121951216</v>
      </c>
      <c r="O370" s="130">
        <f t="shared" si="28"/>
        <v>9939.893490659535</v>
      </c>
      <c r="P370" s="132">
        <f t="shared" si="26"/>
        <v>1894.0694177582427</v>
      </c>
      <c r="Q370" s="262">
        <v>0.20798379057529773</v>
      </c>
      <c r="R370" s="92"/>
    </row>
    <row r="371" spans="1:18" x14ac:dyDescent="0.25">
      <c r="A371" s="326">
        <v>41939</v>
      </c>
      <c r="B371" s="326" t="s">
        <v>805</v>
      </c>
      <c r="C371" s="264" t="s">
        <v>425</v>
      </c>
      <c r="D371" s="157" t="s">
        <v>512</v>
      </c>
      <c r="E371" s="44">
        <f t="shared" si="25"/>
        <v>41939</v>
      </c>
      <c r="F371" s="146" t="str">
        <f t="shared" si="27"/>
        <v>2014-15</v>
      </c>
      <c r="G371" s="1"/>
      <c r="H371" s="161"/>
      <c r="I371" s="37"/>
      <c r="J371" s="135">
        <f t="shared" si="29"/>
        <v>0.9161881535038825</v>
      </c>
      <c r="K371" s="112"/>
      <c r="L371" s="37">
        <v>4.4372767549500001</v>
      </c>
      <c r="M371" s="37" t="s">
        <v>509</v>
      </c>
      <c r="N371" s="37">
        <v>3592.3639024390236</v>
      </c>
      <c r="O371" s="130">
        <f t="shared" si="28"/>
        <v>15940.312839614149</v>
      </c>
      <c r="P371" s="132">
        <f t="shared" si="26"/>
        <v>3037.4630359352973</v>
      </c>
      <c r="Q371" s="262">
        <v>0.20798379057529773</v>
      </c>
      <c r="R371" s="92"/>
    </row>
    <row r="372" spans="1:18" x14ac:dyDescent="0.25">
      <c r="A372" s="326">
        <v>41939</v>
      </c>
      <c r="B372" s="326" t="s">
        <v>805</v>
      </c>
      <c r="C372" s="264" t="s">
        <v>425</v>
      </c>
      <c r="D372" s="157" t="s">
        <v>512</v>
      </c>
      <c r="E372" s="44">
        <f t="shared" si="25"/>
        <v>41939</v>
      </c>
      <c r="F372" s="146" t="str">
        <f t="shared" si="27"/>
        <v>2014-15</v>
      </c>
      <c r="G372" s="1"/>
      <c r="H372" s="161"/>
      <c r="I372" s="37"/>
      <c r="J372" s="135">
        <f t="shared" si="29"/>
        <v>0.9161881535038825</v>
      </c>
      <c r="K372" s="112"/>
      <c r="L372" s="37">
        <v>117.370053062</v>
      </c>
      <c r="M372" s="37" t="s">
        <v>509</v>
      </c>
      <c r="N372" s="37">
        <v>3336.4019512195118</v>
      </c>
      <c r="O372" s="130">
        <f t="shared" si="28"/>
        <v>391593.67405079445</v>
      </c>
      <c r="P372" s="132">
        <f t="shared" si="26"/>
        <v>74619.069399906162</v>
      </c>
      <c r="Q372" s="262">
        <v>0.20798379057529773</v>
      </c>
      <c r="R372" s="92"/>
    </row>
    <row r="373" spans="1:18" x14ac:dyDescent="0.25">
      <c r="A373" s="326">
        <v>41939</v>
      </c>
      <c r="B373" s="326" t="s">
        <v>805</v>
      </c>
      <c r="C373" s="264" t="s">
        <v>425</v>
      </c>
      <c r="D373" s="157" t="s">
        <v>512</v>
      </c>
      <c r="E373" s="44">
        <f t="shared" si="25"/>
        <v>41939</v>
      </c>
      <c r="F373" s="146" t="str">
        <f t="shared" si="27"/>
        <v>2014-15</v>
      </c>
      <c r="G373" s="1"/>
      <c r="H373" s="161"/>
      <c r="I373" s="37"/>
      <c r="J373" s="135">
        <f t="shared" si="29"/>
        <v>0.9161881535038825</v>
      </c>
      <c r="K373" s="112"/>
      <c r="L373" s="37">
        <v>86.678922613899999</v>
      </c>
      <c r="M373" s="37" t="s">
        <v>509</v>
      </c>
      <c r="N373" s="37">
        <v>3336.4019512195118</v>
      </c>
      <c r="O373" s="130">
        <f t="shared" si="28"/>
        <v>289195.72653862101</v>
      </c>
      <c r="P373" s="132">
        <f t="shared" si="26"/>
        <v>55106.906517449308</v>
      </c>
      <c r="Q373" s="262">
        <v>0.20798379057529773</v>
      </c>
      <c r="R373" s="92"/>
    </row>
    <row r="374" spans="1:18" x14ac:dyDescent="0.25">
      <c r="A374" s="326">
        <v>41939</v>
      </c>
      <c r="B374" s="326" t="s">
        <v>805</v>
      </c>
      <c r="C374" s="264" t="s">
        <v>425</v>
      </c>
      <c r="D374" s="157" t="s">
        <v>512</v>
      </c>
      <c r="E374" s="44">
        <f t="shared" ref="E374:E437" si="30">A374</f>
        <v>41939</v>
      </c>
      <c r="F374" s="146" t="str">
        <f t="shared" si="27"/>
        <v>2014-15</v>
      </c>
      <c r="G374" s="1"/>
      <c r="H374" s="161"/>
      <c r="I374" s="37"/>
      <c r="J374" s="135">
        <f t="shared" si="29"/>
        <v>0.9161881535038825</v>
      </c>
      <c r="K374" s="112"/>
      <c r="L374" s="37">
        <v>37.070954808300002</v>
      </c>
      <c r="M374" s="37" t="s">
        <v>509</v>
      </c>
      <c r="N374" s="37">
        <v>812.22926829268283</v>
      </c>
      <c r="O374" s="130">
        <f t="shared" si="28"/>
        <v>30110.114498856623</v>
      </c>
      <c r="P374" s="132">
        <f t="shared" si="26"/>
        <v>5737.5511207514228</v>
      </c>
      <c r="Q374" s="262">
        <v>0.20798379057529773</v>
      </c>
      <c r="R374" s="92"/>
    </row>
    <row r="375" spans="1:18" x14ac:dyDescent="0.25">
      <c r="A375" s="326">
        <v>41939</v>
      </c>
      <c r="B375" s="326" t="s">
        <v>805</v>
      </c>
      <c r="C375" s="264" t="s">
        <v>425</v>
      </c>
      <c r="D375" s="157" t="s">
        <v>512</v>
      </c>
      <c r="E375" s="44">
        <f t="shared" si="30"/>
        <v>41939</v>
      </c>
      <c r="F375" s="146" t="str">
        <f t="shared" si="27"/>
        <v>2014-15</v>
      </c>
      <c r="G375" s="1"/>
      <c r="H375" s="161"/>
      <c r="I375" s="37"/>
      <c r="J375" s="135">
        <f t="shared" si="29"/>
        <v>0.9161881535038825</v>
      </c>
      <c r="K375" s="112"/>
      <c r="L375" s="37">
        <v>76.0804446004</v>
      </c>
      <c r="M375" s="37" t="s">
        <v>509</v>
      </c>
      <c r="N375" s="37">
        <v>3336.4019512195118</v>
      </c>
      <c r="O375" s="130">
        <f t="shared" si="28"/>
        <v>253834.94381442253</v>
      </c>
      <c r="P375" s="132">
        <f t="shared" si="26"/>
        <v>48368.828568340985</v>
      </c>
      <c r="Q375" s="262">
        <v>0.20798379057529773</v>
      </c>
      <c r="R375" s="92"/>
    </row>
    <row r="376" spans="1:18" x14ac:dyDescent="0.25">
      <c r="A376" s="326">
        <v>41939</v>
      </c>
      <c r="B376" s="326" t="s">
        <v>805</v>
      </c>
      <c r="C376" s="264" t="s">
        <v>425</v>
      </c>
      <c r="D376" s="157" t="s">
        <v>512</v>
      </c>
      <c r="E376" s="44">
        <f t="shared" si="30"/>
        <v>41939</v>
      </c>
      <c r="F376" s="146" t="str">
        <f t="shared" si="27"/>
        <v>2014-15</v>
      </c>
      <c r="G376" s="1"/>
      <c r="H376" s="161"/>
      <c r="I376" s="37"/>
      <c r="J376" s="135">
        <f t="shared" si="29"/>
        <v>0.9161881535038825</v>
      </c>
      <c r="K376" s="112"/>
      <c r="L376" s="37">
        <v>111.628845056</v>
      </c>
      <c r="M376" s="37" t="s">
        <v>509</v>
      </c>
      <c r="N376" s="37">
        <v>3336.4019512195118</v>
      </c>
      <c r="O376" s="130">
        <f t="shared" si="28"/>
        <v>372438.69645721896</v>
      </c>
      <c r="P376" s="132">
        <f t="shared" si="26"/>
        <v>70969.044649446951</v>
      </c>
      <c r="Q376" s="262">
        <v>0.20798379057529773</v>
      </c>
      <c r="R376" s="92"/>
    </row>
    <row r="377" spans="1:18" x14ac:dyDescent="0.25">
      <c r="A377" s="326">
        <v>41939</v>
      </c>
      <c r="B377" s="326" t="s">
        <v>805</v>
      </c>
      <c r="C377" s="264" t="s">
        <v>425</v>
      </c>
      <c r="D377" s="157" t="s">
        <v>512</v>
      </c>
      <c r="E377" s="44">
        <f t="shared" si="30"/>
        <v>41939</v>
      </c>
      <c r="F377" s="146" t="str">
        <f t="shared" si="27"/>
        <v>2014-15</v>
      </c>
      <c r="G377" s="1"/>
      <c r="H377" s="161"/>
      <c r="I377" s="37"/>
      <c r="J377" s="135">
        <f t="shared" si="29"/>
        <v>0.9161881535038825</v>
      </c>
      <c r="K377" s="112"/>
      <c r="L377" s="37">
        <v>93.5048157441</v>
      </c>
      <c r="M377" s="37" t="s">
        <v>509</v>
      </c>
      <c r="N377" s="37">
        <v>3336.4019512195118</v>
      </c>
      <c r="O377" s="130">
        <f t="shared" si="28"/>
        <v>311969.64969703619</v>
      </c>
      <c r="P377" s="132">
        <f t="shared" si="26"/>
        <v>59446.529614745523</v>
      </c>
      <c r="Q377" s="262">
        <v>0.20798379057529773</v>
      </c>
      <c r="R377" s="92"/>
    </row>
    <row r="378" spans="1:18" x14ac:dyDescent="0.25">
      <c r="A378" s="326">
        <v>41939</v>
      </c>
      <c r="B378" s="326" t="s">
        <v>805</v>
      </c>
      <c r="C378" s="264" t="s">
        <v>425</v>
      </c>
      <c r="D378" s="157" t="s">
        <v>512</v>
      </c>
      <c r="E378" s="44">
        <f t="shared" si="30"/>
        <v>41939</v>
      </c>
      <c r="F378" s="146" t="str">
        <f t="shared" si="27"/>
        <v>2014-15</v>
      </c>
      <c r="G378" s="1"/>
      <c r="H378" s="161"/>
      <c r="I378" s="37"/>
      <c r="J378" s="135">
        <f t="shared" si="29"/>
        <v>0.9161881535038825</v>
      </c>
      <c r="K378" s="112"/>
      <c r="L378" s="37">
        <v>20.264480106800001</v>
      </c>
      <c r="M378" s="37" t="s">
        <v>509</v>
      </c>
      <c r="N378" s="37">
        <v>3336.4019512195118</v>
      </c>
      <c r="O378" s="130">
        <f t="shared" si="28"/>
        <v>67610.450968776509</v>
      </c>
      <c r="P378" s="132">
        <f t="shared" si="26"/>
        <v>12883.325925085515</v>
      </c>
      <c r="Q378" s="262">
        <v>0.20798379057529773</v>
      </c>
      <c r="R378" s="92"/>
    </row>
    <row r="379" spans="1:18" x14ac:dyDescent="0.25">
      <c r="A379" s="326">
        <v>41939</v>
      </c>
      <c r="B379" s="326" t="s">
        <v>805</v>
      </c>
      <c r="C379" s="264" t="s">
        <v>425</v>
      </c>
      <c r="D379" s="157" t="s">
        <v>512</v>
      </c>
      <c r="E379" s="44">
        <f t="shared" si="30"/>
        <v>41939</v>
      </c>
      <c r="F379" s="146" t="str">
        <f t="shared" si="27"/>
        <v>2014-15</v>
      </c>
      <c r="G379" s="1"/>
      <c r="H379" s="161"/>
      <c r="I379" s="37"/>
      <c r="J379" s="135">
        <f t="shared" si="29"/>
        <v>0.9161881535038825</v>
      </c>
      <c r="K379" s="112"/>
      <c r="L379" s="37">
        <v>14.6859220081</v>
      </c>
      <c r="M379" s="37" t="s">
        <v>509</v>
      </c>
      <c r="N379" s="37">
        <v>3336.4019512195118</v>
      </c>
      <c r="O379" s="130">
        <f t="shared" si="28"/>
        <v>48998.13884328241</v>
      </c>
      <c r="P379" s="132">
        <f t="shared" si="26"/>
        <v>9336.7073195847261</v>
      </c>
      <c r="Q379" s="262">
        <v>0.20798379057529773</v>
      </c>
      <c r="R379" s="92"/>
    </row>
    <row r="380" spans="1:18" x14ac:dyDescent="0.25">
      <c r="A380" s="326">
        <v>41939</v>
      </c>
      <c r="B380" s="326" t="s">
        <v>805</v>
      </c>
      <c r="C380" s="264" t="s">
        <v>425</v>
      </c>
      <c r="D380" s="157" t="s">
        <v>512</v>
      </c>
      <c r="E380" s="44">
        <f t="shared" si="30"/>
        <v>41939</v>
      </c>
      <c r="F380" s="146" t="str">
        <f t="shared" si="27"/>
        <v>2014-15</v>
      </c>
      <c r="G380" s="1"/>
      <c r="H380" s="161"/>
      <c r="I380" s="37"/>
      <c r="J380" s="135">
        <f t="shared" si="29"/>
        <v>0.9161881535038825</v>
      </c>
      <c r="K380" s="112"/>
      <c r="L380" s="37">
        <v>14.0435424426</v>
      </c>
      <c r="M380" s="37" t="s">
        <v>509</v>
      </c>
      <c r="N380" s="37">
        <v>812.22926829268283</v>
      </c>
      <c r="O380" s="130">
        <f t="shared" si="28"/>
        <v>11406.576202390233</v>
      </c>
      <c r="P380" s="132">
        <f t="shared" si="26"/>
        <v>2173.549159915874</v>
      </c>
      <c r="Q380" s="262">
        <v>0.20798379057529773</v>
      </c>
      <c r="R380" s="92"/>
    </row>
    <row r="381" spans="1:18" x14ac:dyDescent="0.25">
      <c r="A381" s="326">
        <v>41939</v>
      </c>
      <c r="B381" s="326" t="s">
        <v>805</v>
      </c>
      <c r="C381" s="264" t="s">
        <v>425</v>
      </c>
      <c r="D381" s="157" t="s">
        <v>512</v>
      </c>
      <c r="E381" s="44">
        <f t="shared" si="30"/>
        <v>41939</v>
      </c>
      <c r="F381" s="146" t="str">
        <f t="shared" si="27"/>
        <v>2014-15</v>
      </c>
      <c r="G381" s="1"/>
      <c r="H381" s="161"/>
      <c r="I381" s="37"/>
      <c r="J381" s="135">
        <f t="shared" si="29"/>
        <v>0.9161881535038825</v>
      </c>
      <c r="K381" s="112"/>
      <c r="L381" s="37">
        <v>17.334561542100001</v>
      </c>
      <c r="M381" s="37" t="s">
        <v>509</v>
      </c>
      <c r="N381" s="37">
        <v>812.22926829268283</v>
      </c>
      <c r="O381" s="130">
        <f t="shared" si="28"/>
        <v>14079.638237514364</v>
      </c>
      <c r="P381" s="132">
        <f t="shared" si="26"/>
        <v>2682.9072387782749</v>
      </c>
      <c r="Q381" s="262">
        <v>0.20798379057529773</v>
      </c>
      <c r="R381" s="92"/>
    </row>
    <row r="382" spans="1:18" x14ac:dyDescent="0.25">
      <c r="A382" s="326">
        <v>41939</v>
      </c>
      <c r="B382" s="326" t="s">
        <v>805</v>
      </c>
      <c r="C382" s="264" t="s">
        <v>425</v>
      </c>
      <c r="D382" s="157" t="s">
        <v>512</v>
      </c>
      <c r="E382" s="44">
        <f t="shared" si="30"/>
        <v>41939</v>
      </c>
      <c r="F382" s="146" t="str">
        <f t="shared" si="27"/>
        <v>2014-15</v>
      </c>
      <c r="G382" s="1"/>
      <c r="H382" s="161"/>
      <c r="I382" s="37"/>
      <c r="J382" s="135">
        <f t="shared" si="29"/>
        <v>0.9161881535038825</v>
      </c>
      <c r="K382" s="112"/>
      <c r="L382" s="37">
        <v>55.100256602899996</v>
      </c>
      <c r="M382" s="37" t="s">
        <v>509</v>
      </c>
      <c r="N382" s="37">
        <v>3336.4019512195118</v>
      </c>
      <c r="O382" s="130">
        <f t="shared" si="28"/>
        <v>183836.60364261133</v>
      </c>
      <c r="P382" s="132">
        <f t="shared" si="26"/>
        <v>35030.48489918073</v>
      </c>
      <c r="Q382" s="262">
        <v>0.20798379057529773</v>
      </c>
      <c r="R382" s="92"/>
    </row>
    <row r="383" spans="1:18" x14ac:dyDescent="0.25">
      <c r="A383" s="326">
        <v>41939</v>
      </c>
      <c r="B383" s="326" t="s">
        <v>805</v>
      </c>
      <c r="C383" s="264" t="s">
        <v>425</v>
      </c>
      <c r="D383" s="157" t="s">
        <v>512</v>
      </c>
      <c r="E383" s="44">
        <f t="shared" si="30"/>
        <v>41939</v>
      </c>
      <c r="F383" s="146" t="str">
        <f t="shared" si="27"/>
        <v>2014-15</v>
      </c>
      <c r="G383" s="1"/>
      <c r="H383" s="161"/>
      <c r="I383" s="37"/>
      <c r="J383" s="135">
        <f t="shared" si="29"/>
        <v>0.9161881535038825</v>
      </c>
      <c r="K383" s="112"/>
      <c r="L383" s="37">
        <v>26.805132533199998</v>
      </c>
      <c r="M383" s="37" t="s">
        <v>509</v>
      </c>
      <c r="N383" s="37">
        <v>3336.4019512195118</v>
      </c>
      <c r="O383" s="130">
        <f t="shared" si="28"/>
        <v>89432.696486466084</v>
      </c>
      <c r="P383" s="132">
        <f t="shared" si="26"/>
        <v>17041.604673314352</v>
      </c>
      <c r="Q383" s="262">
        <v>0.20798379057529773</v>
      </c>
      <c r="R383" s="92"/>
    </row>
    <row r="384" spans="1:18" x14ac:dyDescent="0.25">
      <c r="A384" s="326">
        <v>41939</v>
      </c>
      <c r="B384" s="326" t="s">
        <v>805</v>
      </c>
      <c r="C384" s="264" t="s">
        <v>425</v>
      </c>
      <c r="D384" s="157" t="s">
        <v>512</v>
      </c>
      <c r="E384" s="44">
        <f t="shared" si="30"/>
        <v>41939</v>
      </c>
      <c r="F384" s="146" t="str">
        <f t="shared" si="27"/>
        <v>2014-15</v>
      </c>
      <c r="G384" s="1"/>
      <c r="H384" s="161"/>
      <c r="I384" s="37"/>
      <c r="J384" s="135">
        <f t="shared" si="29"/>
        <v>0.9161881535038825</v>
      </c>
      <c r="K384" s="112"/>
      <c r="L384" s="37">
        <v>11.2478579677</v>
      </c>
      <c r="M384" s="37" t="s">
        <v>509</v>
      </c>
      <c r="N384" s="37">
        <v>3336.4019512195118</v>
      </c>
      <c r="O384" s="130">
        <f t="shared" si="28"/>
        <v>37527.375270474215</v>
      </c>
      <c r="P384" s="132">
        <f t="shared" si="26"/>
        <v>7150.9271095646209</v>
      </c>
      <c r="Q384" s="262">
        <v>0.20798379057529773</v>
      </c>
      <c r="R384" s="92"/>
    </row>
    <row r="385" spans="1:18" x14ac:dyDescent="0.25">
      <c r="A385" s="326">
        <v>41939</v>
      </c>
      <c r="B385" s="326" t="s">
        <v>805</v>
      </c>
      <c r="C385" s="264" t="s">
        <v>425</v>
      </c>
      <c r="D385" s="157" t="s">
        <v>512</v>
      </c>
      <c r="E385" s="44">
        <f t="shared" si="30"/>
        <v>41939</v>
      </c>
      <c r="F385" s="146" t="str">
        <f t="shared" si="27"/>
        <v>2014-15</v>
      </c>
      <c r="G385" s="1"/>
      <c r="H385" s="161"/>
      <c r="I385" s="37"/>
      <c r="J385" s="135">
        <f t="shared" si="29"/>
        <v>0.9161881535038825</v>
      </c>
      <c r="K385" s="112"/>
      <c r="L385" s="37">
        <v>5.6453103814099999</v>
      </c>
      <c r="M385" s="37" t="s">
        <v>509</v>
      </c>
      <c r="N385" s="37">
        <v>812.22926829268283</v>
      </c>
      <c r="O385" s="130">
        <f t="shared" si="28"/>
        <v>4585.2863203777306</v>
      </c>
      <c r="P385" s="132">
        <f t="shared" si="26"/>
        <v>873.73678593777595</v>
      </c>
      <c r="Q385" s="262">
        <v>0.20798379057529773</v>
      </c>
      <c r="R385" s="92"/>
    </row>
    <row r="386" spans="1:18" x14ac:dyDescent="0.25">
      <c r="A386" s="326">
        <v>41939</v>
      </c>
      <c r="B386" s="326" t="s">
        <v>805</v>
      </c>
      <c r="C386" s="264" t="s">
        <v>425</v>
      </c>
      <c r="D386" s="157" t="s">
        <v>512</v>
      </c>
      <c r="E386" s="44">
        <f t="shared" si="30"/>
        <v>41939</v>
      </c>
      <c r="F386" s="146" t="str">
        <f t="shared" si="27"/>
        <v>2014-15</v>
      </c>
      <c r="G386" s="1"/>
      <c r="H386" s="161"/>
      <c r="I386" s="37"/>
      <c r="J386" s="135">
        <f t="shared" si="29"/>
        <v>0.9161881535038825</v>
      </c>
      <c r="K386" s="112"/>
      <c r="L386" s="37">
        <v>28.965041186000001</v>
      </c>
      <c r="M386" s="37" t="s">
        <v>509</v>
      </c>
      <c r="N386" s="37">
        <v>3336.4019512195118</v>
      </c>
      <c r="O386" s="130">
        <f t="shared" si="28"/>
        <v>96639.019930123919</v>
      </c>
      <c r="P386" s="132">
        <f t="shared" si="26"/>
        <v>18414.786072283339</v>
      </c>
      <c r="Q386" s="262">
        <v>0.20798379057529773</v>
      </c>
      <c r="R386" s="92"/>
    </row>
    <row r="387" spans="1:18" x14ac:dyDescent="0.25">
      <c r="A387" s="326">
        <v>41939</v>
      </c>
      <c r="B387" s="326" t="s">
        <v>805</v>
      </c>
      <c r="C387" s="264" t="s">
        <v>425</v>
      </c>
      <c r="D387" s="157" t="s">
        <v>512</v>
      </c>
      <c r="E387" s="44">
        <f t="shared" si="30"/>
        <v>41939</v>
      </c>
      <c r="F387" s="146" t="str">
        <f t="shared" si="27"/>
        <v>2014-15</v>
      </c>
      <c r="G387" s="1"/>
      <c r="H387" s="161"/>
      <c r="I387" s="37"/>
      <c r="J387" s="135">
        <f t="shared" si="29"/>
        <v>0.9161881535038825</v>
      </c>
      <c r="K387" s="112"/>
      <c r="L387" s="37">
        <v>21.093540433000001</v>
      </c>
      <c r="M387" s="37" t="s">
        <v>509</v>
      </c>
      <c r="N387" s="37">
        <v>3336.4019512195118</v>
      </c>
      <c r="O387" s="130">
        <f t="shared" si="28"/>
        <v>70376.529458788864</v>
      </c>
      <c r="P387" s="132">
        <f t="shared" si="26"/>
        <v>13410.408501973738</v>
      </c>
      <c r="Q387" s="262">
        <v>0.20798379057529773</v>
      </c>
      <c r="R387" s="92"/>
    </row>
    <row r="388" spans="1:18" x14ac:dyDescent="0.25">
      <c r="A388" s="326">
        <v>41939</v>
      </c>
      <c r="B388" s="326" t="s">
        <v>805</v>
      </c>
      <c r="C388" s="264" t="s">
        <v>425</v>
      </c>
      <c r="D388" s="157" t="s">
        <v>512</v>
      </c>
      <c r="E388" s="44">
        <f t="shared" si="30"/>
        <v>41939</v>
      </c>
      <c r="F388" s="146" t="str">
        <f t="shared" si="27"/>
        <v>2014-15</v>
      </c>
      <c r="G388" s="1"/>
      <c r="H388" s="161"/>
      <c r="I388" s="37"/>
      <c r="J388" s="135">
        <f t="shared" si="29"/>
        <v>0.9161881535038825</v>
      </c>
      <c r="K388" s="112"/>
      <c r="L388" s="37">
        <v>37.972606720000002</v>
      </c>
      <c r="M388" s="37" t="s">
        <v>509</v>
      </c>
      <c r="N388" s="37">
        <v>3336.4019512195118</v>
      </c>
      <c r="O388" s="130">
        <f t="shared" si="28"/>
        <v>126691.87915349915</v>
      </c>
      <c r="P388" s="132">
        <f t="shared" si="26"/>
        <v>24141.427069460846</v>
      </c>
      <c r="Q388" s="262">
        <v>0.20798379057529773</v>
      </c>
      <c r="R388" s="92"/>
    </row>
    <row r="389" spans="1:18" x14ac:dyDescent="0.25">
      <c r="A389" s="326">
        <v>41939</v>
      </c>
      <c r="B389" s="326" t="s">
        <v>805</v>
      </c>
      <c r="C389" s="264" t="s">
        <v>425</v>
      </c>
      <c r="D389" s="157" t="s">
        <v>512</v>
      </c>
      <c r="E389" s="44">
        <f t="shared" si="30"/>
        <v>41939</v>
      </c>
      <c r="F389" s="146" t="str">
        <f t="shared" si="27"/>
        <v>2014-15</v>
      </c>
      <c r="G389" s="1"/>
      <c r="H389" s="161"/>
      <c r="I389" s="37"/>
      <c r="J389" s="135">
        <f t="shared" si="29"/>
        <v>0.9161881535038825</v>
      </c>
      <c r="K389" s="112"/>
      <c r="L389" s="37">
        <v>42.3506390286</v>
      </c>
      <c r="M389" s="37" t="s">
        <v>509</v>
      </c>
      <c r="N389" s="37">
        <v>3336.4019512195118</v>
      </c>
      <c r="O389" s="130">
        <f t="shared" si="28"/>
        <v>141298.75469041424</v>
      </c>
      <c r="P389" s="132">
        <f t="shared" si="26"/>
        <v>26924.80058040137</v>
      </c>
      <c r="Q389" s="262">
        <v>0.20798379057529773</v>
      </c>
      <c r="R389" s="92"/>
    </row>
    <row r="390" spans="1:18" x14ac:dyDescent="0.25">
      <c r="A390" s="326">
        <v>41939</v>
      </c>
      <c r="B390" s="326" t="s">
        <v>805</v>
      </c>
      <c r="C390" s="264" t="s">
        <v>425</v>
      </c>
      <c r="D390" s="157" t="s">
        <v>512</v>
      </c>
      <c r="E390" s="44">
        <f t="shared" si="30"/>
        <v>41939</v>
      </c>
      <c r="F390" s="146" t="str">
        <f t="shared" si="27"/>
        <v>2014-15</v>
      </c>
      <c r="G390" s="1"/>
      <c r="H390" s="161"/>
      <c r="I390" s="37"/>
      <c r="J390" s="135">
        <f t="shared" si="29"/>
        <v>0.9161881535038825</v>
      </c>
      <c r="K390" s="112"/>
      <c r="L390" s="37">
        <v>40.771253414599997</v>
      </c>
      <c r="M390" s="37" t="s">
        <v>509</v>
      </c>
      <c r="N390" s="37">
        <v>3336.4019512195118</v>
      </c>
      <c r="O390" s="130">
        <f t="shared" si="28"/>
        <v>136029.28944613662</v>
      </c>
      <c r="P390" s="132">
        <f t="shared" si="26"/>
        <v>25920.691937134216</v>
      </c>
      <c r="Q390" s="262">
        <v>0.20798379057529773</v>
      </c>
      <c r="R390" s="92"/>
    </row>
    <row r="391" spans="1:18" x14ac:dyDescent="0.25">
      <c r="A391" s="326">
        <v>41939</v>
      </c>
      <c r="B391" s="326" t="s">
        <v>805</v>
      </c>
      <c r="C391" s="264" t="s">
        <v>425</v>
      </c>
      <c r="D391" s="157" t="s">
        <v>512</v>
      </c>
      <c r="E391" s="44">
        <f t="shared" si="30"/>
        <v>41939</v>
      </c>
      <c r="F391" s="146" t="str">
        <f t="shared" si="27"/>
        <v>2014-15</v>
      </c>
      <c r="G391" s="1"/>
      <c r="H391" s="161"/>
      <c r="I391" s="37"/>
      <c r="J391" s="135">
        <f t="shared" si="29"/>
        <v>0.9161881535038825</v>
      </c>
      <c r="K391" s="112"/>
      <c r="L391" s="37">
        <v>21.454706302200002</v>
      </c>
      <c r="M391" s="37" t="s">
        <v>509</v>
      </c>
      <c r="N391" s="37">
        <v>812.22926829268283</v>
      </c>
      <c r="O391" s="130">
        <f t="shared" si="28"/>
        <v>17426.140401270317</v>
      </c>
      <c r="P391" s="132">
        <f t="shared" si="26"/>
        <v>3320.5908729930879</v>
      </c>
      <c r="Q391" s="262">
        <v>0.20798379057529773</v>
      </c>
      <c r="R391" s="92"/>
    </row>
    <row r="392" spans="1:18" x14ac:dyDescent="0.25">
      <c r="A392" s="326">
        <v>41939</v>
      </c>
      <c r="B392" s="326" t="s">
        <v>805</v>
      </c>
      <c r="C392" s="264" t="s">
        <v>425</v>
      </c>
      <c r="D392" s="157" t="s">
        <v>512</v>
      </c>
      <c r="E392" s="44">
        <f t="shared" si="30"/>
        <v>41939</v>
      </c>
      <c r="F392" s="146" t="str">
        <f t="shared" si="27"/>
        <v>2014-15</v>
      </c>
      <c r="G392" s="1"/>
      <c r="H392" s="161"/>
      <c r="I392" s="37"/>
      <c r="J392" s="135">
        <f t="shared" si="29"/>
        <v>0.9161881535038825</v>
      </c>
      <c r="K392" s="112"/>
      <c r="L392" s="37">
        <v>17.590663091500002</v>
      </c>
      <c r="M392" s="37" t="s">
        <v>509</v>
      </c>
      <c r="N392" s="37">
        <v>812.22926829268283</v>
      </c>
      <c r="O392" s="130">
        <f t="shared" si="28"/>
        <v>14287.651411592149</v>
      </c>
      <c r="P392" s="132">
        <f t="shared" si="26"/>
        <v>2722.5446244184518</v>
      </c>
      <c r="Q392" s="262">
        <v>0.20798379057529773</v>
      </c>
      <c r="R392" s="92"/>
    </row>
    <row r="393" spans="1:18" x14ac:dyDescent="0.25">
      <c r="A393" s="326">
        <v>41939</v>
      </c>
      <c r="B393" s="326" t="s">
        <v>805</v>
      </c>
      <c r="C393" s="264" t="s">
        <v>425</v>
      </c>
      <c r="D393" s="157" t="s">
        <v>512</v>
      </c>
      <c r="E393" s="44">
        <f t="shared" si="30"/>
        <v>41939</v>
      </c>
      <c r="F393" s="146" t="str">
        <f t="shared" si="27"/>
        <v>2014-15</v>
      </c>
      <c r="G393" s="1"/>
      <c r="H393" s="161"/>
      <c r="I393" s="37"/>
      <c r="J393" s="135">
        <f t="shared" si="29"/>
        <v>0.9161881535038825</v>
      </c>
      <c r="K393" s="112"/>
      <c r="L393" s="37">
        <v>10.1618866389</v>
      </c>
      <c r="M393" s="37" t="s">
        <v>509</v>
      </c>
      <c r="N393" s="37">
        <v>3336.4019512195118</v>
      </c>
      <c r="O393" s="130">
        <f t="shared" si="28"/>
        <v>33904.138410097446</v>
      </c>
      <c r="P393" s="132">
        <f t="shared" si="26"/>
        <v>6460.5110465572216</v>
      </c>
      <c r="Q393" s="262">
        <v>0.20798379057529773</v>
      </c>
      <c r="R393" s="92"/>
    </row>
    <row r="394" spans="1:18" x14ac:dyDescent="0.25">
      <c r="A394" s="326">
        <v>41939</v>
      </c>
      <c r="B394" s="326" t="s">
        <v>805</v>
      </c>
      <c r="C394" s="264" t="s">
        <v>425</v>
      </c>
      <c r="D394" s="157" t="s">
        <v>512</v>
      </c>
      <c r="E394" s="44">
        <f t="shared" si="30"/>
        <v>41939</v>
      </c>
      <c r="F394" s="146" t="str">
        <f t="shared" si="27"/>
        <v>2014-15</v>
      </c>
      <c r="G394" s="1"/>
      <c r="H394" s="161"/>
      <c r="I394" s="37"/>
      <c r="J394" s="135">
        <f t="shared" si="29"/>
        <v>0.9161881535038825</v>
      </c>
      <c r="K394" s="112"/>
      <c r="L394" s="37">
        <v>27.310210958799999</v>
      </c>
      <c r="M394" s="37" t="s">
        <v>509</v>
      </c>
      <c r="N394" s="37">
        <v>3336.4019512195118</v>
      </c>
      <c r="O394" s="130">
        <f t="shared" si="28"/>
        <v>91117.841131156805</v>
      </c>
      <c r="P394" s="132">
        <f t="shared" si="26"/>
        <v>17362.712835993065</v>
      </c>
      <c r="Q394" s="262">
        <v>0.20798379057529773</v>
      </c>
      <c r="R394" s="92"/>
    </row>
    <row r="395" spans="1:18" x14ac:dyDescent="0.25">
      <c r="A395" s="326">
        <v>41939</v>
      </c>
      <c r="B395" s="326" t="s">
        <v>805</v>
      </c>
      <c r="C395" s="264" t="s">
        <v>425</v>
      </c>
      <c r="D395" s="157" t="s">
        <v>512</v>
      </c>
      <c r="E395" s="44">
        <f t="shared" si="30"/>
        <v>41939</v>
      </c>
      <c r="F395" s="146" t="str">
        <f t="shared" si="27"/>
        <v>2014-15</v>
      </c>
      <c r="G395" s="1"/>
      <c r="H395" s="161"/>
      <c r="I395" s="37"/>
      <c r="J395" s="135">
        <f t="shared" si="29"/>
        <v>0.9161881535038825</v>
      </c>
      <c r="K395" s="112"/>
      <c r="L395" s="37">
        <v>29.547606688199998</v>
      </c>
      <c r="M395" s="37" t="s">
        <v>509</v>
      </c>
      <c r="N395" s="37">
        <v>3336.4019512195118</v>
      </c>
      <c r="O395" s="130">
        <f t="shared" si="28"/>
        <v>98582.692608377169</v>
      </c>
      <c r="P395" s="132">
        <f t="shared" si="26"/>
        <v>18785.15734250582</v>
      </c>
      <c r="Q395" s="262">
        <v>0.20798379057529773</v>
      </c>
      <c r="R395" s="92"/>
    </row>
    <row r="396" spans="1:18" x14ac:dyDescent="0.25">
      <c r="A396" s="326">
        <v>41939</v>
      </c>
      <c r="B396" s="326" t="s">
        <v>805</v>
      </c>
      <c r="C396" s="264" t="s">
        <v>425</v>
      </c>
      <c r="D396" s="157" t="s">
        <v>512</v>
      </c>
      <c r="E396" s="44">
        <f t="shared" si="30"/>
        <v>41939</v>
      </c>
      <c r="F396" s="146" t="str">
        <f t="shared" si="27"/>
        <v>2014-15</v>
      </c>
      <c r="G396" s="1"/>
      <c r="H396" s="161"/>
      <c r="I396" s="37"/>
      <c r="J396" s="135">
        <f t="shared" si="29"/>
        <v>0.9161881535038825</v>
      </c>
      <c r="K396" s="112"/>
      <c r="L396" s="37">
        <v>82.210246469400005</v>
      </c>
      <c r="M396" s="37" t="s">
        <v>509</v>
      </c>
      <c r="N396" s="37">
        <v>3875.3912195121943</v>
      </c>
      <c r="O396" s="130">
        <f t="shared" si="28"/>
        <v>318596.86732144613</v>
      </c>
      <c r="P396" s="132">
        <f t="shared" si="26"/>
        <v>60709.361076573427</v>
      </c>
      <c r="Q396" s="262">
        <v>0.20798379057529773</v>
      </c>
      <c r="R396" s="92"/>
    </row>
    <row r="397" spans="1:18" x14ac:dyDescent="0.25">
      <c r="A397" s="326">
        <v>41939</v>
      </c>
      <c r="B397" s="326" t="s">
        <v>805</v>
      </c>
      <c r="C397" s="264" t="s">
        <v>425</v>
      </c>
      <c r="D397" s="157" t="s">
        <v>512</v>
      </c>
      <c r="E397" s="44">
        <f t="shared" si="30"/>
        <v>41939</v>
      </c>
      <c r="F397" s="146" t="str">
        <f t="shared" si="27"/>
        <v>2014-15</v>
      </c>
      <c r="G397" s="1"/>
      <c r="H397" s="161"/>
      <c r="I397" s="37"/>
      <c r="J397" s="135">
        <f t="shared" si="29"/>
        <v>0.9161881535038825</v>
      </c>
      <c r="K397" s="112"/>
      <c r="L397" s="37">
        <v>45.9150144647</v>
      </c>
      <c r="M397" s="37" t="s">
        <v>509</v>
      </c>
      <c r="N397" s="37">
        <v>3592.3639024390236</v>
      </c>
      <c r="O397" s="130">
        <f t="shared" si="28"/>
        <v>164943.4405429539</v>
      </c>
      <c r="P397" s="132">
        <f t="shared" si="26"/>
        <v>31430.349498795749</v>
      </c>
      <c r="Q397" s="262">
        <v>0.20798379057529773</v>
      </c>
      <c r="R397" s="92"/>
    </row>
    <row r="398" spans="1:18" x14ac:dyDescent="0.25">
      <c r="A398" s="326">
        <v>41939</v>
      </c>
      <c r="B398" s="326" t="s">
        <v>805</v>
      </c>
      <c r="C398" s="264" t="s">
        <v>425</v>
      </c>
      <c r="D398" s="157" t="s">
        <v>512</v>
      </c>
      <c r="E398" s="44">
        <f t="shared" si="30"/>
        <v>41939</v>
      </c>
      <c r="F398" s="146" t="str">
        <f t="shared" si="27"/>
        <v>2014-15</v>
      </c>
      <c r="G398" s="1"/>
      <c r="H398" s="161"/>
      <c r="I398" s="37"/>
      <c r="J398" s="135">
        <f t="shared" si="29"/>
        <v>0.9161881535038825</v>
      </c>
      <c r="K398" s="112"/>
      <c r="L398" s="37">
        <v>40.985166319800001</v>
      </c>
      <c r="M398" s="37" t="s">
        <v>509</v>
      </c>
      <c r="N398" s="37">
        <v>3336.4019512195118</v>
      </c>
      <c r="O398" s="130">
        <f t="shared" si="28"/>
        <v>136742.98888043695</v>
      </c>
      <c r="P398" s="132">
        <f t="shared" si="26"/>
        <v>26056.688995176122</v>
      </c>
      <c r="Q398" s="262">
        <v>0.20798379057529773</v>
      </c>
      <c r="R398" s="92"/>
    </row>
    <row r="399" spans="1:18" x14ac:dyDescent="0.25">
      <c r="A399" s="326">
        <v>41939</v>
      </c>
      <c r="B399" s="326" t="s">
        <v>805</v>
      </c>
      <c r="C399" s="264" t="s">
        <v>425</v>
      </c>
      <c r="D399" s="157" t="s">
        <v>512</v>
      </c>
      <c r="E399" s="44">
        <f t="shared" si="30"/>
        <v>41939</v>
      </c>
      <c r="F399" s="146" t="str">
        <f t="shared" si="27"/>
        <v>2014-15</v>
      </c>
      <c r="G399" s="1"/>
      <c r="H399" s="161"/>
      <c r="I399" s="37"/>
      <c r="J399" s="135">
        <f t="shared" si="29"/>
        <v>0.9161881535038825</v>
      </c>
      <c r="K399" s="112"/>
      <c r="L399" s="37">
        <v>12.9213484492</v>
      </c>
      <c r="M399" s="37" t="s">
        <v>509</v>
      </c>
      <c r="N399" s="37">
        <v>3336.4019512195118</v>
      </c>
      <c r="O399" s="130">
        <f t="shared" si="28"/>
        <v>43110.812178298096</v>
      </c>
      <c r="P399" s="132">
        <f t="shared" si="26"/>
        <v>8214.8637707601883</v>
      </c>
      <c r="Q399" s="262">
        <v>0.20798379057529773</v>
      </c>
      <c r="R399" s="92"/>
    </row>
    <row r="400" spans="1:18" x14ac:dyDescent="0.25">
      <c r="A400" s="326">
        <v>41939</v>
      </c>
      <c r="B400" s="326" t="s">
        <v>805</v>
      </c>
      <c r="C400" s="264" t="s">
        <v>425</v>
      </c>
      <c r="D400" s="157" t="s">
        <v>512</v>
      </c>
      <c r="E400" s="44">
        <f t="shared" si="30"/>
        <v>41939</v>
      </c>
      <c r="F400" s="146" t="str">
        <f t="shared" si="27"/>
        <v>2014-15</v>
      </c>
      <c r="G400" s="1"/>
      <c r="H400" s="161"/>
      <c r="I400" s="37"/>
      <c r="J400" s="135">
        <f t="shared" si="29"/>
        <v>0.9161881535038825</v>
      </c>
      <c r="K400" s="112"/>
      <c r="L400" s="37">
        <v>33.236621553900001</v>
      </c>
      <c r="M400" s="37" t="s">
        <v>509</v>
      </c>
      <c r="N400" s="37">
        <v>3336.4019512195118</v>
      </c>
      <c r="O400" s="130">
        <f t="shared" si="28"/>
        <v>110890.72900437645</v>
      </c>
      <c r="P400" s="132">
        <f t="shared" si="26"/>
        <v>21130.481802191836</v>
      </c>
      <c r="Q400" s="262">
        <v>0.20798379057529773</v>
      </c>
      <c r="R400" s="92"/>
    </row>
    <row r="401" spans="1:18" x14ac:dyDescent="0.25">
      <c r="A401" s="326">
        <v>41939</v>
      </c>
      <c r="B401" s="326" t="s">
        <v>805</v>
      </c>
      <c r="C401" s="264" t="s">
        <v>425</v>
      </c>
      <c r="D401" s="157" t="s">
        <v>512</v>
      </c>
      <c r="E401" s="44">
        <f t="shared" si="30"/>
        <v>41939</v>
      </c>
      <c r="F401" s="146" t="str">
        <f t="shared" si="27"/>
        <v>2014-15</v>
      </c>
      <c r="G401" s="1"/>
      <c r="H401" s="161"/>
      <c r="I401" s="37"/>
      <c r="J401" s="135">
        <f t="shared" si="29"/>
        <v>0.9161881535038825</v>
      </c>
      <c r="K401" s="112"/>
      <c r="L401" s="37">
        <v>30.780238267000001</v>
      </c>
      <c r="M401" s="37" t="s">
        <v>509</v>
      </c>
      <c r="N401" s="37">
        <v>3336.4019512195118</v>
      </c>
      <c r="O401" s="130">
        <f t="shared" si="28"/>
        <v>102695.24701302029</v>
      </c>
      <c r="P401" s="132">
        <f t="shared" si="26"/>
        <v>19568.813981686231</v>
      </c>
      <c r="Q401" s="262">
        <v>0.20798379057529773</v>
      </c>
      <c r="R401" s="92"/>
    </row>
    <row r="402" spans="1:18" x14ac:dyDescent="0.25">
      <c r="A402" s="326">
        <v>41939</v>
      </c>
      <c r="B402" s="326" t="s">
        <v>805</v>
      </c>
      <c r="C402" s="264" t="s">
        <v>425</v>
      </c>
      <c r="D402" s="157" t="s">
        <v>512</v>
      </c>
      <c r="E402" s="44">
        <f t="shared" si="30"/>
        <v>41939</v>
      </c>
      <c r="F402" s="146" t="str">
        <f t="shared" si="27"/>
        <v>2014-15</v>
      </c>
      <c r="G402" s="1"/>
      <c r="H402" s="161"/>
      <c r="I402" s="37"/>
      <c r="J402" s="135">
        <f t="shared" si="29"/>
        <v>0.9161881535038825</v>
      </c>
      <c r="K402" s="112"/>
      <c r="L402" s="37">
        <v>13.336393726300001</v>
      </c>
      <c r="M402" s="37" t="s">
        <v>509</v>
      </c>
      <c r="N402" s="37">
        <v>3592.3639024390236</v>
      </c>
      <c r="O402" s="130">
        <f t="shared" si="28"/>
        <v>47909.179411074379</v>
      </c>
      <c r="P402" s="132">
        <f t="shared" si="26"/>
        <v>9129.2036114551775</v>
      </c>
      <c r="Q402" s="262">
        <v>0.20798379057529773</v>
      </c>
      <c r="R402" s="92"/>
    </row>
    <row r="403" spans="1:18" x14ac:dyDescent="0.25">
      <c r="A403" s="326">
        <v>41939</v>
      </c>
      <c r="B403" s="326" t="s">
        <v>805</v>
      </c>
      <c r="C403" s="264" t="s">
        <v>425</v>
      </c>
      <c r="D403" s="157" t="s">
        <v>512</v>
      </c>
      <c r="E403" s="44">
        <f t="shared" si="30"/>
        <v>41939</v>
      </c>
      <c r="F403" s="146" t="str">
        <f t="shared" si="27"/>
        <v>2014-15</v>
      </c>
      <c r="G403" s="1"/>
      <c r="H403" s="161"/>
      <c r="I403" s="37"/>
      <c r="J403" s="135">
        <f t="shared" si="29"/>
        <v>0.9161881535038825</v>
      </c>
      <c r="K403" s="112"/>
      <c r="L403" s="37">
        <v>14.044074978399999</v>
      </c>
      <c r="M403" s="37" t="s">
        <v>509</v>
      </c>
      <c r="N403" s="37">
        <v>3592.3639024390236</v>
      </c>
      <c r="O403" s="130">
        <f t="shared" si="28"/>
        <v>50451.427995551268</v>
      </c>
      <c r="P403" s="132">
        <f t="shared" si="26"/>
        <v>9613.6348883820046</v>
      </c>
      <c r="Q403" s="262">
        <v>0.20798379057529773</v>
      </c>
      <c r="R403" s="92"/>
    </row>
    <row r="404" spans="1:18" x14ac:dyDescent="0.25">
      <c r="A404" s="326">
        <v>41939</v>
      </c>
      <c r="B404" s="326" t="s">
        <v>805</v>
      </c>
      <c r="C404" s="264" t="s">
        <v>425</v>
      </c>
      <c r="D404" s="157" t="s">
        <v>512</v>
      </c>
      <c r="E404" s="44">
        <f t="shared" si="30"/>
        <v>41939</v>
      </c>
      <c r="F404" s="146" t="str">
        <f t="shared" si="27"/>
        <v>2014-15</v>
      </c>
      <c r="G404" s="1"/>
      <c r="H404" s="161"/>
      <c r="I404" s="37"/>
      <c r="J404" s="135">
        <f t="shared" si="29"/>
        <v>0.9161881535038825</v>
      </c>
      <c r="K404" s="112"/>
      <c r="L404" s="37">
        <v>16.175237185299999</v>
      </c>
      <c r="M404" s="37" t="s">
        <v>509</v>
      </c>
      <c r="N404" s="37">
        <v>950.87219512195099</v>
      </c>
      <c r="O404" s="130">
        <f t="shared" si="28"/>
        <v>15380.583289004418</v>
      </c>
      <c r="P404" s="132">
        <f t="shared" si="26"/>
        <v>2930.8052910588872</v>
      </c>
      <c r="Q404" s="262">
        <v>0.20798379057529773</v>
      </c>
      <c r="R404" s="92"/>
    </row>
    <row r="405" spans="1:18" x14ac:dyDescent="0.25">
      <c r="A405" s="326">
        <v>41939</v>
      </c>
      <c r="B405" s="326" t="s">
        <v>805</v>
      </c>
      <c r="C405" s="264" t="s">
        <v>425</v>
      </c>
      <c r="D405" s="157" t="s">
        <v>512</v>
      </c>
      <c r="E405" s="44">
        <f t="shared" si="30"/>
        <v>41939</v>
      </c>
      <c r="F405" s="146" t="str">
        <f t="shared" si="27"/>
        <v>2014-15</v>
      </c>
      <c r="G405" s="1"/>
      <c r="H405" s="161"/>
      <c r="I405" s="37"/>
      <c r="J405" s="135">
        <f t="shared" si="29"/>
        <v>0.9161881535038825</v>
      </c>
      <c r="K405" s="112"/>
      <c r="L405" s="37">
        <v>7.1907683177799999</v>
      </c>
      <c r="M405" s="37" t="s">
        <v>509</v>
      </c>
      <c r="N405" s="37">
        <v>950.87219512195099</v>
      </c>
      <c r="O405" s="130">
        <f t="shared" si="28"/>
        <v>6837.5016549408474</v>
      </c>
      <c r="P405" s="132">
        <f t="shared" si="26"/>
        <v>1302.9015643542396</v>
      </c>
      <c r="Q405" s="262">
        <v>0.20798379057529773</v>
      </c>
      <c r="R405" s="92"/>
    </row>
    <row r="406" spans="1:18" x14ac:dyDescent="0.25">
      <c r="C406" s="264"/>
      <c r="D406" s="157"/>
      <c r="E406" s="44"/>
      <c r="F406" s="146"/>
      <c r="G406" s="1"/>
      <c r="H406" s="161"/>
      <c r="I406" s="37"/>
      <c r="J406" s="135"/>
      <c r="K406" s="112"/>
      <c r="L406" s="37"/>
      <c r="M406" s="37"/>
      <c r="N406" s="37"/>
      <c r="O406" s="130"/>
      <c r="P406" s="132"/>
      <c r="Q406" s="262"/>
      <c r="R406" s="92"/>
    </row>
    <row r="407" spans="1:18" x14ac:dyDescent="0.25">
      <c r="C407" s="264"/>
      <c r="D407" s="157"/>
      <c r="E407" s="44"/>
      <c r="F407" s="146"/>
      <c r="G407" s="1"/>
      <c r="H407" s="161"/>
      <c r="I407" s="37"/>
      <c r="J407" s="135"/>
      <c r="K407" s="112"/>
      <c r="L407" s="37"/>
      <c r="M407" s="37"/>
      <c r="N407" s="37"/>
      <c r="O407" s="130"/>
      <c r="P407" s="132"/>
      <c r="Q407" s="262"/>
      <c r="R407" s="92"/>
    </row>
    <row r="408" spans="1:18" x14ac:dyDescent="0.25">
      <c r="C408" s="264"/>
      <c r="D408" s="157"/>
      <c r="E408" s="44"/>
      <c r="F408" s="146"/>
      <c r="G408" s="1"/>
      <c r="H408" s="161"/>
      <c r="I408" s="37"/>
      <c r="J408" s="135"/>
      <c r="K408" s="112"/>
      <c r="L408" s="37"/>
      <c r="M408" s="37"/>
      <c r="N408" s="37"/>
      <c r="O408" s="130"/>
      <c r="P408" s="132"/>
      <c r="Q408" s="262"/>
      <c r="R408" s="92"/>
    </row>
    <row r="409" spans="1:18" x14ac:dyDescent="0.25">
      <c r="C409" s="264"/>
      <c r="D409" s="157"/>
      <c r="E409" s="44"/>
      <c r="F409" s="146"/>
      <c r="G409" s="1"/>
      <c r="H409" s="161"/>
      <c r="I409" s="37"/>
      <c r="J409" s="135"/>
      <c r="K409" s="112"/>
      <c r="L409" s="37"/>
      <c r="M409" s="37"/>
      <c r="N409" s="37"/>
      <c r="O409" s="130"/>
      <c r="P409" s="132"/>
      <c r="Q409" s="262"/>
      <c r="R409" s="92"/>
    </row>
    <row r="410" spans="1:18" x14ac:dyDescent="0.25">
      <c r="C410" s="264"/>
      <c r="D410" s="157"/>
      <c r="E410" s="44"/>
      <c r="F410" s="146"/>
      <c r="G410" s="1"/>
      <c r="H410" s="161"/>
      <c r="I410" s="37"/>
      <c r="J410" s="135"/>
      <c r="K410" s="112"/>
      <c r="L410" s="37"/>
      <c r="M410" s="37"/>
      <c r="N410" s="37"/>
      <c r="O410" s="130"/>
      <c r="P410" s="132"/>
      <c r="Q410" s="262"/>
      <c r="R410" s="92"/>
    </row>
    <row r="411" spans="1:18" x14ac:dyDescent="0.25">
      <c r="C411" s="264"/>
      <c r="D411" s="157"/>
      <c r="E411" s="44"/>
      <c r="F411" s="146"/>
      <c r="G411" s="1"/>
      <c r="H411" s="161"/>
      <c r="I411" s="37"/>
      <c r="J411" s="135"/>
      <c r="K411" s="112"/>
      <c r="L411" s="37"/>
      <c r="M411" s="37"/>
      <c r="N411" s="37"/>
      <c r="O411" s="130"/>
      <c r="P411" s="132"/>
      <c r="Q411" s="262"/>
      <c r="R411" s="92"/>
    </row>
    <row r="412" spans="1:18" x14ac:dyDescent="0.25">
      <c r="C412" s="264"/>
      <c r="D412" s="157"/>
      <c r="E412" s="44"/>
      <c r="F412" s="146"/>
      <c r="G412" s="1"/>
      <c r="H412" s="161"/>
      <c r="I412" s="37"/>
      <c r="J412" s="135"/>
      <c r="K412" s="112"/>
      <c r="L412" s="37"/>
      <c r="M412" s="37"/>
      <c r="N412" s="37"/>
      <c r="O412" s="130"/>
      <c r="P412" s="132"/>
      <c r="Q412" s="262"/>
      <c r="R412" s="92"/>
    </row>
    <row r="413" spans="1:18" x14ac:dyDescent="0.25">
      <c r="C413" s="264"/>
      <c r="D413" s="157"/>
      <c r="E413" s="44"/>
      <c r="F413" s="146"/>
      <c r="G413" s="1"/>
      <c r="H413" s="161"/>
      <c r="I413" s="37"/>
      <c r="J413" s="135"/>
      <c r="K413" s="112"/>
      <c r="L413" s="37"/>
      <c r="M413" s="37"/>
      <c r="N413" s="37"/>
      <c r="O413" s="130"/>
      <c r="P413" s="132"/>
      <c r="Q413" s="262"/>
      <c r="R413" s="92"/>
    </row>
    <row r="414" spans="1:18" x14ac:dyDescent="0.25">
      <c r="A414" s="326">
        <v>42177</v>
      </c>
      <c r="B414" s="326" t="s">
        <v>805</v>
      </c>
      <c r="C414" s="264" t="s">
        <v>426</v>
      </c>
      <c r="D414" s="157" t="s">
        <v>512</v>
      </c>
      <c r="E414" s="44">
        <f t="shared" si="30"/>
        <v>42177</v>
      </c>
      <c r="F414" s="146" t="str">
        <f t="shared" ref="F414:F471" si="31">IF(E414="","-",IF(OR(E414&lt;$E$15,E414&gt;$E$16),"ERROR - date outside of range",IF(MONTH(E414)&gt;=7,YEAR(E414)&amp;"-"&amp;IF(YEAR(E414)=1999,"00",IF(AND(YEAR(E414)&gt;=2000,YEAR(E414)&lt;2009),"0","")&amp;RIGHT(YEAR(E414),2)+1),RIGHT(YEAR(E414),4)-1&amp;"-"&amp;RIGHT(YEAR(E414),2))))</f>
        <v>2014-15</v>
      </c>
      <c r="G414" s="1"/>
      <c r="H414" s="161"/>
      <c r="I414" s="37"/>
      <c r="J414" s="135">
        <f>J405</f>
        <v>0.9161881535038825</v>
      </c>
      <c r="K414" s="112"/>
      <c r="L414" s="37">
        <v>14.2626112599</v>
      </c>
      <c r="M414" s="37" t="s">
        <v>509</v>
      </c>
      <c r="N414" s="37">
        <v>3336.4019512195118</v>
      </c>
      <c r="O414" s="130">
        <f t="shared" ref="O414:O471" si="32">IF(N414="","-",L414*N414)</f>
        <v>47585.80403701574</v>
      </c>
      <c r="P414" s="132">
        <f t="shared" ref="P414:P470" si="33">IF(O414="-","-",IF(OR(E414&lt;$E$15,E414&gt;$E$16),0,O414*J414))*Q414</f>
        <v>18086.891788597502</v>
      </c>
      <c r="Q414" s="262">
        <v>0.4148602803624229</v>
      </c>
      <c r="R414" s="92"/>
    </row>
    <row r="415" spans="1:18" x14ac:dyDescent="0.25">
      <c r="A415" s="326">
        <v>42177</v>
      </c>
      <c r="B415" s="326" t="s">
        <v>805</v>
      </c>
      <c r="C415" s="264" t="s">
        <v>426</v>
      </c>
      <c r="D415" s="157" t="s">
        <v>512</v>
      </c>
      <c r="E415" s="44">
        <f t="shared" si="30"/>
        <v>42177</v>
      </c>
      <c r="F415" s="146" t="str">
        <f t="shared" si="31"/>
        <v>2014-15</v>
      </c>
      <c r="G415" s="1"/>
      <c r="H415" s="161"/>
      <c r="I415" s="37"/>
      <c r="J415" s="135">
        <f t="shared" ref="J415:J472" si="34">J414</f>
        <v>0.9161881535038825</v>
      </c>
      <c r="K415" s="112"/>
      <c r="L415" s="37">
        <v>26.773797154299999</v>
      </c>
      <c r="M415" s="37" t="s">
        <v>509</v>
      </c>
      <c r="N415" s="37">
        <v>812.22926829268283</v>
      </c>
      <c r="O415" s="130">
        <f t="shared" si="32"/>
        <v>21746.461672053803</v>
      </c>
      <c r="P415" s="132">
        <f t="shared" si="33"/>
        <v>8265.6142311131789</v>
      </c>
      <c r="Q415" s="262">
        <v>0.4148602803624229</v>
      </c>
      <c r="R415" s="92"/>
    </row>
    <row r="416" spans="1:18" x14ac:dyDescent="0.25">
      <c r="A416" s="326">
        <v>42177</v>
      </c>
      <c r="B416" s="326" t="s">
        <v>805</v>
      </c>
      <c r="C416" s="264" t="s">
        <v>426</v>
      </c>
      <c r="D416" s="157" t="s">
        <v>512</v>
      </c>
      <c r="E416" s="44">
        <f t="shared" si="30"/>
        <v>42177</v>
      </c>
      <c r="F416" s="146" t="str">
        <f t="shared" si="31"/>
        <v>2014-15</v>
      </c>
      <c r="G416" s="1"/>
      <c r="H416" s="161"/>
      <c r="I416" s="37"/>
      <c r="J416" s="135">
        <f t="shared" si="34"/>
        <v>0.9161881535038825</v>
      </c>
      <c r="K416" s="112"/>
      <c r="L416" s="37">
        <v>24.907347913500001</v>
      </c>
      <c r="M416" s="37" t="s">
        <v>509</v>
      </c>
      <c r="N416" s="37">
        <v>812.22926829268283</v>
      </c>
      <c r="O416" s="130">
        <f t="shared" si="32"/>
        <v>20230.476970893385</v>
      </c>
      <c r="P416" s="132">
        <f t="shared" si="33"/>
        <v>7689.4034935215868</v>
      </c>
      <c r="Q416" s="262">
        <v>0.4148602803624229</v>
      </c>
      <c r="R416" s="92"/>
    </row>
    <row r="417" spans="1:18" x14ac:dyDescent="0.25">
      <c r="A417" s="326">
        <v>42177</v>
      </c>
      <c r="B417" s="326" t="s">
        <v>805</v>
      </c>
      <c r="C417" s="264" t="s">
        <v>426</v>
      </c>
      <c r="D417" s="157" t="s">
        <v>512</v>
      </c>
      <c r="E417" s="44">
        <f t="shared" si="30"/>
        <v>42177</v>
      </c>
      <c r="F417" s="146" t="str">
        <f t="shared" si="31"/>
        <v>2014-15</v>
      </c>
      <c r="G417" s="1"/>
      <c r="H417" s="161"/>
      <c r="I417" s="37"/>
      <c r="J417" s="135">
        <f t="shared" si="34"/>
        <v>0.9161881535038825</v>
      </c>
      <c r="K417" s="112"/>
      <c r="L417" s="37">
        <v>50.405714287099997</v>
      </c>
      <c r="M417" s="37" t="s">
        <v>509</v>
      </c>
      <c r="N417" s="37">
        <v>812.22926829268283</v>
      </c>
      <c r="O417" s="130">
        <f t="shared" si="32"/>
        <v>40940.996433181259</v>
      </c>
      <c r="P417" s="132">
        <f t="shared" si="33"/>
        <v>15561.266373229586</v>
      </c>
      <c r="Q417" s="262">
        <v>0.4148602803624229</v>
      </c>
      <c r="R417" s="92"/>
    </row>
    <row r="418" spans="1:18" x14ac:dyDescent="0.25">
      <c r="A418" s="326">
        <v>42177</v>
      </c>
      <c r="B418" s="326" t="s">
        <v>805</v>
      </c>
      <c r="C418" s="264" t="s">
        <v>426</v>
      </c>
      <c r="D418" s="157" t="s">
        <v>512</v>
      </c>
      <c r="E418" s="44">
        <f t="shared" si="30"/>
        <v>42177</v>
      </c>
      <c r="F418" s="146" t="str">
        <f t="shared" si="31"/>
        <v>2014-15</v>
      </c>
      <c r="G418" s="1"/>
      <c r="H418" s="161"/>
      <c r="I418" s="37"/>
      <c r="J418" s="135">
        <f t="shared" si="34"/>
        <v>0.9161881535038825</v>
      </c>
      <c r="K418" s="112"/>
      <c r="L418" s="37">
        <v>14.8097193284</v>
      </c>
      <c r="M418" s="37" t="s">
        <v>509</v>
      </c>
      <c r="N418" s="37">
        <v>812.22926829268283</v>
      </c>
      <c r="O418" s="130">
        <f t="shared" si="32"/>
        <v>12028.887493726334</v>
      </c>
      <c r="P418" s="132">
        <f t="shared" si="33"/>
        <v>4572.0607403628992</v>
      </c>
      <c r="Q418" s="262">
        <v>0.4148602803624229</v>
      </c>
      <c r="R418" s="92"/>
    </row>
    <row r="419" spans="1:18" x14ac:dyDescent="0.25">
      <c r="A419" s="326">
        <v>42177</v>
      </c>
      <c r="B419" s="326" t="s">
        <v>805</v>
      </c>
      <c r="C419" s="264" t="s">
        <v>426</v>
      </c>
      <c r="D419" s="157" t="s">
        <v>512</v>
      </c>
      <c r="E419" s="44">
        <f t="shared" si="30"/>
        <v>42177</v>
      </c>
      <c r="F419" s="146" t="str">
        <f t="shared" si="31"/>
        <v>2014-15</v>
      </c>
      <c r="G419" s="1"/>
      <c r="H419" s="161"/>
      <c r="I419" s="37"/>
      <c r="J419" s="135">
        <f t="shared" si="34"/>
        <v>0.9161881535038825</v>
      </c>
      <c r="K419" s="112"/>
      <c r="L419" s="37">
        <v>49.060308239000001</v>
      </c>
      <c r="M419" s="37" t="s">
        <v>509</v>
      </c>
      <c r="N419" s="37">
        <v>812.22926829268283</v>
      </c>
      <c r="O419" s="130">
        <f t="shared" si="32"/>
        <v>39848.218263176452</v>
      </c>
      <c r="P419" s="132">
        <f t="shared" si="33"/>
        <v>15145.912237478431</v>
      </c>
      <c r="Q419" s="262">
        <v>0.4148602803624229</v>
      </c>
      <c r="R419" s="92"/>
    </row>
    <row r="420" spans="1:18" x14ac:dyDescent="0.25">
      <c r="A420" s="326">
        <v>42177</v>
      </c>
      <c r="B420" s="326" t="s">
        <v>805</v>
      </c>
      <c r="C420" s="264" t="s">
        <v>426</v>
      </c>
      <c r="D420" s="157" t="s">
        <v>512</v>
      </c>
      <c r="E420" s="44">
        <f t="shared" si="30"/>
        <v>42177</v>
      </c>
      <c r="F420" s="146" t="str">
        <f t="shared" si="31"/>
        <v>2014-15</v>
      </c>
      <c r="G420" s="1"/>
      <c r="H420" s="161"/>
      <c r="I420" s="37"/>
      <c r="J420" s="135">
        <f t="shared" si="34"/>
        <v>0.9161881535038825</v>
      </c>
      <c r="K420" s="112"/>
      <c r="L420" s="37">
        <v>27.6575340188</v>
      </c>
      <c r="M420" s="37" t="s">
        <v>509</v>
      </c>
      <c r="N420" s="37">
        <v>812.22926829268283</v>
      </c>
      <c r="O420" s="130">
        <f t="shared" si="32"/>
        <v>22464.258618869906</v>
      </c>
      <c r="P420" s="132">
        <f t="shared" si="33"/>
        <v>8538.4417259086767</v>
      </c>
      <c r="Q420" s="262">
        <v>0.4148602803624229</v>
      </c>
      <c r="R420" s="92"/>
    </row>
    <row r="421" spans="1:18" x14ac:dyDescent="0.25">
      <c r="A421" s="326">
        <v>42177</v>
      </c>
      <c r="B421" s="326" t="s">
        <v>805</v>
      </c>
      <c r="C421" s="264" t="s">
        <v>426</v>
      </c>
      <c r="D421" s="157" t="s">
        <v>512</v>
      </c>
      <c r="E421" s="44">
        <f t="shared" si="30"/>
        <v>42177</v>
      </c>
      <c r="F421" s="146" t="str">
        <f t="shared" si="31"/>
        <v>2014-15</v>
      </c>
      <c r="G421" s="1"/>
      <c r="H421" s="161"/>
      <c r="I421" s="37"/>
      <c r="J421" s="135">
        <f t="shared" si="34"/>
        <v>0.9161881535038825</v>
      </c>
      <c r="K421" s="112"/>
      <c r="L421" s="37">
        <v>14.4623083577</v>
      </c>
      <c r="M421" s="37" t="s">
        <v>509</v>
      </c>
      <c r="N421" s="37">
        <v>812.22926829268283</v>
      </c>
      <c r="O421" s="130">
        <f t="shared" si="32"/>
        <v>11746.710135197822</v>
      </c>
      <c r="P421" s="132">
        <f t="shared" si="33"/>
        <v>4464.8079272145187</v>
      </c>
      <c r="Q421" s="262">
        <v>0.4148602803624229</v>
      </c>
      <c r="R421" s="92"/>
    </row>
    <row r="422" spans="1:18" x14ac:dyDescent="0.25">
      <c r="A422" s="326">
        <v>42177</v>
      </c>
      <c r="B422" s="326" t="s">
        <v>805</v>
      </c>
      <c r="C422" s="264" t="s">
        <v>426</v>
      </c>
      <c r="D422" s="157" t="s">
        <v>512</v>
      </c>
      <c r="E422" s="44">
        <f t="shared" si="30"/>
        <v>42177</v>
      </c>
      <c r="F422" s="146" t="str">
        <f t="shared" si="31"/>
        <v>2014-15</v>
      </c>
      <c r="G422" s="1"/>
      <c r="H422" s="161"/>
      <c r="I422" s="37"/>
      <c r="J422" s="135">
        <f t="shared" si="34"/>
        <v>0.9161881535038825</v>
      </c>
      <c r="K422" s="112"/>
      <c r="L422" s="37">
        <v>6.2499885599900002</v>
      </c>
      <c r="M422" s="37" t="s">
        <v>509</v>
      </c>
      <c r="N422" s="37">
        <v>812.22926829268283</v>
      </c>
      <c r="O422" s="130">
        <f t="shared" si="32"/>
        <v>5076.4236349183166</v>
      </c>
      <c r="P422" s="132">
        <f t="shared" si="33"/>
        <v>1929.4982362055832</v>
      </c>
      <c r="Q422" s="262">
        <v>0.4148602803624229</v>
      </c>
      <c r="R422" s="92"/>
    </row>
    <row r="423" spans="1:18" x14ac:dyDescent="0.25">
      <c r="A423" s="326">
        <v>42177</v>
      </c>
      <c r="B423" s="326" t="s">
        <v>805</v>
      </c>
      <c r="C423" s="264" t="s">
        <v>426</v>
      </c>
      <c r="D423" s="157" t="s">
        <v>512</v>
      </c>
      <c r="E423" s="44">
        <f t="shared" si="30"/>
        <v>42177</v>
      </c>
      <c r="F423" s="146" t="str">
        <f t="shared" si="31"/>
        <v>2014-15</v>
      </c>
      <c r="G423" s="1"/>
      <c r="H423" s="161"/>
      <c r="I423" s="37"/>
      <c r="J423" s="135">
        <f t="shared" si="34"/>
        <v>0.9161881535038825</v>
      </c>
      <c r="K423" s="112"/>
      <c r="L423" s="37">
        <v>13.4906893891</v>
      </c>
      <c r="M423" s="37" t="s">
        <v>509</v>
      </c>
      <c r="N423" s="37">
        <v>812.22926829268283</v>
      </c>
      <c r="O423" s="130">
        <f t="shared" si="32"/>
        <v>10957.532771272554</v>
      </c>
      <c r="P423" s="132">
        <f t="shared" si="33"/>
        <v>4164.8494443816189</v>
      </c>
      <c r="Q423" s="262">
        <v>0.4148602803624229</v>
      </c>
      <c r="R423" s="92"/>
    </row>
    <row r="424" spans="1:18" x14ac:dyDescent="0.25">
      <c r="A424" s="326">
        <v>42177</v>
      </c>
      <c r="B424" s="326" t="s">
        <v>805</v>
      </c>
      <c r="C424" s="264" t="s">
        <v>426</v>
      </c>
      <c r="D424" s="157" t="s">
        <v>512</v>
      </c>
      <c r="E424" s="44">
        <f t="shared" si="30"/>
        <v>42177</v>
      </c>
      <c r="F424" s="146" t="str">
        <f t="shared" si="31"/>
        <v>2014-15</v>
      </c>
      <c r="G424" s="1"/>
      <c r="H424" s="161"/>
      <c r="I424" s="37"/>
      <c r="J424" s="135">
        <f t="shared" si="34"/>
        <v>0.9161881535038825</v>
      </c>
      <c r="K424" s="112"/>
      <c r="L424" s="37">
        <v>17.558197088499998</v>
      </c>
      <c r="M424" s="37" t="s">
        <v>509</v>
      </c>
      <c r="N424" s="37">
        <v>812.22926829268283</v>
      </c>
      <c r="O424" s="130">
        <f t="shared" si="32"/>
        <v>14261.281573731068</v>
      </c>
      <c r="P424" s="132">
        <f t="shared" si="33"/>
        <v>5420.571571936598</v>
      </c>
      <c r="Q424" s="262">
        <v>0.4148602803624229</v>
      </c>
      <c r="R424" s="92"/>
    </row>
    <row r="425" spans="1:18" x14ac:dyDescent="0.25">
      <c r="A425" s="326">
        <v>42177</v>
      </c>
      <c r="B425" s="326" t="s">
        <v>805</v>
      </c>
      <c r="C425" s="264" t="s">
        <v>426</v>
      </c>
      <c r="D425" s="157" t="s">
        <v>512</v>
      </c>
      <c r="E425" s="44">
        <f t="shared" si="30"/>
        <v>42177</v>
      </c>
      <c r="F425" s="146" t="str">
        <f t="shared" si="31"/>
        <v>2014-15</v>
      </c>
      <c r="G425" s="1"/>
      <c r="H425" s="161"/>
      <c r="I425" s="37"/>
      <c r="J425" s="135">
        <f t="shared" si="34"/>
        <v>0.9161881535038825</v>
      </c>
      <c r="K425" s="112"/>
      <c r="L425" s="37">
        <v>18.586791977299999</v>
      </c>
      <c r="M425" s="37" t="s">
        <v>509</v>
      </c>
      <c r="N425" s="37">
        <v>3336.4019512195118</v>
      </c>
      <c r="O425" s="130">
        <f t="shared" si="32"/>
        <v>62013.009019974888</v>
      </c>
      <c r="P425" s="132">
        <f t="shared" si="33"/>
        <v>23570.529201463654</v>
      </c>
      <c r="Q425" s="262">
        <v>0.4148602803624229</v>
      </c>
      <c r="R425" s="92"/>
    </row>
    <row r="426" spans="1:18" x14ac:dyDescent="0.25">
      <c r="A426" s="326">
        <v>42177</v>
      </c>
      <c r="B426" s="326" t="s">
        <v>805</v>
      </c>
      <c r="C426" s="264" t="s">
        <v>426</v>
      </c>
      <c r="D426" s="157" t="s">
        <v>512</v>
      </c>
      <c r="E426" s="44">
        <f t="shared" si="30"/>
        <v>42177</v>
      </c>
      <c r="F426" s="146" t="str">
        <f t="shared" si="31"/>
        <v>2014-15</v>
      </c>
      <c r="G426" s="1"/>
      <c r="H426" s="161"/>
      <c r="I426" s="37"/>
      <c r="J426" s="135">
        <f t="shared" si="34"/>
        <v>0.9161881535038825</v>
      </c>
      <c r="K426" s="112"/>
      <c r="L426" s="37">
        <v>16.338700851900001</v>
      </c>
      <c r="M426" s="37" t="s">
        <v>509</v>
      </c>
      <c r="N426" s="37">
        <v>812.22926829268283</v>
      </c>
      <c r="O426" s="130">
        <f t="shared" si="32"/>
        <v>13270.771037791772</v>
      </c>
      <c r="P426" s="132">
        <f t="shared" si="33"/>
        <v>5044.0883488084573</v>
      </c>
      <c r="Q426" s="262">
        <v>0.4148602803624229</v>
      </c>
      <c r="R426" s="92"/>
    </row>
    <row r="427" spans="1:18" x14ac:dyDescent="0.25">
      <c r="A427" s="326">
        <v>42177</v>
      </c>
      <c r="B427" s="326" t="s">
        <v>805</v>
      </c>
      <c r="C427" s="264" t="s">
        <v>426</v>
      </c>
      <c r="D427" s="157" t="s">
        <v>512</v>
      </c>
      <c r="E427" s="44">
        <f t="shared" si="30"/>
        <v>42177</v>
      </c>
      <c r="F427" s="146" t="str">
        <f t="shared" si="31"/>
        <v>2014-15</v>
      </c>
      <c r="G427" s="1"/>
      <c r="H427" s="161"/>
      <c r="I427" s="37"/>
      <c r="J427" s="135">
        <f t="shared" si="34"/>
        <v>0.9161881535038825</v>
      </c>
      <c r="K427" s="112"/>
      <c r="L427" s="37">
        <v>23.649261412000001</v>
      </c>
      <c r="M427" s="37" t="s">
        <v>509</v>
      </c>
      <c r="N427" s="37">
        <v>812.22926829268283</v>
      </c>
      <c r="O427" s="130">
        <f t="shared" si="32"/>
        <v>19208.62229233114</v>
      </c>
      <c r="P427" s="132">
        <f t="shared" si="33"/>
        <v>7301.006672897297</v>
      </c>
      <c r="Q427" s="262">
        <v>0.4148602803624229</v>
      </c>
      <c r="R427" s="92"/>
    </row>
    <row r="428" spans="1:18" x14ac:dyDescent="0.25">
      <c r="A428" s="326">
        <v>42177</v>
      </c>
      <c r="B428" s="326" t="s">
        <v>805</v>
      </c>
      <c r="C428" s="264" t="s">
        <v>426</v>
      </c>
      <c r="D428" s="157" t="s">
        <v>512</v>
      </c>
      <c r="E428" s="44">
        <f t="shared" si="30"/>
        <v>42177</v>
      </c>
      <c r="F428" s="146" t="str">
        <f t="shared" si="31"/>
        <v>2014-15</v>
      </c>
      <c r="G428" s="1"/>
      <c r="H428" s="161"/>
      <c r="I428" s="37"/>
      <c r="J428" s="135">
        <f t="shared" si="34"/>
        <v>0.9161881535038825</v>
      </c>
      <c r="K428" s="112"/>
      <c r="L428" s="37">
        <v>11.6473246049</v>
      </c>
      <c r="M428" s="37" t="s">
        <v>509</v>
      </c>
      <c r="N428" s="37">
        <v>812.22926829268283</v>
      </c>
      <c r="O428" s="130">
        <f t="shared" si="32"/>
        <v>9460.2979414052879</v>
      </c>
      <c r="P428" s="132">
        <f t="shared" si="33"/>
        <v>3595.7653467615937</v>
      </c>
      <c r="Q428" s="262">
        <v>0.4148602803624229</v>
      </c>
      <c r="R428" s="92"/>
    </row>
    <row r="429" spans="1:18" x14ac:dyDescent="0.25">
      <c r="A429" s="326">
        <v>42177</v>
      </c>
      <c r="B429" s="326" t="s">
        <v>805</v>
      </c>
      <c r="C429" s="264" t="s">
        <v>426</v>
      </c>
      <c r="D429" s="157" t="s">
        <v>512</v>
      </c>
      <c r="E429" s="44">
        <f t="shared" si="30"/>
        <v>42177</v>
      </c>
      <c r="F429" s="146" t="str">
        <f t="shared" si="31"/>
        <v>2014-15</v>
      </c>
      <c r="G429" s="1"/>
      <c r="H429" s="161"/>
      <c r="I429" s="37"/>
      <c r="J429" s="135">
        <f t="shared" si="34"/>
        <v>0.9161881535038825</v>
      </c>
      <c r="K429" s="112"/>
      <c r="L429" s="37">
        <v>20.939900966100002</v>
      </c>
      <c r="M429" s="37" t="s">
        <v>509</v>
      </c>
      <c r="N429" s="37">
        <v>3336.4019512195118</v>
      </c>
      <c r="O429" s="130">
        <f t="shared" si="32"/>
        <v>69863.926441639385</v>
      </c>
      <c r="P429" s="132">
        <f t="shared" si="33"/>
        <v>26554.584987016922</v>
      </c>
      <c r="Q429" s="262">
        <v>0.4148602803624229</v>
      </c>
      <c r="R429" s="92"/>
    </row>
    <row r="430" spans="1:18" x14ac:dyDescent="0.25">
      <c r="A430" s="326">
        <v>42177</v>
      </c>
      <c r="B430" s="326" t="s">
        <v>805</v>
      </c>
      <c r="C430" s="264" t="s">
        <v>426</v>
      </c>
      <c r="D430" s="157" t="s">
        <v>512</v>
      </c>
      <c r="E430" s="44">
        <f t="shared" si="30"/>
        <v>42177</v>
      </c>
      <c r="F430" s="146" t="str">
        <f t="shared" si="31"/>
        <v>2014-15</v>
      </c>
      <c r="G430" s="1"/>
      <c r="H430" s="161"/>
      <c r="I430" s="37"/>
      <c r="J430" s="135">
        <f t="shared" si="34"/>
        <v>0.9161881535038825</v>
      </c>
      <c r="K430" s="112"/>
      <c r="L430" s="37">
        <v>27.415456304100001</v>
      </c>
      <c r="M430" s="37" t="s">
        <v>509</v>
      </c>
      <c r="N430" s="37">
        <v>3336.4019512195118</v>
      </c>
      <c r="O430" s="130">
        <f t="shared" si="32"/>
        <v>91468.981906572517</v>
      </c>
      <c r="P430" s="132">
        <f t="shared" si="33"/>
        <v>34766.452122369396</v>
      </c>
      <c r="Q430" s="262">
        <v>0.4148602803624229</v>
      </c>
      <c r="R430" s="92"/>
    </row>
    <row r="431" spans="1:18" x14ac:dyDescent="0.25">
      <c r="A431" s="326">
        <v>42177</v>
      </c>
      <c r="B431" s="326" t="s">
        <v>805</v>
      </c>
      <c r="C431" s="264" t="s">
        <v>426</v>
      </c>
      <c r="D431" s="157" t="s">
        <v>512</v>
      </c>
      <c r="E431" s="44">
        <f t="shared" si="30"/>
        <v>42177</v>
      </c>
      <c r="F431" s="146" t="str">
        <f t="shared" si="31"/>
        <v>2014-15</v>
      </c>
      <c r="G431" s="1"/>
      <c r="H431" s="161"/>
      <c r="I431" s="37"/>
      <c r="J431" s="135">
        <f t="shared" si="34"/>
        <v>0.9161881535038825</v>
      </c>
      <c r="K431" s="112"/>
      <c r="L431" s="37">
        <v>5.78632268485</v>
      </c>
      <c r="M431" s="37" t="s">
        <v>509</v>
      </c>
      <c r="N431" s="37">
        <v>812.22926829268283</v>
      </c>
      <c r="O431" s="130">
        <f t="shared" si="32"/>
        <v>4699.8206404210678</v>
      </c>
      <c r="P431" s="132">
        <f t="shared" si="33"/>
        <v>1786.3551760728812</v>
      </c>
      <c r="Q431" s="262">
        <v>0.4148602803624229</v>
      </c>
      <c r="R431" s="92"/>
    </row>
    <row r="432" spans="1:18" x14ac:dyDescent="0.25">
      <c r="A432" s="326">
        <v>42177</v>
      </c>
      <c r="B432" s="326" t="s">
        <v>805</v>
      </c>
      <c r="C432" s="264" t="s">
        <v>426</v>
      </c>
      <c r="D432" s="157" t="s">
        <v>512</v>
      </c>
      <c r="E432" s="44">
        <f t="shared" si="30"/>
        <v>42177</v>
      </c>
      <c r="F432" s="146" t="str">
        <f t="shared" si="31"/>
        <v>2014-15</v>
      </c>
      <c r="G432" s="1"/>
      <c r="H432" s="161"/>
      <c r="I432" s="37"/>
      <c r="J432" s="135">
        <f t="shared" si="34"/>
        <v>0.9161881535038825</v>
      </c>
      <c r="K432" s="112"/>
      <c r="L432" s="37">
        <v>4.5673332481899998</v>
      </c>
      <c r="M432" s="37" t="s">
        <v>509</v>
      </c>
      <c r="N432" s="37">
        <v>3336.4019512195118</v>
      </c>
      <c r="O432" s="130">
        <f t="shared" si="32"/>
        <v>15238.459561130867</v>
      </c>
      <c r="P432" s="132">
        <f t="shared" si="33"/>
        <v>5791.987225700721</v>
      </c>
      <c r="Q432" s="262">
        <v>0.4148602803624229</v>
      </c>
      <c r="R432" s="92"/>
    </row>
    <row r="433" spans="1:18" x14ac:dyDescent="0.25">
      <c r="A433" s="326">
        <v>42177</v>
      </c>
      <c r="B433" s="326" t="s">
        <v>805</v>
      </c>
      <c r="C433" s="264" t="s">
        <v>426</v>
      </c>
      <c r="D433" s="157" t="s">
        <v>512</v>
      </c>
      <c r="E433" s="44">
        <f t="shared" si="30"/>
        <v>42177</v>
      </c>
      <c r="F433" s="146" t="str">
        <f t="shared" si="31"/>
        <v>2014-15</v>
      </c>
      <c r="G433" s="1"/>
      <c r="H433" s="161"/>
      <c r="I433" s="37"/>
      <c r="J433" s="135">
        <f t="shared" si="34"/>
        <v>0.9161881535038825</v>
      </c>
      <c r="K433" s="112"/>
      <c r="L433" s="37">
        <v>20.9405888133</v>
      </c>
      <c r="M433" s="37" t="s">
        <v>509</v>
      </c>
      <c r="N433" s="37">
        <v>3336.4019512195118</v>
      </c>
      <c r="O433" s="130">
        <f t="shared" si="32"/>
        <v>69866.221376379603</v>
      </c>
      <c r="P433" s="132">
        <f t="shared" si="33"/>
        <v>26555.457268932678</v>
      </c>
      <c r="Q433" s="262">
        <v>0.4148602803624229</v>
      </c>
      <c r="R433" s="92"/>
    </row>
    <row r="434" spans="1:18" x14ac:dyDescent="0.25">
      <c r="A434" s="326">
        <v>42177</v>
      </c>
      <c r="B434" s="326" t="s">
        <v>805</v>
      </c>
      <c r="C434" s="264" t="s">
        <v>426</v>
      </c>
      <c r="D434" s="157" t="s">
        <v>512</v>
      </c>
      <c r="E434" s="44">
        <f t="shared" si="30"/>
        <v>42177</v>
      </c>
      <c r="F434" s="146" t="str">
        <f t="shared" si="31"/>
        <v>2014-15</v>
      </c>
      <c r="G434" s="1"/>
      <c r="H434" s="161"/>
      <c r="I434" s="37"/>
      <c r="J434" s="135">
        <f t="shared" si="34"/>
        <v>0.9161881535038825</v>
      </c>
      <c r="K434" s="112"/>
      <c r="L434" s="37">
        <v>21.263275100200001</v>
      </c>
      <c r="M434" s="37" t="s">
        <v>509</v>
      </c>
      <c r="N434" s="37">
        <v>812.22926829268283</v>
      </c>
      <c r="O434" s="130">
        <f t="shared" si="32"/>
        <v>17270.654376141469</v>
      </c>
      <c r="P434" s="132">
        <f t="shared" si="33"/>
        <v>6564.4043037825395</v>
      </c>
      <c r="Q434" s="262">
        <v>0.4148602803624229</v>
      </c>
      <c r="R434" s="92"/>
    </row>
    <row r="435" spans="1:18" x14ac:dyDescent="0.25">
      <c r="A435" s="326">
        <v>42177</v>
      </c>
      <c r="B435" s="326" t="s">
        <v>805</v>
      </c>
      <c r="C435" s="264" t="s">
        <v>426</v>
      </c>
      <c r="D435" s="157" t="s">
        <v>512</v>
      </c>
      <c r="E435" s="44">
        <f t="shared" si="30"/>
        <v>42177</v>
      </c>
      <c r="F435" s="146" t="str">
        <f t="shared" si="31"/>
        <v>2014-15</v>
      </c>
      <c r="G435" s="1"/>
      <c r="H435" s="161"/>
      <c r="I435" s="37"/>
      <c r="J435" s="135">
        <f t="shared" si="34"/>
        <v>0.9161881535038825</v>
      </c>
      <c r="K435" s="112"/>
      <c r="L435" s="37">
        <v>4.9665780976400002</v>
      </c>
      <c r="M435" s="37" t="s">
        <v>509</v>
      </c>
      <c r="N435" s="37">
        <v>812.22926829268283</v>
      </c>
      <c r="O435" s="130">
        <f t="shared" si="32"/>
        <v>4034.0000941646022</v>
      </c>
      <c r="P435" s="132">
        <f t="shared" si="33"/>
        <v>1533.2833952241656</v>
      </c>
      <c r="Q435" s="262">
        <v>0.4148602803624229</v>
      </c>
      <c r="R435" s="92"/>
    </row>
    <row r="436" spans="1:18" x14ac:dyDescent="0.25">
      <c r="A436" s="326">
        <v>42177</v>
      </c>
      <c r="B436" s="326" t="s">
        <v>805</v>
      </c>
      <c r="C436" s="264" t="s">
        <v>426</v>
      </c>
      <c r="D436" s="157" t="s">
        <v>512</v>
      </c>
      <c r="E436" s="44">
        <f t="shared" si="30"/>
        <v>42177</v>
      </c>
      <c r="F436" s="146" t="str">
        <f t="shared" si="31"/>
        <v>2014-15</v>
      </c>
      <c r="G436" s="1"/>
      <c r="H436" s="161"/>
      <c r="I436" s="37"/>
      <c r="J436" s="135">
        <f t="shared" si="34"/>
        <v>0.9161881535038825</v>
      </c>
      <c r="K436" s="112"/>
      <c r="L436" s="37">
        <v>25.9904090205</v>
      </c>
      <c r="M436" s="37" t="s">
        <v>509</v>
      </c>
      <c r="N436" s="37">
        <v>812.22926829268283</v>
      </c>
      <c r="O436" s="130">
        <f t="shared" si="32"/>
        <v>21110.170901348258</v>
      </c>
      <c r="P436" s="132">
        <f t="shared" si="33"/>
        <v>8023.7664248455303</v>
      </c>
      <c r="Q436" s="262">
        <v>0.4148602803624229</v>
      </c>
      <c r="R436" s="92"/>
    </row>
    <row r="437" spans="1:18" x14ac:dyDescent="0.25">
      <c r="A437" s="326">
        <v>42177</v>
      </c>
      <c r="B437" s="326" t="s">
        <v>805</v>
      </c>
      <c r="C437" s="264" t="s">
        <v>426</v>
      </c>
      <c r="D437" s="157" t="s">
        <v>512</v>
      </c>
      <c r="E437" s="44">
        <f t="shared" si="30"/>
        <v>42177</v>
      </c>
      <c r="F437" s="146" t="str">
        <f t="shared" si="31"/>
        <v>2014-15</v>
      </c>
      <c r="G437" s="1"/>
      <c r="H437" s="161"/>
      <c r="I437" s="37"/>
      <c r="J437" s="135">
        <f t="shared" si="34"/>
        <v>0.9161881535038825</v>
      </c>
      <c r="K437" s="112"/>
      <c r="L437" s="37">
        <v>70.426749736700003</v>
      </c>
      <c r="M437" s="37" t="s">
        <v>509</v>
      </c>
      <c r="N437" s="37">
        <v>812.22926829268283</v>
      </c>
      <c r="O437" s="130">
        <f t="shared" si="32"/>
        <v>57202.66740687174</v>
      </c>
      <c r="P437" s="132">
        <f t="shared" si="33"/>
        <v>21742.166100680366</v>
      </c>
      <c r="Q437" s="262">
        <v>0.4148602803624229</v>
      </c>
      <c r="R437" s="92"/>
    </row>
    <row r="438" spans="1:18" x14ac:dyDescent="0.25">
      <c r="A438" s="326">
        <v>42177</v>
      </c>
      <c r="B438" s="326" t="s">
        <v>805</v>
      </c>
      <c r="C438" s="264" t="s">
        <v>426</v>
      </c>
      <c r="D438" s="157" t="s">
        <v>512</v>
      </c>
      <c r="E438" s="44">
        <f t="shared" ref="E438:E501" si="35">A438</f>
        <v>42177</v>
      </c>
      <c r="F438" s="146" t="str">
        <f t="shared" si="31"/>
        <v>2014-15</v>
      </c>
      <c r="G438" s="1"/>
      <c r="H438" s="161"/>
      <c r="I438" s="37"/>
      <c r="J438" s="135">
        <f t="shared" si="34"/>
        <v>0.9161881535038825</v>
      </c>
      <c r="K438" s="112"/>
      <c r="L438" s="37">
        <v>29.475834797299999</v>
      </c>
      <c r="M438" s="37" t="s">
        <v>509</v>
      </c>
      <c r="N438" s="37">
        <v>3336.4019512195118</v>
      </c>
      <c r="O438" s="130">
        <f t="shared" si="32"/>
        <v>98343.232731535696</v>
      </c>
      <c r="P438" s="132">
        <f t="shared" si="33"/>
        <v>37379.286628687085</v>
      </c>
      <c r="Q438" s="262">
        <v>0.4148602803624229</v>
      </c>
      <c r="R438" s="92"/>
    </row>
    <row r="439" spans="1:18" x14ac:dyDescent="0.25">
      <c r="A439" s="326">
        <v>42177</v>
      </c>
      <c r="B439" s="326" t="s">
        <v>805</v>
      </c>
      <c r="C439" s="264" t="s">
        <v>426</v>
      </c>
      <c r="D439" s="157" t="s">
        <v>512</v>
      </c>
      <c r="E439" s="44">
        <f t="shared" si="35"/>
        <v>42177</v>
      </c>
      <c r="F439" s="146" t="str">
        <f t="shared" si="31"/>
        <v>2014-15</v>
      </c>
      <c r="G439" s="1"/>
      <c r="H439" s="161"/>
      <c r="I439" s="37"/>
      <c r="J439" s="135">
        <f t="shared" si="34"/>
        <v>0.9161881535038825</v>
      </c>
      <c r="K439" s="112"/>
      <c r="L439" s="37">
        <v>21.263027576599999</v>
      </c>
      <c r="M439" s="37" t="s">
        <v>509</v>
      </c>
      <c r="N439" s="37">
        <v>3336.4019512195118</v>
      </c>
      <c r="O439" s="130">
        <f t="shared" si="32"/>
        <v>70942.006695402524</v>
      </c>
      <c r="P439" s="132">
        <f t="shared" si="33"/>
        <v>26964.352590692797</v>
      </c>
      <c r="Q439" s="262">
        <v>0.4148602803624229</v>
      </c>
      <c r="R439" s="92"/>
    </row>
    <row r="440" spans="1:18" x14ac:dyDescent="0.25">
      <c r="A440" s="326">
        <v>42177</v>
      </c>
      <c r="B440" s="326" t="s">
        <v>805</v>
      </c>
      <c r="C440" s="264" t="s">
        <v>426</v>
      </c>
      <c r="D440" s="157" t="s">
        <v>512</v>
      </c>
      <c r="E440" s="44">
        <f t="shared" si="35"/>
        <v>42177</v>
      </c>
      <c r="F440" s="146" t="str">
        <f t="shared" si="31"/>
        <v>2014-15</v>
      </c>
      <c r="G440" s="1"/>
      <c r="H440" s="161"/>
      <c r="I440" s="37"/>
      <c r="J440" s="135">
        <f t="shared" si="34"/>
        <v>0.9161881535038825</v>
      </c>
      <c r="K440" s="112"/>
      <c r="L440" s="37">
        <v>16.592541964500001</v>
      </c>
      <c r="M440" s="37" t="s">
        <v>509</v>
      </c>
      <c r="N440" s="37">
        <v>812.22926829268283</v>
      </c>
      <c r="O440" s="130">
        <f t="shared" si="32"/>
        <v>13476.94821894147</v>
      </c>
      <c r="P440" s="132">
        <f t="shared" si="33"/>
        <v>5122.4542488956322</v>
      </c>
      <c r="Q440" s="262">
        <v>0.4148602803624229</v>
      </c>
      <c r="R440" s="92"/>
    </row>
    <row r="441" spans="1:18" x14ac:dyDescent="0.25">
      <c r="A441" s="326">
        <v>42177</v>
      </c>
      <c r="B441" s="326" t="s">
        <v>805</v>
      </c>
      <c r="C441" s="264" t="s">
        <v>426</v>
      </c>
      <c r="D441" s="157" t="s">
        <v>512</v>
      </c>
      <c r="E441" s="44">
        <f t="shared" si="35"/>
        <v>42177</v>
      </c>
      <c r="F441" s="146" t="str">
        <f t="shared" si="31"/>
        <v>2014-15</v>
      </c>
      <c r="G441" s="1"/>
      <c r="H441" s="161"/>
      <c r="I441" s="37"/>
      <c r="J441" s="135">
        <f t="shared" si="34"/>
        <v>0.9161881535038825</v>
      </c>
      <c r="K441" s="112"/>
      <c r="L441" s="37">
        <v>4.9567459083600003</v>
      </c>
      <c r="M441" s="37" t="s">
        <v>509</v>
      </c>
      <c r="N441" s="37">
        <v>812.22926829268283</v>
      </c>
      <c r="O441" s="130">
        <f t="shared" si="32"/>
        <v>4026.0141022599923</v>
      </c>
      <c r="P441" s="132">
        <f t="shared" si="33"/>
        <v>1530.2479989683634</v>
      </c>
      <c r="Q441" s="262">
        <v>0.4148602803624229</v>
      </c>
      <c r="R441" s="92"/>
    </row>
    <row r="442" spans="1:18" x14ac:dyDescent="0.25">
      <c r="A442" s="326">
        <v>42177</v>
      </c>
      <c r="B442" s="326" t="s">
        <v>805</v>
      </c>
      <c r="C442" s="264" t="s">
        <v>426</v>
      </c>
      <c r="D442" s="157" t="s">
        <v>512</v>
      </c>
      <c r="E442" s="44">
        <f t="shared" si="35"/>
        <v>42177</v>
      </c>
      <c r="F442" s="146" t="str">
        <f t="shared" si="31"/>
        <v>2014-15</v>
      </c>
      <c r="G442" s="1"/>
      <c r="H442" s="161"/>
      <c r="I442" s="37"/>
      <c r="J442" s="135">
        <f t="shared" si="34"/>
        <v>0.9161881535038825</v>
      </c>
      <c r="K442" s="112"/>
      <c r="L442" s="37">
        <v>3.9886992867300002</v>
      </c>
      <c r="M442" s="37" t="s">
        <v>509</v>
      </c>
      <c r="N442" s="37">
        <v>812.22926829268283</v>
      </c>
      <c r="O442" s="130">
        <f t="shared" si="32"/>
        <v>3239.7383031002541</v>
      </c>
      <c r="P442" s="132">
        <f t="shared" si="33"/>
        <v>1231.3923721025685</v>
      </c>
      <c r="Q442" s="262">
        <v>0.4148602803624229</v>
      </c>
      <c r="R442" s="92"/>
    </row>
    <row r="443" spans="1:18" x14ac:dyDescent="0.25">
      <c r="A443" s="326">
        <v>42177</v>
      </c>
      <c r="B443" s="326" t="s">
        <v>805</v>
      </c>
      <c r="C443" s="264" t="s">
        <v>426</v>
      </c>
      <c r="D443" s="157" t="s">
        <v>512</v>
      </c>
      <c r="E443" s="44">
        <f t="shared" si="35"/>
        <v>42177</v>
      </c>
      <c r="F443" s="146" t="str">
        <f t="shared" si="31"/>
        <v>2014-15</v>
      </c>
      <c r="G443" s="1"/>
      <c r="H443" s="161"/>
      <c r="I443" s="37"/>
      <c r="J443" s="135">
        <f t="shared" si="34"/>
        <v>0.9161881535038825</v>
      </c>
      <c r="K443" s="112"/>
      <c r="L443" s="37">
        <v>29.055391483000001</v>
      </c>
      <c r="M443" s="37" t="s">
        <v>509</v>
      </c>
      <c r="N443" s="37">
        <v>3336.4019512195118</v>
      </c>
      <c r="O443" s="130">
        <f t="shared" si="32"/>
        <v>96940.464837327992</v>
      </c>
      <c r="P443" s="132">
        <f t="shared" si="33"/>
        <v>36846.108475653928</v>
      </c>
      <c r="Q443" s="262">
        <v>0.4148602803624229</v>
      </c>
      <c r="R443" s="92"/>
    </row>
    <row r="444" spans="1:18" x14ac:dyDescent="0.25">
      <c r="A444" s="326">
        <v>42177</v>
      </c>
      <c r="B444" s="326" t="s">
        <v>805</v>
      </c>
      <c r="C444" s="264" t="s">
        <v>426</v>
      </c>
      <c r="D444" s="157" t="s">
        <v>512</v>
      </c>
      <c r="E444" s="44">
        <f t="shared" si="35"/>
        <v>42177</v>
      </c>
      <c r="F444" s="146" t="str">
        <f t="shared" si="31"/>
        <v>2014-15</v>
      </c>
      <c r="G444" s="1"/>
      <c r="H444" s="161"/>
      <c r="I444" s="37"/>
      <c r="J444" s="135">
        <f t="shared" si="34"/>
        <v>0.9161881535038825</v>
      </c>
      <c r="K444" s="112"/>
      <c r="L444" s="37">
        <v>109.564357574</v>
      </c>
      <c r="M444" s="37" t="s">
        <v>509</v>
      </c>
      <c r="N444" s="37">
        <v>3592.3639024390236</v>
      </c>
      <c r="O444" s="130">
        <f t="shared" si="32"/>
        <v>393595.04314275924</v>
      </c>
      <c r="P444" s="132">
        <f t="shared" si="33"/>
        <v>149601.56916364885</v>
      </c>
      <c r="Q444" s="262">
        <v>0.4148602803624229</v>
      </c>
      <c r="R444" s="92"/>
    </row>
    <row r="445" spans="1:18" x14ac:dyDescent="0.25">
      <c r="A445" s="326">
        <v>42177</v>
      </c>
      <c r="B445" s="326" t="s">
        <v>805</v>
      </c>
      <c r="C445" s="264" t="s">
        <v>426</v>
      </c>
      <c r="D445" s="157" t="s">
        <v>512</v>
      </c>
      <c r="E445" s="44">
        <f t="shared" si="35"/>
        <v>42177</v>
      </c>
      <c r="F445" s="146" t="str">
        <f t="shared" si="31"/>
        <v>2014-15</v>
      </c>
      <c r="G445" s="1"/>
      <c r="H445" s="161"/>
      <c r="I445" s="37"/>
      <c r="J445" s="135">
        <f t="shared" si="34"/>
        <v>0.9161881535038825</v>
      </c>
      <c r="K445" s="112"/>
      <c r="L445" s="37">
        <v>81.717001786699996</v>
      </c>
      <c r="M445" s="37" t="s">
        <v>509</v>
      </c>
      <c r="N445" s="37">
        <v>3592.3639024390236</v>
      </c>
      <c r="O445" s="130">
        <f t="shared" si="32"/>
        <v>293557.20743408625</v>
      </c>
      <c r="P445" s="132">
        <f t="shared" si="33"/>
        <v>111578.1807635958</v>
      </c>
      <c r="Q445" s="262">
        <v>0.4148602803624229</v>
      </c>
      <c r="R445" s="92"/>
    </row>
    <row r="446" spans="1:18" x14ac:dyDescent="0.25">
      <c r="A446" s="326">
        <v>42177</v>
      </c>
      <c r="B446" s="326" t="s">
        <v>805</v>
      </c>
      <c r="C446" s="264" t="s">
        <v>426</v>
      </c>
      <c r="D446" s="157" t="s">
        <v>512</v>
      </c>
      <c r="E446" s="44">
        <f t="shared" si="35"/>
        <v>42177</v>
      </c>
      <c r="F446" s="146" t="str">
        <f t="shared" si="31"/>
        <v>2014-15</v>
      </c>
      <c r="G446" s="1"/>
      <c r="H446" s="161"/>
      <c r="I446" s="37"/>
      <c r="J446" s="135">
        <f t="shared" si="34"/>
        <v>0.9161881535038825</v>
      </c>
      <c r="K446" s="112"/>
      <c r="L446" s="37">
        <v>67.872036966600007</v>
      </c>
      <c r="M446" s="37" t="s">
        <v>509</v>
      </c>
      <c r="N446" s="37">
        <v>950.87219512195099</v>
      </c>
      <c r="O446" s="130">
        <f t="shared" si="32"/>
        <v>64537.632777829152</v>
      </c>
      <c r="P446" s="132">
        <f t="shared" si="33"/>
        <v>24530.113632982619</v>
      </c>
      <c r="Q446" s="262">
        <v>0.4148602803624229</v>
      </c>
      <c r="R446" s="92"/>
    </row>
    <row r="447" spans="1:18" x14ac:dyDescent="0.25">
      <c r="A447" s="326">
        <v>42177</v>
      </c>
      <c r="B447" s="326" t="s">
        <v>805</v>
      </c>
      <c r="C447" s="264" t="s">
        <v>426</v>
      </c>
      <c r="D447" s="157" t="s">
        <v>512</v>
      </c>
      <c r="E447" s="44">
        <f t="shared" si="35"/>
        <v>42177</v>
      </c>
      <c r="F447" s="146" t="str">
        <f t="shared" si="31"/>
        <v>2014-15</v>
      </c>
      <c r="G447" s="1"/>
      <c r="H447" s="161"/>
      <c r="I447" s="37"/>
      <c r="J447" s="135">
        <f t="shared" si="34"/>
        <v>0.9161881535038825</v>
      </c>
      <c r="K447" s="112"/>
      <c r="L447" s="37">
        <v>36.129828078700001</v>
      </c>
      <c r="M447" s="37" t="s">
        <v>509</v>
      </c>
      <c r="N447" s="37">
        <v>950.87219512195099</v>
      </c>
      <c r="O447" s="130">
        <f t="shared" si="32"/>
        <v>34354.848934572168</v>
      </c>
      <c r="P447" s="132">
        <f t="shared" si="33"/>
        <v>13057.937081610973</v>
      </c>
      <c r="Q447" s="262">
        <v>0.4148602803624229</v>
      </c>
      <c r="R447" s="92"/>
    </row>
    <row r="448" spans="1:18" x14ac:dyDescent="0.25">
      <c r="A448" s="326">
        <v>42177</v>
      </c>
      <c r="B448" s="326" t="s">
        <v>805</v>
      </c>
      <c r="C448" s="264" t="s">
        <v>426</v>
      </c>
      <c r="D448" s="157" t="s">
        <v>512</v>
      </c>
      <c r="E448" s="44">
        <f t="shared" si="35"/>
        <v>42177</v>
      </c>
      <c r="F448" s="146" t="str">
        <f t="shared" si="31"/>
        <v>2014-15</v>
      </c>
      <c r="G448" s="1"/>
      <c r="H448" s="161"/>
      <c r="I448" s="37"/>
      <c r="J448" s="135">
        <f t="shared" si="34"/>
        <v>0.9161881535038825</v>
      </c>
      <c r="K448" s="112"/>
      <c r="L448" s="37">
        <v>19.535500121599998</v>
      </c>
      <c r="M448" s="37" t="s">
        <v>509</v>
      </c>
      <c r="N448" s="37">
        <v>812.22926829268283</v>
      </c>
      <c r="O448" s="130">
        <f t="shared" si="32"/>
        <v>15867.304969498784</v>
      </c>
      <c r="P448" s="132">
        <f t="shared" si="33"/>
        <v>6031.0051236448116</v>
      </c>
      <c r="Q448" s="262">
        <v>0.4148602803624229</v>
      </c>
      <c r="R448" s="92"/>
    </row>
    <row r="449" spans="1:18" x14ac:dyDescent="0.25">
      <c r="A449" s="326">
        <v>42177</v>
      </c>
      <c r="B449" s="326" t="s">
        <v>805</v>
      </c>
      <c r="C449" s="264" t="s">
        <v>426</v>
      </c>
      <c r="D449" s="157" t="s">
        <v>512</v>
      </c>
      <c r="E449" s="44">
        <f t="shared" si="35"/>
        <v>42177</v>
      </c>
      <c r="F449" s="146" t="str">
        <f t="shared" si="31"/>
        <v>2014-15</v>
      </c>
      <c r="G449" s="1"/>
      <c r="H449" s="161"/>
      <c r="I449" s="37"/>
      <c r="J449" s="135">
        <f t="shared" si="34"/>
        <v>0.9161881535038825</v>
      </c>
      <c r="K449" s="112"/>
      <c r="L449" s="37">
        <v>45.237792441700002</v>
      </c>
      <c r="M449" s="37" t="s">
        <v>509</v>
      </c>
      <c r="N449" s="37">
        <v>812.22926829268283</v>
      </c>
      <c r="O449" s="130">
        <f t="shared" si="32"/>
        <v>36743.459054098254</v>
      </c>
      <c r="P449" s="132">
        <f t="shared" si="33"/>
        <v>13965.824079241847</v>
      </c>
      <c r="Q449" s="262">
        <v>0.4148602803624229</v>
      </c>
      <c r="R449" s="92"/>
    </row>
    <row r="450" spans="1:18" x14ac:dyDescent="0.25">
      <c r="A450" s="326">
        <v>42177</v>
      </c>
      <c r="B450" s="326" t="s">
        <v>805</v>
      </c>
      <c r="C450" s="264" t="s">
        <v>426</v>
      </c>
      <c r="D450" s="157" t="s">
        <v>512</v>
      </c>
      <c r="E450" s="44">
        <f t="shared" si="35"/>
        <v>42177</v>
      </c>
      <c r="F450" s="146" t="str">
        <f t="shared" si="31"/>
        <v>2014-15</v>
      </c>
      <c r="G450" s="1"/>
      <c r="H450" s="161"/>
      <c r="I450" s="37"/>
      <c r="J450" s="135">
        <f t="shared" si="34"/>
        <v>0.9161881535038825</v>
      </c>
      <c r="K450" s="112"/>
      <c r="L450" s="37">
        <v>17.4226194644</v>
      </c>
      <c r="M450" s="37" t="s">
        <v>509</v>
      </c>
      <c r="N450" s="37">
        <v>812.22926829268283</v>
      </c>
      <c r="O450" s="130">
        <f t="shared" si="32"/>
        <v>14151.161459311466</v>
      </c>
      <c r="P450" s="132">
        <f t="shared" si="33"/>
        <v>5378.7160094729279</v>
      </c>
      <c r="Q450" s="262">
        <v>0.4148602803624229</v>
      </c>
      <c r="R450" s="92"/>
    </row>
    <row r="451" spans="1:18" x14ac:dyDescent="0.25">
      <c r="A451" s="326">
        <v>42177</v>
      </c>
      <c r="B451" s="326" t="s">
        <v>805</v>
      </c>
      <c r="C451" s="264" t="s">
        <v>426</v>
      </c>
      <c r="D451" s="157" t="s">
        <v>512</v>
      </c>
      <c r="E451" s="44">
        <f t="shared" si="35"/>
        <v>42177</v>
      </c>
      <c r="F451" s="146" t="str">
        <f t="shared" si="31"/>
        <v>2014-15</v>
      </c>
      <c r="G451" s="1"/>
      <c r="H451" s="161"/>
      <c r="I451" s="37"/>
      <c r="J451" s="135">
        <f t="shared" si="34"/>
        <v>0.9161881535038825</v>
      </c>
      <c r="K451" s="112"/>
      <c r="L451" s="37">
        <v>20.329643514899999</v>
      </c>
      <c r="M451" s="37" t="s">
        <v>509</v>
      </c>
      <c r="N451" s="37">
        <v>3336.4019512195118</v>
      </c>
      <c r="O451" s="130">
        <f t="shared" si="32"/>
        <v>67827.862290709454</v>
      </c>
      <c r="P451" s="132">
        <f t="shared" si="33"/>
        <v>25780.697212758314</v>
      </c>
      <c r="Q451" s="262">
        <v>0.4148602803624229</v>
      </c>
      <c r="R451" s="92"/>
    </row>
    <row r="452" spans="1:18" x14ac:dyDescent="0.25">
      <c r="A452" s="326">
        <v>42177</v>
      </c>
      <c r="B452" s="326" t="s">
        <v>805</v>
      </c>
      <c r="C452" s="264" t="s">
        <v>426</v>
      </c>
      <c r="D452" s="157" t="s">
        <v>512</v>
      </c>
      <c r="E452" s="44">
        <f t="shared" si="35"/>
        <v>42177</v>
      </c>
      <c r="F452" s="146" t="str">
        <f t="shared" si="31"/>
        <v>2014-15</v>
      </c>
      <c r="G452" s="1"/>
      <c r="H452" s="161"/>
      <c r="I452" s="37"/>
      <c r="J452" s="135">
        <f t="shared" si="34"/>
        <v>0.9161881535038825</v>
      </c>
      <c r="K452" s="112"/>
      <c r="L452" s="37">
        <v>33.733773951300002</v>
      </c>
      <c r="M452" s="37" t="s">
        <v>509</v>
      </c>
      <c r="N452" s="37">
        <v>812.22926829268283</v>
      </c>
      <c r="O452" s="130">
        <f t="shared" si="32"/>
        <v>27399.558533215164</v>
      </c>
      <c r="P452" s="132">
        <f t="shared" si="33"/>
        <v>10414.300236686406</v>
      </c>
      <c r="Q452" s="262">
        <v>0.4148602803624229</v>
      </c>
      <c r="R452" s="92"/>
    </row>
    <row r="453" spans="1:18" x14ac:dyDescent="0.25">
      <c r="A453" s="326">
        <v>42177</v>
      </c>
      <c r="B453" s="326" t="s">
        <v>805</v>
      </c>
      <c r="C453" s="264" t="s">
        <v>426</v>
      </c>
      <c r="D453" s="157" t="s">
        <v>512</v>
      </c>
      <c r="E453" s="44">
        <f t="shared" si="35"/>
        <v>42177</v>
      </c>
      <c r="F453" s="146" t="str">
        <f t="shared" si="31"/>
        <v>2014-15</v>
      </c>
      <c r="G453" s="1"/>
      <c r="H453" s="161"/>
      <c r="I453" s="37"/>
      <c r="J453" s="135">
        <f t="shared" si="34"/>
        <v>0.9161881535038825</v>
      </c>
      <c r="K453" s="112"/>
      <c r="L453" s="37">
        <v>24.872660602</v>
      </c>
      <c r="M453" s="37" t="s">
        <v>509</v>
      </c>
      <c r="N453" s="37">
        <v>812.22926829268283</v>
      </c>
      <c r="O453" s="130">
        <f t="shared" si="32"/>
        <v>20202.302921254701</v>
      </c>
      <c r="P453" s="132">
        <f t="shared" si="33"/>
        <v>7678.6948169031339</v>
      </c>
      <c r="Q453" s="262">
        <v>0.4148602803624229</v>
      </c>
      <c r="R453" s="92"/>
    </row>
    <row r="454" spans="1:18" x14ac:dyDescent="0.25">
      <c r="A454" s="326">
        <v>42177</v>
      </c>
      <c r="B454" s="326" t="s">
        <v>805</v>
      </c>
      <c r="C454" s="264" t="s">
        <v>426</v>
      </c>
      <c r="D454" s="157" t="s">
        <v>512</v>
      </c>
      <c r="E454" s="44">
        <f t="shared" si="35"/>
        <v>42177</v>
      </c>
      <c r="F454" s="146" t="str">
        <f t="shared" si="31"/>
        <v>2014-15</v>
      </c>
      <c r="G454" s="1"/>
      <c r="H454" s="161"/>
      <c r="I454" s="37"/>
      <c r="J454" s="135">
        <f t="shared" si="34"/>
        <v>0.9161881535038825</v>
      </c>
      <c r="K454" s="112"/>
      <c r="L454" s="37">
        <v>2.5681328153399998</v>
      </c>
      <c r="M454" s="37" t="s">
        <v>509</v>
      </c>
      <c r="N454" s="37">
        <v>812.22926829268283</v>
      </c>
      <c r="O454" s="130">
        <f t="shared" si="32"/>
        <v>2085.9126374820357</v>
      </c>
      <c r="P454" s="132">
        <f t="shared" si="33"/>
        <v>792.8346892123169</v>
      </c>
      <c r="Q454" s="262">
        <v>0.4148602803624229</v>
      </c>
      <c r="R454" s="92"/>
    </row>
    <row r="455" spans="1:18" x14ac:dyDescent="0.25">
      <c r="A455" s="326">
        <v>42177</v>
      </c>
      <c r="B455" s="326" t="s">
        <v>805</v>
      </c>
      <c r="C455" s="264" t="s">
        <v>426</v>
      </c>
      <c r="D455" s="157" t="s">
        <v>512</v>
      </c>
      <c r="E455" s="44">
        <f t="shared" si="35"/>
        <v>42177</v>
      </c>
      <c r="F455" s="146" t="str">
        <f t="shared" si="31"/>
        <v>2014-15</v>
      </c>
      <c r="G455" s="1"/>
      <c r="H455" s="161"/>
      <c r="I455" s="37"/>
      <c r="J455" s="135">
        <f t="shared" si="34"/>
        <v>0.9161881535038825</v>
      </c>
      <c r="K455" s="112"/>
      <c r="L455" s="37">
        <v>31.992960413799999</v>
      </c>
      <c r="M455" s="37" t="s">
        <v>509</v>
      </c>
      <c r="N455" s="37">
        <v>3336.4019512195118</v>
      </c>
      <c r="O455" s="130">
        <f t="shared" si="32"/>
        <v>106741.37554989092</v>
      </c>
      <c r="P455" s="132">
        <f t="shared" si="33"/>
        <v>40571.337355887612</v>
      </c>
      <c r="Q455" s="262">
        <v>0.4148602803624229</v>
      </c>
      <c r="R455" s="92"/>
    </row>
    <row r="456" spans="1:18" x14ac:dyDescent="0.25">
      <c r="A456" s="326">
        <v>42340</v>
      </c>
      <c r="B456" s="326" t="s">
        <v>805</v>
      </c>
      <c r="C456" s="264" t="s">
        <v>427</v>
      </c>
      <c r="D456" s="157" t="s">
        <v>512</v>
      </c>
      <c r="E456" s="44">
        <f t="shared" si="35"/>
        <v>42340</v>
      </c>
      <c r="F456" s="146" t="str">
        <f t="shared" si="31"/>
        <v>2015-16</v>
      </c>
      <c r="G456" s="1"/>
      <c r="H456" s="161"/>
      <c r="I456" s="37"/>
      <c r="J456" s="135">
        <f t="shared" si="34"/>
        <v>0.9161881535038825</v>
      </c>
      <c r="K456" s="112"/>
      <c r="L456" s="37">
        <v>13.2939156008</v>
      </c>
      <c r="M456" s="37" t="s">
        <v>509</v>
      </c>
      <c r="N456" s="37">
        <v>1162.6195121951216</v>
      </c>
      <c r="O456" s="130">
        <f t="shared" si="32"/>
        <v>15455.765670965213</v>
      </c>
      <c r="P456" s="132">
        <f t="shared" si="33"/>
        <v>14160.389411070313</v>
      </c>
      <c r="Q456" s="262">
        <v>1</v>
      </c>
      <c r="R456" s="92"/>
    </row>
    <row r="457" spans="1:18" x14ac:dyDescent="0.25">
      <c r="A457" s="326">
        <v>42340</v>
      </c>
      <c r="B457" s="326" t="s">
        <v>805</v>
      </c>
      <c r="C457" s="264" t="s">
        <v>427</v>
      </c>
      <c r="D457" s="157" t="s">
        <v>512</v>
      </c>
      <c r="E457" s="44">
        <f t="shared" si="35"/>
        <v>42340</v>
      </c>
      <c r="F457" s="146" t="str">
        <f t="shared" si="31"/>
        <v>2015-16</v>
      </c>
      <c r="G457" s="1"/>
      <c r="H457" s="161"/>
      <c r="I457" s="37"/>
      <c r="J457" s="135">
        <f t="shared" si="34"/>
        <v>0.9161881535038825</v>
      </c>
      <c r="K457" s="112"/>
      <c r="L457" s="37">
        <v>6.8657129473699996</v>
      </c>
      <c r="M457" s="37" t="s">
        <v>509</v>
      </c>
      <c r="N457" s="37">
        <v>1162.6195121951216</v>
      </c>
      <c r="O457" s="130">
        <f t="shared" si="32"/>
        <v>7982.2118377430397</v>
      </c>
      <c r="P457" s="132">
        <f t="shared" si="33"/>
        <v>7313.207924498628</v>
      </c>
      <c r="Q457" s="262">
        <v>1</v>
      </c>
      <c r="R457" s="92"/>
    </row>
    <row r="458" spans="1:18" x14ac:dyDescent="0.25">
      <c r="A458" s="326">
        <v>42340</v>
      </c>
      <c r="B458" s="326" t="s">
        <v>805</v>
      </c>
      <c r="C458" s="264" t="s">
        <v>427</v>
      </c>
      <c r="D458" s="157" t="s">
        <v>512</v>
      </c>
      <c r="E458" s="44">
        <f t="shared" si="35"/>
        <v>42340</v>
      </c>
      <c r="F458" s="146" t="str">
        <f t="shared" si="31"/>
        <v>2015-16</v>
      </c>
      <c r="G458" s="1"/>
      <c r="H458" s="161"/>
      <c r="I458" s="37"/>
      <c r="J458" s="135">
        <f t="shared" si="34"/>
        <v>0.9161881535038825</v>
      </c>
      <c r="K458" s="112"/>
      <c r="L458" s="37">
        <v>3.1233014583899998</v>
      </c>
      <c r="M458" s="37" t="s">
        <v>509</v>
      </c>
      <c r="N458" s="37">
        <v>1162.6195121951216</v>
      </c>
      <c r="O458" s="130">
        <f t="shared" si="32"/>
        <v>3631.2112179916935</v>
      </c>
      <c r="P458" s="132">
        <f t="shared" si="33"/>
        <v>3326.8727007943939</v>
      </c>
      <c r="Q458" s="262">
        <v>1</v>
      </c>
      <c r="R458" s="92"/>
    </row>
    <row r="459" spans="1:18" x14ac:dyDescent="0.25">
      <c r="A459" s="326">
        <v>42340</v>
      </c>
      <c r="B459" s="326" t="s">
        <v>805</v>
      </c>
      <c r="C459" s="264" t="s">
        <v>427</v>
      </c>
      <c r="D459" s="157" t="s">
        <v>512</v>
      </c>
      <c r="E459" s="44">
        <f t="shared" si="35"/>
        <v>42340</v>
      </c>
      <c r="F459" s="146" t="str">
        <f t="shared" si="31"/>
        <v>2015-16</v>
      </c>
      <c r="G459" s="1"/>
      <c r="H459" s="161"/>
      <c r="I459" s="37"/>
      <c r="J459" s="135">
        <f t="shared" si="34"/>
        <v>0.9161881535038825</v>
      </c>
      <c r="K459" s="112"/>
      <c r="L459" s="37">
        <v>3.4471069028999999</v>
      </c>
      <c r="M459" s="37" t="s">
        <v>509</v>
      </c>
      <c r="N459" s="37">
        <v>1162.6195121951216</v>
      </c>
      <c r="O459" s="130">
        <f t="shared" si="32"/>
        <v>4007.6737459340343</v>
      </c>
      <c r="P459" s="132">
        <f t="shared" si="33"/>
        <v>3671.7832091332907</v>
      </c>
      <c r="Q459" s="262">
        <v>1</v>
      </c>
      <c r="R459" s="92"/>
    </row>
    <row r="460" spans="1:18" x14ac:dyDescent="0.25">
      <c r="A460" s="326">
        <v>42534</v>
      </c>
      <c r="B460" s="326" t="s">
        <v>805</v>
      </c>
      <c r="C460" s="264" t="s">
        <v>428</v>
      </c>
      <c r="D460" s="157" t="s">
        <v>512</v>
      </c>
      <c r="E460" s="44">
        <f t="shared" si="35"/>
        <v>42534</v>
      </c>
      <c r="F460" s="146" t="str">
        <f t="shared" si="31"/>
        <v>2015-16</v>
      </c>
      <c r="G460" s="1"/>
      <c r="H460" s="161"/>
      <c r="I460" s="37"/>
      <c r="J460" s="135">
        <f t="shared" si="34"/>
        <v>0.9161881535038825</v>
      </c>
      <c r="K460" s="112"/>
      <c r="L460" s="37">
        <v>94.888087989100001</v>
      </c>
      <c r="M460" s="37" t="s">
        <v>509</v>
      </c>
      <c r="N460" s="37">
        <v>812.22926829268283</v>
      </c>
      <c r="O460" s="130">
        <f t="shared" si="32"/>
        <v>77070.882277078403</v>
      </c>
      <c r="P460" s="132">
        <f t="shared" si="33"/>
        <v>31947.305032166714</v>
      </c>
      <c r="Q460" s="262">
        <v>0.45243815822396916</v>
      </c>
      <c r="R460" s="92"/>
    </row>
    <row r="461" spans="1:18" x14ac:dyDescent="0.25">
      <c r="A461" s="326">
        <v>42534</v>
      </c>
      <c r="B461" s="326" t="s">
        <v>805</v>
      </c>
      <c r="C461" s="264" t="s">
        <v>428</v>
      </c>
      <c r="D461" s="157" t="s">
        <v>512</v>
      </c>
      <c r="E461" s="44">
        <f t="shared" si="35"/>
        <v>42534</v>
      </c>
      <c r="F461" s="146" t="str">
        <f t="shared" si="31"/>
        <v>2015-16</v>
      </c>
      <c r="G461" s="1"/>
      <c r="H461" s="161"/>
      <c r="I461" s="37"/>
      <c r="J461" s="135">
        <f t="shared" si="34"/>
        <v>0.9161881535038825</v>
      </c>
      <c r="K461" s="112"/>
      <c r="L461" s="37">
        <v>85.641258587199999</v>
      </c>
      <c r="M461" s="37" t="s">
        <v>509</v>
      </c>
      <c r="N461" s="37">
        <v>812.22926829268283</v>
      </c>
      <c r="O461" s="130">
        <f t="shared" si="32"/>
        <v>69560.3367979459</v>
      </c>
      <c r="P461" s="132">
        <f t="shared" si="33"/>
        <v>28834.045130493476</v>
      </c>
      <c r="Q461" s="262">
        <v>0.45243815822396916</v>
      </c>
      <c r="R461" s="92"/>
    </row>
    <row r="462" spans="1:18" x14ac:dyDescent="0.25">
      <c r="A462" s="326">
        <v>42534</v>
      </c>
      <c r="B462" s="326" t="s">
        <v>805</v>
      </c>
      <c r="C462" s="264" t="s">
        <v>428</v>
      </c>
      <c r="D462" s="157" t="s">
        <v>512</v>
      </c>
      <c r="E462" s="44">
        <f t="shared" si="35"/>
        <v>42534</v>
      </c>
      <c r="F462" s="146" t="str">
        <f t="shared" si="31"/>
        <v>2015-16</v>
      </c>
      <c r="G462" s="1"/>
      <c r="H462" s="161"/>
      <c r="I462" s="37"/>
      <c r="J462" s="135">
        <f t="shared" si="34"/>
        <v>0.9161881535038825</v>
      </c>
      <c r="K462" s="112"/>
      <c r="L462" s="37">
        <v>49.245551499500003</v>
      </c>
      <c r="M462" s="37" t="s">
        <v>509</v>
      </c>
      <c r="N462" s="37">
        <v>812.22926829268283</v>
      </c>
      <c r="O462" s="130">
        <f t="shared" si="32"/>
        <v>39998.678261108515</v>
      </c>
      <c r="P462" s="132">
        <f t="shared" si="33"/>
        <v>16580.191345119372</v>
      </c>
      <c r="Q462" s="262">
        <v>0.45243815822396916</v>
      </c>
      <c r="R462" s="92"/>
    </row>
    <row r="463" spans="1:18" x14ac:dyDescent="0.25">
      <c r="A463" s="326">
        <v>42534</v>
      </c>
      <c r="B463" s="326" t="s">
        <v>805</v>
      </c>
      <c r="C463" s="264" t="s">
        <v>428</v>
      </c>
      <c r="D463" s="157" t="s">
        <v>512</v>
      </c>
      <c r="E463" s="44">
        <f t="shared" si="35"/>
        <v>42534</v>
      </c>
      <c r="F463" s="146" t="str">
        <f t="shared" si="31"/>
        <v>2015-16</v>
      </c>
      <c r="G463" s="1"/>
      <c r="H463" s="161"/>
      <c r="I463" s="37"/>
      <c r="J463" s="135">
        <f t="shared" si="34"/>
        <v>0.9161881535038825</v>
      </c>
      <c r="K463" s="112"/>
      <c r="L463" s="37">
        <v>24.030673932700001</v>
      </c>
      <c r="M463" s="37" t="s">
        <v>509</v>
      </c>
      <c r="N463" s="37">
        <v>812.22926829268283</v>
      </c>
      <c r="O463" s="130">
        <f t="shared" si="32"/>
        <v>19518.416704936968</v>
      </c>
      <c r="P463" s="132">
        <f t="shared" si="33"/>
        <v>8090.7444393303958</v>
      </c>
      <c r="Q463" s="262">
        <v>0.45243815822396916</v>
      </c>
      <c r="R463" s="92"/>
    </row>
    <row r="464" spans="1:18" x14ac:dyDescent="0.25">
      <c r="A464" s="326">
        <v>42534</v>
      </c>
      <c r="B464" s="326" t="s">
        <v>805</v>
      </c>
      <c r="C464" s="264" t="s">
        <v>428</v>
      </c>
      <c r="D464" s="157" t="s">
        <v>512</v>
      </c>
      <c r="E464" s="44">
        <f t="shared" si="35"/>
        <v>42534</v>
      </c>
      <c r="F464" s="146" t="str">
        <f t="shared" si="31"/>
        <v>2015-16</v>
      </c>
      <c r="G464" s="1"/>
      <c r="H464" s="161"/>
      <c r="I464" s="37"/>
      <c r="J464" s="135">
        <f t="shared" si="34"/>
        <v>0.9161881535038825</v>
      </c>
      <c r="K464" s="112"/>
      <c r="L464" s="37">
        <v>28.755753667699999</v>
      </c>
      <c r="M464" s="37" t="s">
        <v>509</v>
      </c>
      <c r="N464" s="37">
        <v>812.22926829268283</v>
      </c>
      <c r="O464" s="130">
        <f t="shared" si="32"/>
        <v>23356.264760720602</v>
      </c>
      <c r="P464" s="132">
        <f t="shared" si="33"/>
        <v>9681.6033847935487</v>
      </c>
      <c r="Q464" s="262">
        <v>0.45243815822396916</v>
      </c>
      <c r="R464" s="92"/>
    </row>
    <row r="465" spans="1:18" x14ac:dyDescent="0.25">
      <c r="A465" s="326">
        <v>42534</v>
      </c>
      <c r="B465" s="326" t="s">
        <v>805</v>
      </c>
      <c r="C465" s="264" t="s">
        <v>428</v>
      </c>
      <c r="D465" s="157" t="s">
        <v>512</v>
      </c>
      <c r="E465" s="44">
        <f t="shared" si="35"/>
        <v>42534</v>
      </c>
      <c r="F465" s="146" t="str">
        <f t="shared" si="31"/>
        <v>2015-16</v>
      </c>
      <c r="G465" s="1"/>
      <c r="H465" s="161"/>
      <c r="I465" s="37"/>
      <c r="J465" s="135">
        <f t="shared" si="34"/>
        <v>0.9161881535038825</v>
      </c>
      <c r="K465" s="112"/>
      <c r="L465" s="37">
        <v>21.231748747200001</v>
      </c>
      <c r="M465" s="37" t="s">
        <v>509</v>
      </c>
      <c r="N465" s="37">
        <v>812.22926829268283</v>
      </c>
      <c r="O465" s="130">
        <f t="shared" si="32"/>
        <v>17245.047749512341</v>
      </c>
      <c r="P465" s="132">
        <f t="shared" si="33"/>
        <v>7148.3909937255694</v>
      </c>
      <c r="Q465" s="262">
        <v>0.45243815822396916</v>
      </c>
      <c r="R465" s="92"/>
    </row>
    <row r="466" spans="1:18" x14ac:dyDescent="0.25">
      <c r="A466" s="326">
        <v>42534</v>
      </c>
      <c r="B466" s="326" t="s">
        <v>805</v>
      </c>
      <c r="C466" s="264" t="s">
        <v>428</v>
      </c>
      <c r="D466" s="157" t="s">
        <v>512</v>
      </c>
      <c r="E466" s="44">
        <f t="shared" si="35"/>
        <v>42534</v>
      </c>
      <c r="F466" s="146" t="str">
        <f t="shared" si="31"/>
        <v>2015-16</v>
      </c>
      <c r="G466" s="1"/>
      <c r="H466" s="161"/>
      <c r="I466" s="37"/>
      <c r="J466" s="135">
        <f t="shared" si="34"/>
        <v>0.9161881535038825</v>
      </c>
      <c r="K466" s="112"/>
      <c r="L466" s="37">
        <v>43.9244470099</v>
      </c>
      <c r="M466" s="37" t="s">
        <v>509</v>
      </c>
      <c r="N466" s="37">
        <v>3336.4019512195118</v>
      </c>
      <c r="O466" s="130">
        <f t="shared" si="32"/>
        <v>146549.6107100684</v>
      </c>
      <c r="P466" s="132">
        <f t="shared" si="33"/>
        <v>60747.52198720153</v>
      </c>
      <c r="Q466" s="262">
        <v>0.45243815822396916</v>
      </c>
      <c r="R466" s="92"/>
    </row>
    <row r="467" spans="1:18" x14ac:dyDescent="0.25">
      <c r="A467" s="326">
        <v>42534</v>
      </c>
      <c r="B467" s="326" t="s">
        <v>805</v>
      </c>
      <c r="C467" s="264" t="s">
        <v>428</v>
      </c>
      <c r="D467" s="157" t="s">
        <v>512</v>
      </c>
      <c r="E467" s="44">
        <f t="shared" si="35"/>
        <v>42534</v>
      </c>
      <c r="F467" s="146" t="str">
        <f t="shared" si="31"/>
        <v>2015-16</v>
      </c>
      <c r="G467" s="1"/>
      <c r="H467" s="161"/>
      <c r="I467" s="37"/>
      <c r="J467" s="135">
        <f t="shared" si="34"/>
        <v>0.9161881535038825</v>
      </c>
      <c r="K467" s="112"/>
      <c r="L467" s="37">
        <v>28.1961053516</v>
      </c>
      <c r="M467" s="37" t="s">
        <v>509</v>
      </c>
      <c r="N467" s="37">
        <v>812.22926829268283</v>
      </c>
      <c r="O467" s="130">
        <f t="shared" si="32"/>
        <v>22901.702018433465</v>
      </c>
      <c r="P467" s="132">
        <f t="shared" si="33"/>
        <v>9493.1787274515318</v>
      </c>
      <c r="Q467" s="262">
        <v>0.45243815822396916</v>
      </c>
      <c r="R467" s="92"/>
    </row>
    <row r="468" spans="1:18" x14ac:dyDescent="0.25">
      <c r="A468" s="326">
        <v>42534</v>
      </c>
      <c r="B468" s="326" t="s">
        <v>805</v>
      </c>
      <c r="C468" s="264" t="s">
        <v>428</v>
      </c>
      <c r="D468" s="157" t="s">
        <v>512</v>
      </c>
      <c r="E468" s="44">
        <f t="shared" si="35"/>
        <v>42534</v>
      </c>
      <c r="F468" s="146" t="str">
        <f t="shared" si="31"/>
        <v>2015-16</v>
      </c>
      <c r="G468" s="1"/>
      <c r="H468" s="161"/>
      <c r="I468" s="37"/>
      <c r="J468" s="135">
        <f t="shared" si="34"/>
        <v>0.9161881535038825</v>
      </c>
      <c r="K468" s="112"/>
      <c r="L468" s="37">
        <v>52.667309414199998</v>
      </c>
      <c r="M468" s="37" t="s">
        <v>509</v>
      </c>
      <c r="N468" s="37">
        <v>812.22926829268283</v>
      </c>
      <c r="O468" s="130">
        <f t="shared" si="32"/>
        <v>42777.93018843999</v>
      </c>
      <c r="P468" s="132">
        <f t="shared" si="33"/>
        <v>17732.242631680325</v>
      </c>
      <c r="Q468" s="262">
        <v>0.45243815822396916</v>
      </c>
      <c r="R468" s="92"/>
    </row>
    <row r="469" spans="1:18" x14ac:dyDescent="0.25">
      <c r="A469" s="326">
        <v>42534</v>
      </c>
      <c r="B469" s="326" t="s">
        <v>805</v>
      </c>
      <c r="C469" s="264" t="s">
        <v>428</v>
      </c>
      <c r="D469" s="157" t="s">
        <v>512</v>
      </c>
      <c r="E469" s="44">
        <f t="shared" si="35"/>
        <v>42534</v>
      </c>
      <c r="F469" s="146" t="str">
        <f t="shared" si="31"/>
        <v>2015-16</v>
      </c>
      <c r="G469" s="1"/>
      <c r="H469" s="161"/>
      <c r="I469" s="37"/>
      <c r="J469" s="135">
        <f t="shared" si="34"/>
        <v>0.9161881535038825</v>
      </c>
      <c r="K469" s="112"/>
      <c r="L469" s="37">
        <v>25.8234298651</v>
      </c>
      <c r="M469" s="37" t="s">
        <v>509</v>
      </c>
      <c r="N469" s="37">
        <v>812.22926829268283</v>
      </c>
      <c r="O469" s="130">
        <f t="shared" si="32"/>
        <v>20974.545544137585</v>
      </c>
      <c r="P469" s="132">
        <f t="shared" si="33"/>
        <v>8694.3367535436228</v>
      </c>
      <c r="Q469" s="262">
        <v>0.45243815822396916</v>
      </c>
      <c r="R469" s="92"/>
    </row>
    <row r="470" spans="1:18" x14ac:dyDescent="0.25">
      <c r="A470" s="326">
        <v>42534</v>
      </c>
      <c r="B470" s="326" t="s">
        <v>805</v>
      </c>
      <c r="C470" s="264" t="s">
        <v>428</v>
      </c>
      <c r="D470" s="157" t="s">
        <v>512</v>
      </c>
      <c r="E470" s="44">
        <f t="shared" si="35"/>
        <v>42534</v>
      </c>
      <c r="F470" s="146" t="str">
        <f t="shared" si="31"/>
        <v>2015-16</v>
      </c>
      <c r="G470" s="1"/>
      <c r="H470" s="161"/>
      <c r="I470" s="37"/>
      <c r="J470" s="135">
        <f t="shared" si="34"/>
        <v>0.9161881535038825</v>
      </c>
      <c r="K470" s="112"/>
      <c r="L470" s="37">
        <v>25.1439413282</v>
      </c>
      <c r="M470" s="37" t="s">
        <v>509</v>
      </c>
      <c r="N470" s="37">
        <v>812.22926829268283</v>
      </c>
      <c r="O470" s="130">
        <f t="shared" si="32"/>
        <v>20422.645066998033</v>
      </c>
      <c r="P470" s="132">
        <f t="shared" si="33"/>
        <v>8465.5638062301659</v>
      </c>
      <c r="Q470" s="262">
        <v>0.45243815822396916</v>
      </c>
      <c r="R470" s="92"/>
    </row>
    <row r="471" spans="1:18" x14ac:dyDescent="0.25">
      <c r="A471" s="326">
        <v>42534</v>
      </c>
      <c r="B471" s="326" t="s">
        <v>805</v>
      </c>
      <c r="C471" s="264" t="s">
        <v>428</v>
      </c>
      <c r="D471" s="157" t="s">
        <v>512</v>
      </c>
      <c r="E471" s="44">
        <f t="shared" si="35"/>
        <v>42534</v>
      </c>
      <c r="F471" s="146" t="str">
        <f t="shared" si="31"/>
        <v>2015-16</v>
      </c>
      <c r="G471" s="1"/>
      <c r="H471" s="161"/>
      <c r="I471" s="37"/>
      <c r="J471" s="135">
        <f t="shared" si="34"/>
        <v>0.9161881535038825</v>
      </c>
      <c r="K471" s="112"/>
      <c r="L471" s="37">
        <v>105.06931298799999</v>
      </c>
      <c r="M471" s="37" t="s">
        <v>509</v>
      </c>
      <c r="N471" s="37">
        <v>812.22926829268283</v>
      </c>
      <c r="O471" s="130">
        <f t="shared" si="32"/>
        <v>85340.371208258104</v>
      </c>
      <c r="P471" s="132">
        <f t="shared" ref="P471:P538" si="36">IF(O471="-","-",IF(OR(E471&lt;$E$15,E471&gt;$E$16),0,O471*J471))*Q471</f>
        <v>35375.161020563719</v>
      </c>
      <c r="Q471" s="262">
        <v>0.45243815822396916</v>
      </c>
      <c r="R471" s="92"/>
    </row>
    <row r="472" spans="1:18" x14ac:dyDescent="0.25">
      <c r="A472" s="326">
        <v>42534</v>
      </c>
      <c r="B472" s="326" t="s">
        <v>805</v>
      </c>
      <c r="C472" s="264" t="s">
        <v>428</v>
      </c>
      <c r="D472" s="157" t="s">
        <v>512</v>
      </c>
      <c r="E472" s="44">
        <f t="shared" si="35"/>
        <v>42534</v>
      </c>
      <c r="F472" s="146" t="str">
        <f t="shared" ref="F472:F532" si="37">IF(E472="","-",IF(OR(E472&lt;$E$15,E472&gt;$E$16),"ERROR - date outside of range",IF(MONTH(E472)&gt;=7,YEAR(E472)&amp;"-"&amp;IF(YEAR(E472)=1999,"00",IF(AND(YEAR(E472)&gt;=2000,YEAR(E472)&lt;2009),"0","")&amp;RIGHT(YEAR(E472),2)+1),RIGHT(YEAR(E472),4)-1&amp;"-"&amp;RIGHT(YEAR(E472),2))))</f>
        <v>2015-16</v>
      </c>
      <c r="G472" s="1"/>
      <c r="H472" s="161"/>
      <c r="I472" s="37"/>
      <c r="J472" s="135">
        <f t="shared" si="34"/>
        <v>0.9161881535038825</v>
      </c>
      <c r="K472" s="112"/>
      <c r="L472" s="37">
        <v>52.561923648799997</v>
      </c>
      <c r="M472" s="37" t="s">
        <v>509</v>
      </c>
      <c r="N472" s="37">
        <v>950.87219512195099</v>
      </c>
      <c r="O472" s="130">
        <f t="shared" ref="O472:O532" si="38">IF(N472="","-",L472*N472)</f>
        <v>49979.67171976684</v>
      </c>
      <c r="P472" s="132">
        <f t="shared" si="36"/>
        <v>20717.497590057115</v>
      </c>
      <c r="Q472" s="262">
        <v>0.45243815822396916</v>
      </c>
      <c r="R472" s="92"/>
    </row>
    <row r="473" spans="1:18" x14ac:dyDescent="0.25">
      <c r="A473" s="326">
        <v>42534</v>
      </c>
      <c r="B473" s="326" t="s">
        <v>805</v>
      </c>
      <c r="C473" s="264" t="s">
        <v>428</v>
      </c>
      <c r="D473" s="157" t="s">
        <v>512</v>
      </c>
      <c r="E473" s="44">
        <f t="shared" si="35"/>
        <v>42534</v>
      </c>
      <c r="F473" s="146" t="str">
        <f t="shared" si="37"/>
        <v>2015-16</v>
      </c>
      <c r="G473" s="1"/>
      <c r="H473" s="161"/>
      <c r="I473" s="37"/>
      <c r="J473" s="135">
        <f t="shared" ref="J473:J540" si="39">J472</f>
        <v>0.9161881535038825</v>
      </c>
      <c r="K473" s="112"/>
      <c r="L473" s="37">
        <v>22.0015190612</v>
      </c>
      <c r="M473" s="37" t="s">
        <v>509</v>
      </c>
      <c r="N473" s="37">
        <v>950.87219512195099</v>
      </c>
      <c r="O473" s="130">
        <f t="shared" si="38"/>
        <v>20920.632725740692</v>
      </c>
      <c r="P473" s="132">
        <f t="shared" si="36"/>
        <v>8671.9888939683642</v>
      </c>
      <c r="Q473" s="262">
        <v>0.45243815822396916</v>
      </c>
      <c r="R473" s="92"/>
    </row>
    <row r="474" spans="1:18" x14ac:dyDescent="0.25">
      <c r="A474" s="326">
        <v>42534</v>
      </c>
      <c r="B474" s="326" t="s">
        <v>805</v>
      </c>
      <c r="C474" s="264" t="s">
        <v>428</v>
      </c>
      <c r="D474" s="157" t="s">
        <v>512</v>
      </c>
      <c r="E474" s="44">
        <f t="shared" si="35"/>
        <v>42534</v>
      </c>
      <c r="F474" s="146" t="str">
        <f t="shared" si="37"/>
        <v>2015-16</v>
      </c>
      <c r="G474" s="1"/>
      <c r="H474" s="161"/>
      <c r="I474" s="37"/>
      <c r="J474" s="135">
        <f t="shared" si="39"/>
        <v>0.9161881535038825</v>
      </c>
      <c r="K474" s="112"/>
      <c r="L474" s="37">
        <v>4.8000626037599998</v>
      </c>
      <c r="M474" s="37" t="s">
        <v>509</v>
      </c>
      <c r="N474" s="37">
        <v>812.22926829268283</v>
      </c>
      <c r="O474" s="130">
        <f t="shared" si="38"/>
        <v>3898.7513364110546</v>
      </c>
      <c r="P474" s="132">
        <f t="shared" si="36"/>
        <v>1616.1044808220038</v>
      </c>
      <c r="Q474" s="262">
        <v>0.45243815822396916</v>
      </c>
      <c r="R474" s="92"/>
    </row>
    <row r="475" spans="1:18" x14ac:dyDescent="0.25">
      <c r="A475" s="326">
        <v>42534</v>
      </c>
      <c r="B475" s="326" t="s">
        <v>805</v>
      </c>
      <c r="C475" s="264" t="s">
        <v>428</v>
      </c>
      <c r="D475" s="157" t="s">
        <v>512</v>
      </c>
      <c r="E475" s="44">
        <f t="shared" si="35"/>
        <v>42534</v>
      </c>
      <c r="F475" s="146" t="str">
        <f t="shared" si="37"/>
        <v>2015-16</v>
      </c>
      <c r="G475" s="1"/>
      <c r="H475" s="161"/>
      <c r="I475" s="37"/>
      <c r="J475" s="135">
        <f t="shared" si="39"/>
        <v>0.9161881535038825</v>
      </c>
      <c r="K475" s="112"/>
      <c r="L475" s="37">
        <v>6.5279491419599998</v>
      </c>
      <c r="M475" s="37" t="s">
        <v>509</v>
      </c>
      <c r="N475" s="37">
        <v>812.22926829268283</v>
      </c>
      <c r="O475" s="130">
        <f t="shared" si="38"/>
        <v>5302.1913550260169</v>
      </c>
      <c r="P475" s="132">
        <f t="shared" si="36"/>
        <v>2197.8563051731389</v>
      </c>
      <c r="Q475" s="262">
        <v>0.45243815822396916</v>
      </c>
      <c r="R475" s="92"/>
    </row>
    <row r="476" spans="1:18" x14ac:dyDescent="0.25">
      <c r="A476" s="326">
        <v>42534</v>
      </c>
      <c r="B476" s="326" t="s">
        <v>805</v>
      </c>
      <c r="C476" s="264" t="s">
        <v>428</v>
      </c>
      <c r="D476" s="157" t="s">
        <v>512</v>
      </c>
      <c r="E476" s="44">
        <f t="shared" si="35"/>
        <v>42534</v>
      </c>
      <c r="F476" s="146" t="str">
        <f t="shared" si="37"/>
        <v>2015-16</v>
      </c>
      <c r="G476" s="1"/>
      <c r="H476" s="161"/>
      <c r="I476" s="37"/>
      <c r="J476" s="135">
        <f t="shared" si="39"/>
        <v>0.9161881535038825</v>
      </c>
      <c r="K476" s="112"/>
      <c r="L476" s="37">
        <v>24.973271520600001</v>
      </c>
      <c r="M476" s="37" t="s">
        <v>509</v>
      </c>
      <c r="N476" s="37">
        <v>3336.4019512195118</v>
      </c>
      <c r="O476" s="130">
        <f t="shared" si="38"/>
        <v>83320.871829664509</v>
      </c>
      <c r="P476" s="132">
        <f t="shared" si="36"/>
        <v>34538.041206257549</v>
      </c>
      <c r="Q476" s="262">
        <v>0.45243815822396916</v>
      </c>
      <c r="R476" s="92"/>
    </row>
    <row r="477" spans="1:18" x14ac:dyDescent="0.25">
      <c r="A477" s="326">
        <v>42534</v>
      </c>
      <c r="B477" s="326" t="s">
        <v>805</v>
      </c>
      <c r="C477" s="264" t="s">
        <v>428</v>
      </c>
      <c r="D477" s="157" t="s">
        <v>512</v>
      </c>
      <c r="E477" s="44">
        <f t="shared" si="35"/>
        <v>42534</v>
      </c>
      <c r="F477" s="146" t="str">
        <f t="shared" si="37"/>
        <v>2015-16</v>
      </c>
      <c r="G477" s="1"/>
      <c r="H477" s="161"/>
      <c r="I477" s="37"/>
      <c r="J477" s="135">
        <f t="shared" si="39"/>
        <v>0.9161881535038825</v>
      </c>
      <c r="K477" s="112"/>
      <c r="L477" s="37">
        <v>76.733130742200004</v>
      </c>
      <c r="M477" s="37" t="s">
        <v>509</v>
      </c>
      <c r="N477" s="37">
        <v>812.22926829268283</v>
      </c>
      <c r="O477" s="130">
        <f t="shared" si="38"/>
        <v>62324.894636543875</v>
      </c>
      <c r="P477" s="132">
        <f t="shared" si="36"/>
        <v>25834.820638137338</v>
      </c>
      <c r="Q477" s="262">
        <v>0.45243815822396916</v>
      </c>
      <c r="R477" s="92"/>
    </row>
    <row r="478" spans="1:18" x14ac:dyDescent="0.25">
      <c r="A478" s="326">
        <v>42534</v>
      </c>
      <c r="B478" s="326" t="s">
        <v>805</v>
      </c>
      <c r="C478" s="264" t="s">
        <v>428</v>
      </c>
      <c r="D478" s="157" t="s">
        <v>512</v>
      </c>
      <c r="E478" s="44">
        <f t="shared" si="35"/>
        <v>42534</v>
      </c>
      <c r="F478" s="146" t="str">
        <f t="shared" si="37"/>
        <v>2015-16</v>
      </c>
      <c r="G478" s="1"/>
      <c r="H478" s="161"/>
      <c r="I478" s="37"/>
      <c r="J478" s="135">
        <f t="shared" si="39"/>
        <v>0.9161881535038825</v>
      </c>
      <c r="K478" s="112"/>
      <c r="L478" s="37">
        <v>4.4796268817799998</v>
      </c>
      <c r="M478" s="37" t="s">
        <v>509</v>
      </c>
      <c r="N478" s="37">
        <v>812.22926829268283</v>
      </c>
      <c r="O478" s="130">
        <f t="shared" si="38"/>
        <v>3638.4840644124015</v>
      </c>
      <c r="P478" s="132">
        <f t="shared" si="36"/>
        <v>1508.2188866421152</v>
      </c>
      <c r="Q478" s="262">
        <v>0.45243815822396916</v>
      </c>
      <c r="R478" s="92"/>
    </row>
    <row r="479" spans="1:18" x14ac:dyDescent="0.25">
      <c r="A479" s="326">
        <v>42534</v>
      </c>
      <c r="B479" s="326" t="s">
        <v>805</v>
      </c>
      <c r="C479" s="264" t="s">
        <v>428</v>
      </c>
      <c r="D479" s="157" t="s">
        <v>512</v>
      </c>
      <c r="E479" s="44">
        <f t="shared" si="35"/>
        <v>42534</v>
      </c>
      <c r="F479" s="146" t="str">
        <f t="shared" si="37"/>
        <v>2015-16</v>
      </c>
      <c r="G479" s="1"/>
      <c r="H479" s="161"/>
      <c r="I479" s="37"/>
      <c r="J479" s="135">
        <f t="shared" si="39"/>
        <v>0.9161881535038825</v>
      </c>
      <c r="K479" s="112"/>
      <c r="L479" s="37">
        <v>45.795178149000002</v>
      </c>
      <c r="M479" s="37" t="s">
        <v>509</v>
      </c>
      <c r="N479" s="37">
        <v>812.22926829268283</v>
      </c>
      <c r="O479" s="130">
        <f t="shared" si="38"/>
        <v>37196.184039295331</v>
      </c>
      <c r="P479" s="132">
        <f t="shared" si="36"/>
        <v>15418.505697960532</v>
      </c>
      <c r="Q479" s="262">
        <v>0.45243815822396916</v>
      </c>
      <c r="R479" s="92"/>
    </row>
    <row r="480" spans="1:18" x14ac:dyDescent="0.25">
      <c r="A480" s="326">
        <v>42534</v>
      </c>
      <c r="B480" s="326" t="s">
        <v>805</v>
      </c>
      <c r="C480" s="264" t="s">
        <v>428</v>
      </c>
      <c r="D480" s="157" t="s">
        <v>512</v>
      </c>
      <c r="E480" s="44">
        <f t="shared" si="35"/>
        <v>42534</v>
      </c>
      <c r="F480" s="146" t="str">
        <f t="shared" si="37"/>
        <v>2015-16</v>
      </c>
      <c r="G480" s="1"/>
      <c r="H480" s="161"/>
      <c r="I480" s="37"/>
      <c r="J480" s="135">
        <f t="shared" si="39"/>
        <v>0.9161881535038825</v>
      </c>
      <c r="K480" s="112"/>
      <c r="L480" s="37">
        <v>23.674264319700001</v>
      </c>
      <c r="M480" s="37" t="s">
        <v>509</v>
      </c>
      <c r="N480" s="37">
        <v>3336.4019512195118</v>
      </c>
      <c r="O480" s="130">
        <f t="shared" si="38"/>
        <v>78986.861669933554</v>
      </c>
      <c r="P480" s="132">
        <f t="shared" si="36"/>
        <v>32741.513899256504</v>
      </c>
      <c r="Q480" s="262">
        <v>0.45243815822396916</v>
      </c>
      <c r="R480" s="92"/>
    </row>
    <row r="481" spans="1:18" x14ac:dyDescent="0.25">
      <c r="A481" s="326">
        <v>43406</v>
      </c>
      <c r="B481" s="326" t="s">
        <v>805</v>
      </c>
      <c r="C481" s="264" t="s">
        <v>429</v>
      </c>
      <c r="D481" s="157" t="s">
        <v>512</v>
      </c>
      <c r="E481" s="44">
        <f t="shared" si="35"/>
        <v>43406</v>
      </c>
      <c r="F481" s="146" t="str">
        <f t="shared" si="37"/>
        <v>2018-19</v>
      </c>
      <c r="G481" s="1"/>
      <c r="H481" s="161"/>
      <c r="I481" s="37"/>
      <c r="J481" s="135">
        <f t="shared" si="39"/>
        <v>0.9161881535038825</v>
      </c>
      <c r="K481" s="112"/>
      <c r="L481" s="37">
        <v>23.399784795399999</v>
      </c>
      <c r="M481" s="37" t="s">
        <v>509</v>
      </c>
      <c r="N481" s="37">
        <v>812.22926829268283</v>
      </c>
      <c r="O481" s="130">
        <f t="shared" si="38"/>
        <v>19005.990082573986</v>
      </c>
      <c r="P481" s="132">
        <f t="shared" si="36"/>
        <v>11288.173148082149</v>
      </c>
      <c r="Q481" s="262">
        <v>0.64825890622964844</v>
      </c>
      <c r="R481" s="92"/>
    </row>
    <row r="482" spans="1:18" x14ac:dyDescent="0.25">
      <c r="A482" s="326">
        <v>43406</v>
      </c>
      <c r="B482" s="326" t="s">
        <v>805</v>
      </c>
      <c r="C482" s="264" t="s">
        <v>429</v>
      </c>
      <c r="D482" s="157" t="s">
        <v>512</v>
      </c>
      <c r="E482" s="44">
        <f t="shared" si="35"/>
        <v>43406</v>
      </c>
      <c r="F482" s="146" t="str">
        <f t="shared" si="37"/>
        <v>2018-19</v>
      </c>
      <c r="G482" s="1"/>
      <c r="H482" s="161"/>
      <c r="I482" s="37"/>
      <c r="J482" s="135">
        <f t="shared" si="39"/>
        <v>0.9161881535038825</v>
      </c>
      <c r="K482" s="112"/>
      <c r="L482" s="37">
        <v>5.7115005444899998</v>
      </c>
      <c r="M482" s="37" t="s">
        <v>509</v>
      </c>
      <c r="N482" s="37">
        <v>812.22926829268283</v>
      </c>
      <c r="O482" s="130">
        <f t="shared" si="38"/>
        <v>4639.0479081043723</v>
      </c>
      <c r="P482" s="132">
        <f t="shared" si="36"/>
        <v>2755.2564113428411</v>
      </c>
      <c r="Q482" s="262">
        <v>0.64825890622964844</v>
      </c>
      <c r="R482" s="92"/>
    </row>
    <row r="483" spans="1:18" x14ac:dyDescent="0.25">
      <c r="A483" s="326">
        <v>43406</v>
      </c>
      <c r="B483" s="326" t="s">
        <v>805</v>
      </c>
      <c r="C483" s="264" t="s">
        <v>429</v>
      </c>
      <c r="D483" s="157" t="s">
        <v>512</v>
      </c>
      <c r="E483" s="44">
        <f t="shared" si="35"/>
        <v>43406</v>
      </c>
      <c r="F483" s="146" t="str">
        <f t="shared" si="37"/>
        <v>2018-19</v>
      </c>
      <c r="G483" s="1"/>
      <c r="H483" s="161"/>
      <c r="I483" s="37"/>
      <c r="J483" s="135">
        <f t="shared" si="39"/>
        <v>0.9161881535038825</v>
      </c>
      <c r="K483" s="112"/>
      <c r="L483" s="37">
        <v>34.433379053099998</v>
      </c>
      <c r="M483" s="37" t="s">
        <v>509</v>
      </c>
      <c r="N483" s="37">
        <v>3336.4019512195118</v>
      </c>
      <c r="O483" s="130">
        <f t="shared" si="38"/>
        <v>114883.5930598439</v>
      </c>
      <c r="P483" s="132">
        <f t="shared" si="36"/>
        <v>68232.482743550761</v>
      </c>
      <c r="Q483" s="262">
        <v>0.64825890622964844</v>
      </c>
      <c r="R483" s="92"/>
    </row>
    <row r="484" spans="1:18" x14ac:dyDescent="0.25">
      <c r="A484" s="326">
        <v>43406</v>
      </c>
      <c r="B484" s="326" t="s">
        <v>805</v>
      </c>
      <c r="C484" s="264" t="s">
        <v>429</v>
      </c>
      <c r="D484" s="157" t="s">
        <v>512</v>
      </c>
      <c r="E484" s="44">
        <f t="shared" si="35"/>
        <v>43406</v>
      </c>
      <c r="F484" s="146" t="str">
        <f t="shared" si="37"/>
        <v>2018-19</v>
      </c>
      <c r="G484" s="1"/>
      <c r="H484" s="161"/>
      <c r="I484" s="37"/>
      <c r="J484" s="135">
        <f t="shared" si="39"/>
        <v>0.9161881535038825</v>
      </c>
      <c r="K484" s="112"/>
      <c r="L484" s="37">
        <v>40.092167484100003</v>
      </c>
      <c r="M484" s="37" t="s">
        <v>509</v>
      </c>
      <c r="N484" s="37">
        <v>3336.4019512195118</v>
      </c>
      <c r="O484" s="130">
        <f t="shared" si="38"/>
        <v>133763.58582257072</v>
      </c>
      <c r="P484" s="132">
        <f t="shared" si="36"/>
        <v>79445.822665031723</v>
      </c>
      <c r="Q484" s="262">
        <v>0.64825890622964844</v>
      </c>
      <c r="R484" s="92"/>
    </row>
    <row r="485" spans="1:18" x14ac:dyDescent="0.25">
      <c r="A485" s="326">
        <v>43406</v>
      </c>
      <c r="B485" s="326" t="s">
        <v>805</v>
      </c>
      <c r="C485" s="264" t="s">
        <v>429</v>
      </c>
      <c r="D485" s="157" t="s">
        <v>512</v>
      </c>
      <c r="E485" s="44">
        <f t="shared" si="35"/>
        <v>43406</v>
      </c>
      <c r="F485" s="146" t="str">
        <f t="shared" si="37"/>
        <v>2018-19</v>
      </c>
      <c r="G485" s="1"/>
      <c r="H485" s="161"/>
      <c r="I485" s="37"/>
      <c r="J485" s="135">
        <f t="shared" si="39"/>
        <v>0.9161881535038825</v>
      </c>
      <c r="K485" s="112"/>
      <c r="L485" s="37">
        <v>5.75948001125</v>
      </c>
      <c r="M485" s="37" t="s">
        <v>509</v>
      </c>
      <c r="N485" s="37">
        <v>3336.4019512195118</v>
      </c>
      <c r="O485" s="130">
        <f t="shared" si="38"/>
        <v>19215.940347544274</v>
      </c>
      <c r="P485" s="132">
        <f t="shared" si="36"/>
        <v>11412.868306459783</v>
      </c>
      <c r="Q485" s="262">
        <v>0.64825890622964844</v>
      </c>
      <c r="R485" s="92"/>
    </row>
    <row r="486" spans="1:18" x14ac:dyDescent="0.25">
      <c r="A486" s="326">
        <v>43406</v>
      </c>
      <c r="B486" s="326" t="s">
        <v>805</v>
      </c>
      <c r="C486" s="264" t="s">
        <v>429</v>
      </c>
      <c r="D486" s="157" t="s">
        <v>512</v>
      </c>
      <c r="E486" s="44">
        <f t="shared" si="35"/>
        <v>43406</v>
      </c>
      <c r="F486" s="146" t="str">
        <f t="shared" si="37"/>
        <v>2018-19</v>
      </c>
      <c r="G486" s="1"/>
      <c r="H486" s="161"/>
      <c r="I486" s="37"/>
      <c r="J486" s="135">
        <f t="shared" si="39"/>
        <v>0.9161881535038825</v>
      </c>
      <c r="K486" s="112"/>
      <c r="L486" s="37">
        <v>20.802077065900001</v>
      </c>
      <c r="M486" s="37" t="s">
        <v>509</v>
      </c>
      <c r="N486" s="37">
        <v>3336.4019512195118</v>
      </c>
      <c r="O486" s="130">
        <f t="shared" si="38"/>
        <v>69404.090512087423</v>
      </c>
      <c r="P486" s="132">
        <f t="shared" si="36"/>
        <v>41220.972308300079</v>
      </c>
      <c r="Q486" s="262">
        <v>0.64825890622964844</v>
      </c>
      <c r="R486" s="92"/>
    </row>
    <row r="487" spans="1:18" x14ac:dyDescent="0.25">
      <c r="A487" s="326">
        <v>43406</v>
      </c>
      <c r="B487" s="326" t="s">
        <v>805</v>
      </c>
      <c r="C487" s="264" t="s">
        <v>429</v>
      </c>
      <c r="D487" s="157" t="s">
        <v>512</v>
      </c>
      <c r="E487" s="44">
        <f t="shared" si="35"/>
        <v>43406</v>
      </c>
      <c r="F487" s="146" t="str">
        <f t="shared" si="37"/>
        <v>2018-19</v>
      </c>
      <c r="G487" s="1"/>
      <c r="H487" s="161"/>
      <c r="I487" s="37"/>
      <c r="J487" s="135">
        <f t="shared" si="39"/>
        <v>0.9161881535038825</v>
      </c>
      <c r="K487" s="112"/>
      <c r="L487" s="37">
        <v>15.2949456032</v>
      </c>
      <c r="M487" s="37" t="s">
        <v>509</v>
      </c>
      <c r="N487" s="37">
        <v>812.22926829268283</v>
      </c>
      <c r="O487" s="130">
        <f t="shared" si="38"/>
        <v>12423.002475863523</v>
      </c>
      <c r="P487" s="132">
        <f t="shared" si="36"/>
        <v>7378.3582100874619</v>
      </c>
      <c r="Q487" s="262">
        <v>0.64825890622964844</v>
      </c>
      <c r="R487" s="92"/>
    </row>
    <row r="488" spans="1:18" x14ac:dyDescent="0.25">
      <c r="A488" s="326">
        <v>43406</v>
      </c>
      <c r="B488" s="326" t="s">
        <v>805</v>
      </c>
      <c r="C488" s="264" t="s">
        <v>429</v>
      </c>
      <c r="D488" s="157" t="s">
        <v>512</v>
      </c>
      <c r="E488" s="44">
        <f t="shared" si="35"/>
        <v>43406</v>
      </c>
      <c r="F488" s="146" t="str">
        <f t="shared" si="37"/>
        <v>2018-19</v>
      </c>
      <c r="G488" s="1"/>
      <c r="H488" s="161"/>
      <c r="I488" s="37"/>
      <c r="J488" s="135">
        <f t="shared" si="39"/>
        <v>0.9161881535038825</v>
      </c>
      <c r="K488" s="112"/>
      <c r="L488" s="37">
        <v>5.1702582140500004</v>
      </c>
      <c r="M488" s="37" t="s">
        <v>509</v>
      </c>
      <c r="N488" s="37">
        <v>812.22926829268283</v>
      </c>
      <c r="O488" s="130">
        <f t="shared" si="38"/>
        <v>4199.4350460820651</v>
      </c>
      <c r="P488" s="132">
        <f t="shared" si="36"/>
        <v>2494.1584057629243</v>
      </c>
      <c r="Q488" s="262">
        <v>0.64825890622964844</v>
      </c>
      <c r="R488" s="92"/>
    </row>
    <row r="489" spans="1:18" x14ac:dyDescent="0.25">
      <c r="A489" s="326">
        <v>43406</v>
      </c>
      <c r="B489" s="326" t="s">
        <v>805</v>
      </c>
      <c r="C489" s="264" t="s">
        <v>429</v>
      </c>
      <c r="D489" s="157" t="s">
        <v>512</v>
      </c>
      <c r="E489" s="44">
        <f t="shared" si="35"/>
        <v>43406</v>
      </c>
      <c r="F489" s="146" t="str">
        <f t="shared" si="37"/>
        <v>2018-19</v>
      </c>
      <c r="G489" s="1"/>
      <c r="H489" s="161"/>
      <c r="I489" s="37"/>
      <c r="J489" s="135">
        <f t="shared" si="39"/>
        <v>0.9161881535038825</v>
      </c>
      <c r="K489" s="112"/>
      <c r="L489" s="37">
        <v>24.181960676399999</v>
      </c>
      <c r="M489" s="37" t="s">
        <v>509</v>
      </c>
      <c r="N489" s="37">
        <v>3336.4019512195118</v>
      </c>
      <c r="O489" s="130">
        <f t="shared" si="38"/>
        <v>80680.74078505447</v>
      </c>
      <c r="P489" s="132">
        <f t="shared" si="36"/>
        <v>47918.480844218488</v>
      </c>
      <c r="Q489" s="262">
        <v>0.64825890622964844</v>
      </c>
      <c r="R489" s="92"/>
    </row>
    <row r="490" spans="1:18" x14ac:dyDescent="0.25">
      <c r="A490" s="326">
        <v>43406</v>
      </c>
      <c r="B490" s="326" t="s">
        <v>805</v>
      </c>
      <c r="C490" s="264" t="s">
        <v>429</v>
      </c>
      <c r="D490" s="157" t="s">
        <v>512</v>
      </c>
      <c r="E490" s="44">
        <f t="shared" si="35"/>
        <v>43406</v>
      </c>
      <c r="F490" s="146" t="str">
        <f t="shared" si="37"/>
        <v>2018-19</v>
      </c>
      <c r="G490" s="1"/>
      <c r="H490" s="161"/>
      <c r="I490" s="37"/>
      <c r="J490" s="135">
        <f t="shared" si="39"/>
        <v>0.9161881535038825</v>
      </c>
      <c r="K490" s="112"/>
      <c r="L490" s="37">
        <v>36.037591108599997</v>
      </c>
      <c r="M490" s="37" t="s">
        <v>509</v>
      </c>
      <c r="N490" s="37">
        <v>3336.4019512195118</v>
      </c>
      <c r="O490" s="130">
        <f t="shared" si="38"/>
        <v>120235.88929198396</v>
      </c>
      <c r="P490" s="132">
        <f t="shared" si="36"/>
        <v>71411.356685172985</v>
      </c>
      <c r="Q490" s="262">
        <v>0.64825890622964844</v>
      </c>
      <c r="R490" s="92"/>
    </row>
    <row r="491" spans="1:18" x14ac:dyDescent="0.25">
      <c r="A491" s="326">
        <v>43406</v>
      </c>
      <c r="B491" s="326" t="s">
        <v>805</v>
      </c>
      <c r="C491" s="264" t="s">
        <v>429</v>
      </c>
      <c r="D491" s="157" t="s">
        <v>512</v>
      </c>
      <c r="E491" s="44">
        <f t="shared" si="35"/>
        <v>43406</v>
      </c>
      <c r="F491" s="146" t="str">
        <f t="shared" si="37"/>
        <v>2018-19</v>
      </c>
      <c r="G491" s="1"/>
      <c r="H491" s="161"/>
      <c r="I491" s="37"/>
      <c r="J491" s="135">
        <f t="shared" si="39"/>
        <v>0.9161881535038825</v>
      </c>
      <c r="K491" s="112"/>
      <c r="L491" s="37">
        <v>12.3794010642</v>
      </c>
      <c r="M491" s="37" t="s">
        <v>509</v>
      </c>
      <c r="N491" s="37">
        <v>3336.4019512195118</v>
      </c>
      <c r="O491" s="130">
        <f t="shared" si="38"/>
        <v>41302.657865525784</v>
      </c>
      <c r="P491" s="132">
        <f t="shared" si="36"/>
        <v>24530.769059462236</v>
      </c>
      <c r="Q491" s="262">
        <v>0.64825890622964844</v>
      </c>
      <c r="R491" s="92"/>
    </row>
    <row r="492" spans="1:18" x14ac:dyDescent="0.25">
      <c r="C492" s="264"/>
      <c r="D492" s="157"/>
      <c r="E492" s="44"/>
      <c r="F492" s="146"/>
      <c r="G492" s="1"/>
      <c r="H492" s="161"/>
      <c r="I492" s="37"/>
      <c r="J492" s="135"/>
      <c r="K492" s="112"/>
      <c r="L492" s="37"/>
      <c r="M492" s="37"/>
      <c r="N492" s="37"/>
      <c r="O492" s="130"/>
      <c r="P492" s="132"/>
      <c r="Q492" s="262"/>
      <c r="R492" s="92"/>
    </row>
    <row r="493" spans="1:18" x14ac:dyDescent="0.25">
      <c r="A493" s="326">
        <v>44167</v>
      </c>
      <c r="B493" s="326" t="s">
        <v>805</v>
      </c>
      <c r="C493" s="264" t="s">
        <v>430</v>
      </c>
      <c r="D493" s="157" t="s">
        <v>512</v>
      </c>
      <c r="E493" s="44">
        <f t="shared" si="35"/>
        <v>44167</v>
      </c>
      <c r="F493" s="146" t="str">
        <f t="shared" si="37"/>
        <v>2020-21</v>
      </c>
      <c r="G493" s="1"/>
      <c r="H493" s="161"/>
      <c r="I493" s="37"/>
      <c r="J493" s="135">
        <f>J491</f>
        <v>0.9161881535038825</v>
      </c>
      <c r="K493" s="112"/>
      <c r="L493" s="37">
        <v>26.2124311388</v>
      </c>
      <c r="M493" s="37" t="s">
        <v>509</v>
      </c>
      <c r="N493" s="37">
        <v>812.22926829268283</v>
      </c>
      <c r="O493" s="130">
        <f t="shared" si="38"/>
        <v>21290.503764039859</v>
      </c>
      <c r="P493" s="132">
        <f t="shared" si="36"/>
        <v>809.06432553374748</v>
      </c>
      <c r="Q493" s="262">
        <v>4.1477487630686788E-2</v>
      </c>
      <c r="R493" s="92"/>
    </row>
    <row r="494" spans="1:18" x14ac:dyDescent="0.25">
      <c r="A494" s="326">
        <v>44167</v>
      </c>
      <c r="B494" s="326" t="s">
        <v>805</v>
      </c>
      <c r="C494" s="264" t="s">
        <v>430</v>
      </c>
      <c r="D494" s="157" t="s">
        <v>512</v>
      </c>
      <c r="E494" s="44">
        <f t="shared" si="35"/>
        <v>44167</v>
      </c>
      <c r="F494" s="146" t="str">
        <f t="shared" si="37"/>
        <v>2020-21</v>
      </c>
      <c r="G494" s="1"/>
      <c r="H494" s="161"/>
      <c r="I494" s="37"/>
      <c r="J494" s="135">
        <f t="shared" si="39"/>
        <v>0.9161881535038825</v>
      </c>
      <c r="K494" s="112"/>
      <c r="L494" s="37">
        <v>17.990151738000002</v>
      </c>
      <c r="M494" s="37" t="s">
        <v>509</v>
      </c>
      <c r="N494" s="37">
        <v>3336.4019512195118</v>
      </c>
      <c r="O494" s="130">
        <f t="shared" si="38"/>
        <v>60022.377361398299</v>
      </c>
      <c r="P494" s="132">
        <f t="shared" si="36"/>
        <v>2280.9213344615187</v>
      </c>
      <c r="Q494" s="262">
        <v>4.1477487630686788E-2</v>
      </c>
      <c r="R494" s="92"/>
    </row>
    <row r="495" spans="1:18" x14ac:dyDescent="0.25">
      <c r="A495" s="326">
        <v>44167</v>
      </c>
      <c r="B495" s="326" t="s">
        <v>805</v>
      </c>
      <c r="C495" s="264" t="s">
        <v>430</v>
      </c>
      <c r="D495" s="157" t="s">
        <v>512</v>
      </c>
      <c r="E495" s="44">
        <f t="shared" si="35"/>
        <v>44167</v>
      </c>
      <c r="F495" s="146" t="str">
        <f t="shared" si="37"/>
        <v>2020-21</v>
      </c>
      <c r="G495" s="1"/>
      <c r="H495" s="161"/>
      <c r="I495" s="37"/>
      <c r="J495" s="135">
        <f t="shared" si="39"/>
        <v>0.9161881535038825</v>
      </c>
      <c r="K495" s="112"/>
      <c r="L495" s="37">
        <v>120.447064895</v>
      </c>
      <c r="M495" s="37" t="s">
        <v>509</v>
      </c>
      <c r="N495" s="37">
        <v>812.22926829268283</v>
      </c>
      <c r="O495" s="130">
        <f t="shared" si="38"/>
        <v>97830.631387667134</v>
      </c>
      <c r="P495" s="132">
        <f t="shared" si="36"/>
        <v>3717.679707226649</v>
      </c>
      <c r="Q495" s="262">
        <v>4.1477487630686788E-2</v>
      </c>
      <c r="R495" s="92"/>
    </row>
    <row r="496" spans="1:18" x14ac:dyDescent="0.25">
      <c r="A496" s="326">
        <v>44167</v>
      </c>
      <c r="B496" s="326" t="s">
        <v>805</v>
      </c>
      <c r="C496" s="264" t="s">
        <v>430</v>
      </c>
      <c r="D496" s="157" t="s">
        <v>512</v>
      </c>
      <c r="E496" s="44">
        <f t="shared" si="35"/>
        <v>44167</v>
      </c>
      <c r="F496" s="146" t="str">
        <f t="shared" si="37"/>
        <v>2020-21</v>
      </c>
      <c r="G496" s="1"/>
      <c r="H496" s="161"/>
      <c r="I496" s="37"/>
      <c r="J496" s="135">
        <f t="shared" si="39"/>
        <v>0.9161881535038825</v>
      </c>
      <c r="K496" s="112"/>
      <c r="L496" s="37">
        <v>22.8063697965</v>
      </c>
      <c r="M496" s="37" t="s">
        <v>509</v>
      </c>
      <c r="N496" s="37">
        <v>812.22926829268283</v>
      </c>
      <c r="O496" s="130">
        <f t="shared" si="38"/>
        <v>18524.001052223539</v>
      </c>
      <c r="P496" s="132">
        <f t="shared" si="36"/>
        <v>703.93395025331574</v>
      </c>
      <c r="Q496" s="262">
        <v>4.1477487630686788E-2</v>
      </c>
      <c r="R496" s="92"/>
    </row>
    <row r="497" spans="1:18" x14ac:dyDescent="0.25">
      <c r="A497" s="326">
        <v>44167</v>
      </c>
      <c r="B497" s="326" t="s">
        <v>805</v>
      </c>
      <c r="C497" s="264" t="s">
        <v>430</v>
      </c>
      <c r="D497" s="157" t="s">
        <v>512</v>
      </c>
      <c r="E497" s="44">
        <f t="shared" si="35"/>
        <v>44167</v>
      </c>
      <c r="F497" s="146" t="str">
        <f t="shared" si="37"/>
        <v>2020-21</v>
      </c>
      <c r="G497" s="1"/>
      <c r="H497" s="161"/>
      <c r="I497" s="37"/>
      <c r="J497" s="135">
        <f t="shared" si="39"/>
        <v>0.9161881535038825</v>
      </c>
      <c r="K497" s="112"/>
      <c r="L497" s="37">
        <v>11.8753373056</v>
      </c>
      <c r="M497" s="37" t="s">
        <v>509</v>
      </c>
      <c r="N497" s="37">
        <v>812.22926829268283</v>
      </c>
      <c r="O497" s="130">
        <f t="shared" si="38"/>
        <v>9645.4965304562884</v>
      </c>
      <c r="P497" s="132">
        <f t="shared" si="36"/>
        <v>366.5402768924875</v>
      </c>
      <c r="Q497" s="262">
        <v>4.1477487630686788E-2</v>
      </c>
      <c r="R497" s="92"/>
    </row>
    <row r="498" spans="1:18" x14ac:dyDescent="0.25">
      <c r="A498" s="326">
        <v>44167</v>
      </c>
      <c r="B498" s="326" t="s">
        <v>805</v>
      </c>
      <c r="C498" s="264" t="s">
        <v>430</v>
      </c>
      <c r="D498" s="157" t="s">
        <v>512</v>
      </c>
      <c r="E498" s="44">
        <f t="shared" si="35"/>
        <v>44167</v>
      </c>
      <c r="F498" s="146" t="str">
        <f t="shared" si="37"/>
        <v>2020-21</v>
      </c>
      <c r="G498" s="1"/>
      <c r="H498" s="161"/>
      <c r="I498" s="37"/>
      <c r="J498" s="135">
        <f t="shared" si="39"/>
        <v>0.9161881535038825</v>
      </c>
      <c r="K498" s="112"/>
      <c r="L498" s="37">
        <v>14.461757327799999</v>
      </c>
      <c r="M498" s="37" t="s">
        <v>509</v>
      </c>
      <c r="N498" s="37">
        <v>812.22926829268283</v>
      </c>
      <c r="O498" s="130">
        <f t="shared" si="38"/>
        <v>11746.262572585338</v>
      </c>
      <c r="P498" s="132">
        <f t="shared" si="36"/>
        <v>446.3718712885813</v>
      </c>
      <c r="Q498" s="262">
        <v>4.1477487630686788E-2</v>
      </c>
      <c r="R498" s="92"/>
    </row>
    <row r="499" spans="1:18" x14ac:dyDescent="0.25">
      <c r="A499" s="326">
        <v>44167</v>
      </c>
      <c r="B499" s="326" t="s">
        <v>805</v>
      </c>
      <c r="C499" s="264" t="s">
        <v>430</v>
      </c>
      <c r="D499" s="157" t="s">
        <v>512</v>
      </c>
      <c r="E499" s="44">
        <f t="shared" si="35"/>
        <v>44167</v>
      </c>
      <c r="F499" s="146" t="str">
        <f t="shared" si="37"/>
        <v>2020-21</v>
      </c>
      <c r="G499" s="1"/>
      <c r="H499" s="161"/>
      <c r="I499" s="37"/>
      <c r="J499" s="135">
        <f t="shared" si="39"/>
        <v>0.9161881535038825</v>
      </c>
      <c r="K499" s="112"/>
      <c r="L499" s="37">
        <v>12.8178382744</v>
      </c>
      <c r="M499" s="37" t="s">
        <v>509</v>
      </c>
      <c r="N499" s="37">
        <v>812.22926829268283</v>
      </c>
      <c r="O499" s="130">
        <f t="shared" si="38"/>
        <v>10411.023402709856</v>
      </c>
      <c r="P499" s="132">
        <f t="shared" si="36"/>
        <v>395.63120350662922</v>
      </c>
      <c r="Q499" s="262">
        <v>4.1477487630686788E-2</v>
      </c>
      <c r="R499" s="92"/>
    </row>
    <row r="500" spans="1:18" x14ac:dyDescent="0.25">
      <c r="A500" s="326">
        <v>44167</v>
      </c>
      <c r="B500" s="326" t="s">
        <v>805</v>
      </c>
      <c r="C500" s="264" t="s">
        <v>430</v>
      </c>
      <c r="D500" s="157" t="s">
        <v>512</v>
      </c>
      <c r="E500" s="44">
        <f t="shared" si="35"/>
        <v>44167</v>
      </c>
      <c r="F500" s="146" t="str">
        <f t="shared" si="37"/>
        <v>2020-21</v>
      </c>
      <c r="G500" s="1"/>
      <c r="H500" s="161"/>
      <c r="I500" s="37"/>
      <c r="J500" s="135">
        <f t="shared" si="39"/>
        <v>0.9161881535038825</v>
      </c>
      <c r="K500" s="112"/>
      <c r="L500" s="37">
        <v>27.3060204758</v>
      </c>
      <c r="M500" s="37" t="s">
        <v>509</v>
      </c>
      <c r="N500" s="37">
        <v>3336.4019512195118</v>
      </c>
      <c r="O500" s="130">
        <f t="shared" si="38"/>
        <v>91103.859995499064</v>
      </c>
      <c r="P500" s="132">
        <f t="shared" si="36"/>
        <v>3462.0544378698714</v>
      </c>
      <c r="Q500" s="262">
        <v>4.1477487630686788E-2</v>
      </c>
      <c r="R500" s="92"/>
    </row>
    <row r="501" spans="1:18" x14ac:dyDescent="0.25">
      <c r="A501" s="326">
        <v>44167</v>
      </c>
      <c r="B501" s="326" t="s">
        <v>805</v>
      </c>
      <c r="C501" s="264" t="s">
        <v>430</v>
      </c>
      <c r="D501" s="157" t="s">
        <v>512</v>
      </c>
      <c r="E501" s="44">
        <f t="shared" si="35"/>
        <v>44167</v>
      </c>
      <c r="F501" s="146" t="str">
        <f t="shared" si="37"/>
        <v>2020-21</v>
      </c>
      <c r="G501" s="1"/>
      <c r="H501" s="161"/>
      <c r="I501" s="37"/>
      <c r="J501" s="135">
        <f t="shared" si="39"/>
        <v>0.9161881535038825</v>
      </c>
      <c r="K501" s="112"/>
      <c r="L501" s="37">
        <v>26.803776369400001</v>
      </c>
      <c r="M501" s="37" t="s">
        <v>509</v>
      </c>
      <c r="N501" s="37">
        <v>812.22926829268283</v>
      </c>
      <c r="O501" s="130">
        <f t="shared" si="38"/>
        <v>21770.811667998467</v>
      </c>
      <c r="P501" s="132">
        <f t="shared" si="36"/>
        <v>827.31659399444732</v>
      </c>
      <c r="Q501" s="262">
        <v>4.1477487630686788E-2</v>
      </c>
      <c r="R501" s="92"/>
    </row>
    <row r="502" spans="1:18" x14ac:dyDescent="0.25">
      <c r="A502" s="326">
        <v>44167</v>
      </c>
      <c r="B502" s="326" t="s">
        <v>805</v>
      </c>
      <c r="C502" s="264" t="s">
        <v>430</v>
      </c>
      <c r="D502" s="157" t="s">
        <v>512</v>
      </c>
      <c r="E502" s="44">
        <f t="shared" ref="E502:E532" si="40">A502</f>
        <v>44167</v>
      </c>
      <c r="F502" s="146" t="str">
        <f t="shared" si="37"/>
        <v>2020-21</v>
      </c>
      <c r="G502" s="1"/>
      <c r="H502" s="161"/>
      <c r="I502" s="37"/>
      <c r="J502" s="135">
        <f t="shared" si="39"/>
        <v>0.9161881535038825</v>
      </c>
      <c r="K502" s="112"/>
      <c r="L502" s="37">
        <v>4.6319849956599999</v>
      </c>
      <c r="M502" s="37" t="s">
        <v>509</v>
      </c>
      <c r="N502" s="37">
        <v>812.22926829268283</v>
      </c>
      <c r="O502" s="130">
        <f t="shared" si="38"/>
        <v>3762.2337837676073</v>
      </c>
      <c r="P502" s="132">
        <f t="shared" si="36"/>
        <v>142.96933376961306</v>
      </c>
      <c r="Q502" s="262">
        <v>4.1477487630686788E-2</v>
      </c>
      <c r="R502" s="92"/>
    </row>
    <row r="503" spans="1:18" x14ac:dyDescent="0.25">
      <c r="A503" s="326">
        <v>44167</v>
      </c>
      <c r="B503" s="326" t="s">
        <v>805</v>
      </c>
      <c r="C503" s="264" t="s">
        <v>430</v>
      </c>
      <c r="D503" s="157" t="s">
        <v>512</v>
      </c>
      <c r="E503" s="44">
        <f t="shared" si="40"/>
        <v>44167</v>
      </c>
      <c r="F503" s="146" t="str">
        <f t="shared" si="37"/>
        <v>2020-21</v>
      </c>
      <c r="G503" s="1"/>
      <c r="H503" s="161"/>
      <c r="I503" s="37"/>
      <c r="J503" s="135">
        <f t="shared" si="39"/>
        <v>0.9161881535038825</v>
      </c>
      <c r="K503" s="112"/>
      <c r="L503" s="37">
        <v>13.521696415499999</v>
      </c>
      <c r="M503" s="37" t="s">
        <v>509</v>
      </c>
      <c r="N503" s="37">
        <v>812.22926829268283</v>
      </c>
      <c r="O503" s="130">
        <f t="shared" si="38"/>
        <v>10982.717585637356</v>
      </c>
      <c r="P503" s="132">
        <f t="shared" si="36"/>
        <v>417.35625866023446</v>
      </c>
      <c r="Q503" s="262">
        <v>4.1477487630686788E-2</v>
      </c>
      <c r="R503" s="92"/>
    </row>
    <row r="504" spans="1:18" x14ac:dyDescent="0.25">
      <c r="A504" s="326">
        <v>44167</v>
      </c>
      <c r="B504" s="326" t="s">
        <v>805</v>
      </c>
      <c r="C504" s="264" t="s">
        <v>430</v>
      </c>
      <c r="D504" s="157" t="s">
        <v>512</v>
      </c>
      <c r="E504" s="44">
        <f t="shared" si="40"/>
        <v>44167</v>
      </c>
      <c r="F504" s="146" t="str">
        <f t="shared" si="37"/>
        <v>2020-21</v>
      </c>
      <c r="G504" s="1"/>
      <c r="H504" s="161"/>
      <c r="I504" s="37"/>
      <c r="J504" s="135">
        <f t="shared" si="39"/>
        <v>0.9161881535038825</v>
      </c>
      <c r="K504" s="112"/>
      <c r="L504" s="37">
        <v>26.828866933899999</v>
      </c>
      <c r="M504" s="37" t="s">
        <v>509</v>
      </c>
      <c r="N504" s="37">
        <v>812.22926829268283</v>
      </c>
      <c r="O504" s="130">
        <f t="shared" si="38"/>
        <v>21791.190958843348</v>
      </c>
      <c r="P504" s="132">
        <f t="shared" si="36"/>
        <v>828.09103115126641</v>
      </c>
      <c r="Q504" s="262">
        <v>4.1477487630686788E-2</v>
      </c>
      <c r="R504" s="92"/>
    </row>
    <row r="505" spans="1:18" x14ac:dyDescent="0.25">
      <c r="A505" s="326">
        <v>44167</v>
      </c>
      <c r="B505" s="326" t="s">
        <v>805</v>
      </c>
      <c r="C505" s="264" t="s">
        <v>430</v>
      </c>
      <c r="D505" s="157" t="s">
        <v>512</v>
      </c>
      <c r="E505" s="44">
        <f t="shared" si="40"/>
        <v>44167</v>
      </c>
      <c r="F505" s="146" t="str">
        <f t="shared" si="37"/>
        <v>2020-21</v>
      </c>
      <c r="G505" s="1"/>
      <c r="H505" s="161"/>
      <c r="I505" s="37"/>
      <c r="J505" s="135">
        <f t="shared" si="39"/>
        <v>0.9161881535038825</v>
      </c>
      <c r="K505" s="112"/>
      <c r="L505" s="37">
        <v>24.433748808600001</v>
      </c>
      <c r="M505" s="37" t="s">
        <v>509</v>
      </c>
      <c r="N505" s="37">
        <v>812.22926829268283</v>
      </c>
      <c r="O505" s="130">
        <f t="shared" si="38"/>
        <v>19845.805916456389</v>
      </c>
      <c r="P505" s="132">
        <f t="shared" si="36"/>
        <v>754.16409853069274</v>
      </c>
      <c r="Q505" s="262">
        <v>4.1477487630686788E-2</v>
      </c>
      <c r="R505" s="92"/>
    </row>
    <row r="506" spans="1:18" x14ac:dyDescent="0.25">
      <c r="A506" s="326">
        <v>44167</v>
      </c>
      <c r="B506" s="326" t="s">
        <v>805</v>
      </c>
      <c r="C506" s="264" t="s">
        <v>430</v>
      </c>
      <c r="D506" s="157" t="s">
        <v>512</v>
      </c>
      <c r="E506" s="44">
        <f t="shared" si="40"/>
        <v>44167</v>
      </c>
      <c r="F506" s="146" t="str">
        <f t="shared" si="37"/>
        <v>2020-21</v>
      </c>
      <c r="G506" s="1"/>
      <c r="H506" s="161"/>
      <c r="I506" s="37"/>
      <c r="J506" s="135">
        <f t="shared" si="39"/>
        <v>0.9161881535038825</v>
      </c>
      <c r="K506" s="112"/>
      <c r="L506" s="37">
        <v>23.9656911708</v>
      </c>
      <c r="M506" s="37" t="s">
        <v>509</v>
      </c>
      <c r="N506" s="37">
        <v>812.22926829268283</v>
      </c>
      <c r="O506" s="130">
        <f t="shared" si="38"/>
        <v>19465.635803787292</v>
      </c>
      <c r="P506" s="132">
        <f t="shared" si="36"/>
        <v>739.71718458240821</v>
      </c>
      <c r="Q506" s="262">
        <v>4.1477487630686788E-2</v>
      </c>
      <c r="R506" s="92"/>
    </row>
    <row r="507" spans="1:18" x14ac:dyDescent="0.25">
      <c r="A507" s="326">
        <v>44167</v>
      </c>
      <c r="B507" s="326" t="s">
        <v>805</v>
      </c>
      <c r="C507" s="264" t="s">
        <v>430</v>
      </c>
      <c r="D507" s="157" t="s">
        <v>512</v>
      </c>
      <c r="E507" s="44">
        <f t="shared" si="40"/>
        <v>44167</v>
      </c>
      <c r="F507" s="146" t="str">
        <f t="shared" si="37"/>
        <v>2020-21</v>
      </c>
      <c r="G507" s="1"/>
      <c r="H507" s="161"/>
      <c r="I507" s="37"/>
      <c r="J507" s="135">
        <f t="shared" si="39"/>
        <v>0.9161881535038825</v>
      </c>
      <c r="K507" s="112"/>
      <c r="L507" s="37">
        <v>24.977179618699999</v>
      </c>
      <c r="M507" s="37" t="s">
        <v>509</v>
      </c>
      <c r="N507" s="37">
        <v>812.22926829268283</v>
      </c>
      <c r="O507" s="130">
        <f t="shared" si="38"/>
        <v>20287.196325711611</v>
      </c>
      <c r="P507" s="132">
        <f t="shared" si="36"/>
        <v>770.93745616088245</v>
      </c>
      <c r="Q507" s="262">
        <v>4.1477487630686788E-2</v>
      </c>
      <c r="R507" s="92"/>
    </row>
    <row r="508" spans="1:18" x14ac:dyDescent="0.25">
      <c r="A508" s="326">
        <v>44167</v>
      </c>
      <c r="B508" s="326" t="s">
        <v>805</v>
      </c>
      <c r="C508" s="264" t="s">
        <v>430</v>
      </c>
      <c r="D508" s="157" t="s">
        <v>512</v>
      </c>
      <c r="E508" s="44">
        <f t="shared" si="40"/>
        <v>44167</v>
      </c>
      <c r="F508" s="146" t="str">
        <f t="shared" si="37"/>
        <v>2020-21</v>
      </c>
      <c r="G508" s="1"/>
      <c r="H508" s="161"/>
      <c r="I508" s="37"/>
      <c r="J508" s="135">
        <f t="shared" si="39"/>
        <v>0.9161881535038825</v>
      </c>
      <c r="K508" s="112"/>
      <c r="L508" s="37">
        <v>24.599757596900002</v>
      </c>
      <c r="M508" s="37" t="s">
        <v>509</v>
      </c>
      <c r="N508" s="37">
        <v>812.22926829268283</v>
      </c>
      <c r="O508" s="130">
        <f t="shared" si="38"/>
        <v>19980.643113107453</v>
      </c>
      <c r="P508" s="132">
        <f t="shared" si="36"/>
        <v>759.28807148945441</v>
      </c>
      <c r="Q508" s="262">
        <v>4.1477487630686788E-2</v>
      </c>
      <c r="R508" s="92"/>
    </row>
    <row r="509" spans="1:18" x14ac:dyDescent="0.25">
      <c r="A509" s="326">
        <v>44167</v>
      </c>
      <c r="B509" s="326" t="s">
        <v>805</v>
      </c>
      <c r="C509" s="264" t="s">
        <v>430</v>
      </c>
      <c r="D509" s="157" t="s">
        <v>512</v>
      </c>
      <c r="E509" s="44">
        <f t="shared" si="40"/>
        <v>44167</v>
      </c>
      <c r="F509" s="146" t="str">
        <f t="shared" si="37"/>
        <v>2020-21</v>
      </c>
      <c r="G509" s="1"/>
      <c r="H509" s="161"/>
      <c r="I509" s="37"/>
      <c r="J509" s="135">
        <f t="shared" si="39"/>
        <v>0.9161881535038825</v>
      </c>
      <c r="K509" s="112"/>
      <c r="L509" s="37">
        <v>45.459581212300002</v>
      </c>
      <c r="M509" s="37" t="s">
        <v>509</v>
      </c>
      <c r="N509" s="37">
        <v>950.87219512195099</v>
      </c>
      <c r="O509" s="130">
        <f t="shared" si="38"/>
        <v>43226.251776664307</v>
      </c>
      <c r="P509" s="132">
        <f t="shared" si="36"/>
        <v>1642.6486957114062</v>
      </c>
      <c r="Q509" s="262">
        <v>4.1477487630686788E-2</v>
      </c>
      <c r="R509" s="92"/>
    </row>
    <row r="510" spans="1:18" x14ac:dyDescent="0.25">
      <c r="A510" s="326">
        <v>44167</v>
      </c>
      <c r="B510" s="326" t="s">
        <v>805</v>
      </c>
      <c r="C510" s="264" t="s">
        <v>430</v>
      </c>
      <c r="D510" s="157" t="s">
        <v>512</v>
      </c>
      <c r="E510" s="44">
        <f t="shared" si="40"/>
        <v>44167</v>
      </c>
      <c r="F510" s="146" t="str">
        <f t="shared" si="37"/>
        <v>2020-21</v>
      </c>
      <c r="G510" s="1"/>
      <c r="H510" s="161"/>
      <c r="I510" s="37"/>
      <c r="J510" s="135">
        <f t="shared" si="39"/>
        <v>0.9161881535038825</v>
      </c>
      <c r="K510" s="112"/>
      <c r="L510" s="37">
        <v>5.2888580998199997</v>
      </c>
      <c r="M510" s="37" t="s">
        <v>509</v>
      </c>
      <c r="N510" s="37">
        <v>950.87219512195099</v>
      </c>
      <c r="O510" s="130">
        <f t="shared" si="38"/>
        <v>5029.0281110643537</v>
      </c>
      <c r="P510" s="132">
        <f t="shared" si="36"/>
        <v>191.10901657671641</v>
      </c>
      <c r="Q510" s="262">
        <v>4.1477487630686788E-2</v>
      </c>
      <c r="R510" s="92"/>
    </row>
    <row r="511" spans="1:18" x14ac:dyDescent="0.25">
      <c r="A511" s="326">
        <v>44167</v>
      </c>
      <c r="B511" s="326" t="s">
        <v>805</v>
      </c>
      <c r="C511" s="264" t="s">
        <v>430</v>
      </c>
      <c r="D511" s="157" t="s">
        <v>512</v>
      </c>
      <c r="E511" s="44">
        <f t="shared" si="40"/>
        <v>44167</v>
      </c>
      <c r="F511" s="146" t="str">
        <f t="shared" si="37"/>
        <v>2020-21</v>
      </c>
      <c r="G511" s="1"/>
      <c r="H511" s="161"/>
      <c r="I511" s="37"/>
      <c r="J511" s="135">
        <f t="shared" si="39"/>
        <v>0.9161881535038825</v>
      </c>
      <c r="K511" s="112"/>
      <c r="L511" s="37">
        <v>21.147164761799999</v>
      </c>
      <c r="M511" s="37" t="s">
        <v>509</v>
      </c>
      <c r="N511" s="37">
        <v>3592.3639024390236</v>
      </c>
      <c r="O511" s="130">
        <f t="shared" si="38"/>
        <v>75968.311329220844</v>
      </c>
      <c r="P511" s="132">
        <f t="shared" si="36"/>
        <v>2886.8856861586632</v>
      </c>
      <c r="Q511" s="262">
        <v>4.1477487630686788E-2</v>
      </c>
      <c r="R511" s="92"/>
    </row>
    <row r="512" spans="1:18" x14ac:dyDescent="0.25">
      <c r="A512" s="326">
        <v>44167</v>
      </c>
      <c r="B512" s="326" t="s">
        <v>805</v>
      </c>
      <c r="C512" s="264" t="s">
        <v>430</v>
      </c>
      <c r="D512" s="157" t="s">
        <v>512</v>
      </c>
      <c r="E512" s="44">
        <f t="shared" si="40"/>
        <v>44167</v>
      </c>
      <c r="F512" s="146" t="str">
        <f t="shared" si="37"/>
        <v>2020-21</v>
      </c>
      <c r="G512" s="1"/>
      <c r="H512" s="161"/>
      <c r="I512" s="37"/>
      <c r="J512" s="135">
        <f t="shared" si="39"/>
        <v>0.9161881535038825</v>
      </c>
      <c r="K512" s="112"/>
      <c r="L512" s="37">
        <v>5.1603551234399996</v>
      </c>
      <c r="M512" s="37" t="s">
        <v>509</v>
      </c>
      <c r="N512" s="37">
        <v>950.87219512195099</v>
      </c>
      <c r="O512" s="130">
        <f t="shared" si="38"/>
        <v>4906.8382038341988</v>
      </c>
      <c r="P512" s="132">
        <f t="shared" si="36"/>
        <v>186.46565557521811</v>
      </c>
      <c r="Q512" s="262">
        <v>4.1477487630686788E-2</v>
      </c>
      <c r="R512" s="92"/>
    </row>
    <row r="513" spans="1:18" x14ac:dyDescent="0.25">
      <c r="A513" s="326">
        <v>44167</v>
      </c>
      <c r="B513" s="326" t="s">
        <v>805</v>
      </c>
      <c r="C513" s="264" t="s">
        <v>430</v>
      </c>
      <c r="D513" s="157" t="s">
        <v>512</v>
      </c>
      <c r="E513" s="44">
        <f t="shared" si="40"/>
        <v>44167</v>
      </c>
      <c r="F513" s="146" t="str">
        <f t="shared" si="37"/>
        <v>2020-21</v>
      </c>
      <c r="G513" s="1"/>
      <c r="H513" s="161"/>
      <c r="I513" s="37"/>
      <c r="J513" s="135">
        <f t="shared" si="39"/>
        <v>0.9161881535038825</v>
      </c>
      <c r="K513" s="112"/>
      <c r="L513" s="37">
        <v>3.7544481618500001</v>
      </c>
      <c r="M513" s="37" t="s">
        <v>509</v>
      </c>
      <c r="N513" s="37">
        <v>812.22926829268283</v>
      </c>
      <c r="O513" s="130">
        <f t="shared" si="38"/>
        <v>3049.4726833422337</v>
      </c>
      <c r="P513" s="132">
        <f t="shared" si="36"/>
        <v>115.88356889652657</v>
      </c>
      <c r="Q513" s="262">
        <v>4.1477487630686788E-2</v>
      </c>
      <c r="R513" s="92"/>
    </row>
    <row r="514" spans="1:18" x14ac:dyDescent="0.25">
      <c r="A514" s="326">
        <v>44167</v>
      </c>
      <c r="B514" s="326" t="s">
        <v>805</v>
      </c>
      <c r="C514" s="264" t="s">
        <v>430</v>
      </c>
      <c r="D514" s="157" t="s">
        <v>512</v>
      </c>
      <c r="E514" s="44">
        <f t="shared" si="40"/>
        <v>44167</v>
      </c>
      <c r="F514" s="146" t="str">
        <f t="shared" si="37"/>
        <v>2020-21</v>
      </c>
      <c r="G514" s="1"/>
      <c r="H514" s="161"/>
      <c r="I514" s="37"/>
      <c r="J514" s="135">
        <f t="shared" si="39"/>
        <v>0.9161881535038825</v>
      </c>
      <c r="K514" s="112"/>
      <c r="L514" s="37">
        <v>17.485826012099999</v>
      </c>
      <c r="M514" s="37" t="s">
        <v>509</v>
      </c>
      <c r="N514" s="37">
        <v>3592.3639024390236</v>
      </c>
      <c r="O514" s="130">
        <f t="shared" si="38"/>
        <v>62815.450170197342</v>
      </c>
      <c r="P514" s="132">
        <f t="shared" si="36"/>
        <v>2387.0614048545199</v>
      </c>
      <c r="Q514" s="262">
        <v>4.1477487630686788E-2</v>
      </c>
      <c r="R514" s="92"/>
    </row>
    <row r="515" spans="1:18" x14ac:dyDescent="0.25">
      <c r="A515" s="326">
        <v>44167</v>
      </c>
      <c r="B515" s="326" t="s">
        <v>805</v>
      </c>
      <c r="C515" s="264" t="s">
        <v>430</v>
      </c>
      <c r="D515" s="157" t="s">
        <v>512</v>
      </c>
      <c r="E515" s="44">
        <f t="shared" si="40"/>
        <v>44167</v>
      </c>
      <c r="F515" s="146" t="str">
        <f t="shared" si="37"/>
        <v>2020-21</v>
      </c>
      <c r="G515" s="1"/>
      <c r="H515" s="161"/>
      <c r="I515" s="37"/>
      <c r="J515" s="135">
        <f t="shared" si="39"/>
        <v>0.9161881535038825</v>
      </c>
      <c r="K515" s="112"/>
      <c r="L515" s="37">
        <v>51.494483374399998</v>
      </c>
      <c r="M515" s="37" t="s">
        <v>509</v>
      </c>
      <c r="N515" s="37">
        <v>950.87219512195099</v>
      </c>
      <c r="O515" s="130">
        <f t="shared" si="38"/>
        <v>48964.672442886535</v>
      </c>
      <c r="P515" s="132">
        <f t="shared" si="36"/>
        <v>1860.7154684567142</v>
      </c>
      <c r="Q515" s="262">
        <v>4.1477487630686788E-2</v>
      </c>
      <c r="R515" s="92"/>
    </row>
    <row r="516" spans="1:18" x14ac:dyDescent="0.25">
      <c r="A516" s="326">
        <v>44167</v>
      </c>
      <c r="B516" s="326" t="s">
        <v>805</v>
      </c>
      <c r="C516" s="264" t="s">
        <v>430</v>
      </c>
      <c r="D516" s="157" t="s">
        <v>512</v>
      </c>
      <c r="E516" s="44">
        <f t="shared" si="40"/>
        <v>44167</v>
      </c>
      <c r="F516" s="146" t="str">
        <f t="shared" si="37"/>
        <v>2020-21</v>
      </c>
      <c r="G516" s="1"/>
      <c r="H516" s="161"/>
      <c r="I516" s="37"/>
      <c r="J516" s="135">
        <f t="shared" si="39"/>
        <v>0.9161881535038825</v>
      </c>
      <c r="K516" s="112"/>
      <c r="L516" s="37">
        <v>4.8254346954400003</v>
      </c>
      <c r="M516" s="37" t="s">
        <v>509</v>
      </c>
      <c r="N516" s="37">
        <v>950.87219512195099</v>
      </c>
      <c r="O516" s="130">
        <f t="shared" si="38"/>
        <v>4588.3716812706562</v>
      </c>
      <c r="P516" s="132">
        <f t="shared" si="36"/>
        <v>174.36355103421872</v>
      </c>
      <c r="Q516" s="262">
        <v>4.1477487630686788E-2</v>
      </c>
      <c r="R516" s="92"/>
    </row>
    <row r="517" spans="1:18" x14ac:dyDescent="0.25">
      <c r="A517" s="326">
        <v>44167</v>
      </c>
      <c r="B517" s="326" t="s">
        <v>805</v>
      </c>
      <c r="C517" s="264" t="s">
        <v>430</v>
      </c>
      <c r="D517" s="157" t="s">
        <v>512</v>
      </c>
      <c r="E517" s="44">
        <f t="shared" si="40"/>
        <v>44167</v>
      </c>
      <c r="F517" s="146" t="str">
        <f t="shared" si="37"/>
        <v>2020-21</v>
      </c>
      <c r="G517" s="1"/>
      <c r="H517" s="161"/>
      <c r="I517" s="37"/>
      <c r="J517" s="135">
        <f t="shared" si="39"/>
        <v>0.9161881535038825</v>
      </c>
      <c r="K517" s="112"/>
      <c r="L517" s="37">
        <v>4.2369009901099997</v>
      </c>
      <c r="M517" s="37" t="s">
        <v>509</v>
      </c>
      <c r="N517" s="37">
        <v>950.87219512195099</v>
      </c>
      <c r="O517" s="130">
        <f t="shared" si="38"/>
        <v>4028.7513449802627</v>
      </c>
      <c r="P517" s="132">
        <f t="shared" si="36"/>
        <v>153.09731633382179</v>
      </c>
      <c r="Q517" s="262">
        <v>4.1477487630686788E-2</v>
      </c>
      <c r="R517" s="92"/>
    </row>
    <row r="518" spans="1:18" x14ac:dyDescent="0.25">
      <c r="A518" s="326">
        <v>44167</v>
      </c>
      <c r="B518" s="326" t="s">
        <v>805</v>
      </c>
      <c r="C518" s="264" t="s">
        <v>430</v>
      </c>
      <c r="D518" s="157" t="s">
        <v>512</v>
      </c>
      <c r="E518" s="44">
        <f t="shared" si="40"/>
        <v>44167</v>
      </c>
      <c r="F518" s="146" t="str">
        <f t="shared" si="37"/>
        <v>2020-21</v>
      </c>
      <c r="G518" s="1"/>
      <c r="H518" s="161"/>
      <c r="I518" s="37"/>
      <c r="J518" s="135">
        <f t="shared" si="39"/>
        <v>0.9161881535038825</v>
      </c>
      <c r="K518" s="112"/>
      <c r="L518" s="37">
        <v>27.479936262700001</v>
      </c>
      <c r="M518" s="37" t="s">
        <v>509</v>
      </c>
      <c r="N518" s="37">
        <v>3336.4019512195118</v>
      </c>
      <c r="O518" s="130">
        <f t="shared" si="38"/>
        <v>91684.112966260102</v>
      </c>
      <c r="P518" s="132">
        <f t="shared" si="36"/>
        <v>3484.1047370845226</v>
      </c>
      <c r="Q518" s="262">
        <v>4.1477487630686788E-2</v>
      </c>
      <c r="R518" s="92"/>
    </row>
    <row r="519" spans="1:18" x14ac:dyDescent="0.25">
      <c r="A519" s="326">
        <v>44167</v>
      </c>
      <c r="B519" s="326" t="s">
        <v>805</v>
      </c>
      <c r="C519" s="264" t="s">
        <v>430</v>
      </c>
      <c r="D519" s="157" t="s">
        <v>512</v>
      </c>
      <c r="E519" s="44">
        <f t="shared" si="40"/>
        <v>44167</v>
      </c>
      <c r="F519" s="146" t="str">
        <f t="shared" si="37"/>
        <v>2020-21</v>
      </c>
      <c r="G519" s="1"/>
      <c r="H519" s="161"/>
      <c r="I519" s="37"/>
      <c r="J519" s="135">
        <f t="shared" si="39"/>
        <v>0.9161881535038825</v>
      </c>
      <c r="K519" s="112"/>
      <c r="L519" s="37">
        <v>22.2670882695</v>
      </c>
      <c r="M519" s="37" t="s">
        <v>509</v>
      </c>
      <c r="N519" s="37">
        <v>3336.4019512195118</v>
      </c>
      <c r="O519" s="130">
        <f t="shared" si="38"/>
        <v>74291.956750336903</v>
      </c>
      <c r="P519" s="132">
        <f t="shared" si="36"/>
        <v>2823.1822293616037</v>
      </c>
      <c r="Q519" s="262">
        <v>4.1477487630686788E-2</v>
      </c>
      <c r="R519" s="92"/>
    </row>
    <row r="520" spans="1:18" x14ac:dyDescent="0.25">
      <c r="A520" s="326">
        <v>44167</v>
      </c>
      <c r="B520" s="326" t="s">
        <v>805</v>
      </c>
      <c r="C520" s="264" t="s">
        <v>430</v>
      </c>
      <c r="D520" s="157" t="s">
        <v>512</v>
      </c>
      <c r="E520" s="44">
        <f t="shared" si="40"/>
        <v>44167</v>
      </c>
      <c r="F520" s="146" t="str">
        <f t="shared" si="37"/>
        <v>2020-21</v>
      </c>
      <c r="G520" s="1"/>
      <c r="H520" s="161"/>
      <c r="I520" s="37"/>
      <c r="J520" s="135">
        <f t="shared" si="39"/>
        <v>0.9161881535038825</v>
      </c>
      <c r="K520" s="112"/>
      <c r="L520" s="37">
        <v>5.2731464990100001</v>
      </c>
      <c r="M520" s="37" t="s">
        <v>509</v>
      </c>
      <c r="N520" s="37">
        <v>950.87219512195099</v>
      </c>
      <c r="O520" s="130">
        <f t="shared" si="38"/>
        <v>5014.0883867132698</v>
      </c>
      <c r="P520" s="132">
        <f t="shared" si="36"/>
        <v>190.54128938060447</v>
      </c>
      <c r="Q520" s="262">
        <v>4.1477487630686788E-2</v>
      </c>
      <c r="R520" s="92"/>
    </row>
    <row r="521" spans="1:18" x14ac:dyDescent="0.25">
      <c r="A521" s="326">
        <v>44167</v>
      </c>
      <c r="B521" s="326" t="s">
        <v>805</v>
      </c>
      <c r="C521" s="264" t="s">
        <v>430</v>
      </c>
      <c r="D521" s="157" t="s">
        <v>512</v>
      </c>
      <c r="E521" s="44">
        <f t="shared" si="40"/>
        <v>44167</v>
      </c>
      <c r="F521" s="146" t="str">
        <f t="shared" si="37"/>
        <v>2020-21</v>
      </c>
      <c r="G521" s="1"/>
      <c r="H521" s="161"/>
      <c r="I521" s="37"/>
      <c r="J521" s="135">
        <f t="shared" si="39"/>
        <v>0.9161881535038825</v>
      </c>
      <c r="K521" s="112"/>
      <c r="L521" s="37">
        <v>4.6518543047899996</v>
      </c>
      <c r="M521" s="37" t="s">
        <v>509</v>
      </c>
      <c r="N521" s="37">
        <v>3336.4019512195118</v>
      </c>
      <c r="O521" s="130">
        <f t="shared" si="38"/>
        <v>15520.45577929024</v>
      </c>
      <c r="P521" s="132">
        <f t="shared" si="36"/>
        <v>589.79567727546896</v>
      </c>
      <c r="Q521" s="262">
        <v>4.1477487630686788E-2</v>
      </c>
      <c r="R521" s="92"/>
    </row>
    <row r="522" spans="1:18" x14ac:dyDescent="0.25">
      <c r="A522" s="326">
        <v>44167</v>
      </c>
      <c r="B522" s="326" t="s">
        <v>805</v>
      </c>
      <c r="C522" s="264" t="s">
        <v>430</v>
      </c>
      <c r="D522" s="157" t="s">
        <v>512</v>
      </c>
      <c r="E522" s="44">
        <f t="shared" si="40"/>
        <v>44167</v>
      </c>
      <c r="F522" s="146" t="str">
        <f t="shared" si="37"/>
        <v>2020-21</v>
      </c>
      <c r="G522" s="1"/>
      <c r="H522" s="161"/>
      <c r="I522" s="37"/>
      <c r="J522" s="135">
        <f t="shared" si="39"/>
        <v>0.9161881535038825</v>
      </c>
      <c r="K522" s="112"/>
      <c r="L522" s="37">
        <v>33.614472602500001</v>
      </c>
      <c r="M522" s="37" t="s">
        <v>509</v>
      </c>
      <c r="N522" s="37">
        <v>812.22926829268283</v>
      </c>
      <c r="O522" s="130">
        <f t="shared" si="38"/>
        <v>27302.65848597301</v>
      </c>
      <c r="P522" s="132">
        <f t="shared" si="36"/>
        <v>1037.5333161698993</v>
      </c>
      <c r="Q522" s="262">
        <v>4.1477487630686788E-2</v>
      </c>
      <c r="R522" s="92"/>
    </row>
    <row r="523" spans="1:18" x14ac:dyDescent="0.25">
      <c r="A523" s="326">
        <v>44167</v>
      </c>
      <c r="B523" s="326" t="s">
        <v>805</v>
      </c>
      <c r="C523" s="264" t="s">
        <v>430</v>
      </c>
      <c r="D523" s="157" t="s">
        <v>512</v>
      </c>
      <c r="E523" s="44">
        <f t="shared" si="40"/>
        <v>44167</v>
      </c>
      <c r="F523" s="146" t="str">
        <f t="shared" si="37"/>
        <v>2020-21</v>
      </c>
      <c r="G523" s="1"/>
      <c r="H523" s="161"/>
      <c r="I523" s="37"/>
      <c r="J523" s="135">
        <f t="shared" si="39"/>
        <v>0.9161881535038825</v>
      </c>
      <c r="K523" s="112"/>
      <c r="L523" s="37">
        <v>24.502049162900001</v>
      </c>
      <c r="M523" s="37" t="s">
        <v>509</v>
      </c>
      <c r="N523" s="37">
        <v>812.22926829268283</v>
      </c>
      <c r="O523" s="130">
        <f t="shared" si="38"/>
        <v>19901.28146325361</v>
      </c>
      <c r="P523" s="132">
        <f t="shared" si="36"/>
        <v>756.27223492570477</v>
      </c>
      <c r="Q523" s="262">
        <v>4.1477487630686788E-2</v>
      </c>
      <c r="R523" s="92"/>
    </row>
    <row r="524" spans="1:18" x14ac:dyDescent="0.25">
      <c r="A524" s="326">
        <v>44167</v>
      </c>
      <c r="B524" s="326" t="s">
        <v>805</v>
      </c>
      <c r="C524" s="264" t="s">
        <v>430</v>
      </c>
      <c r="D524" s="157" t="s">
        <v>512</v>
      </c>
      <c r="E524" s="44">
        <f t="shared" si="40"/>
        <v>44167</v>
      </c>
      <c r="F524" s="146" t="str">
        <f t="shared" si="37"/>
        <v>2020-21</v>
      </c>
      <c r="G524" s="1"/>
      <c r="H524" s="161"/>
      <c r="I524" s="37"/>
      <c r="J524" s="135">
        <f t="shared" si="39"/>
        <v>0.9161881535038825</v>
      </c>
      <c r="K524" s="112"/>
      <c r="L524" s="37">
        <v>14.749280431000001</v>
      </c>
      <c r="M524" s="37" t="s">
        <v>509</v>
      </c>
      <c r="N524" s="37">
        <v>3336.4019512195118</v>
      </c>
      <c r="O524" s="130">
        <f t="shared" si="38"/>
        <v>49209.528009072164</v>
      </c>
      <c r="P524" s="132">
        <f t="shared" si="36"/>
        <v>1870.0202695879941</v>
      </c>
      <c r="Q524" s="262">
        <v>4.1477487630686788E-2</v>
      </c>
      <c r="R524" s="92"/>
    </row>
    <row r="525" spans="1:18" x14ac:dyDescent="0.25">
      <c r="A525" s="326">
        <v>44167</v>
      </c>
      <c r="B525" s="326" t="s">
        <v>805</v>
      </c>
      <c r="C525" s="264" t="s">
        <v>430</v>
      </c>
      <c r="D525" s="157" t="s">
        <v>512</v>
      </c>
      <c r="E525" s="44">
        <f t="shared" si="40"/>
        <v>44167</v>
      </c>
      <c r="F525" s="146" t="str">
        <f t="shared" si="37"/>
        <v>2020-21</v>
      </c>
      <c r="G525" s="1"/>
      <c r="H525" s="161"/>
      <c r="I525" s="37"/>
      <c r="J525" s="135">
        <f t="shared" si="39"/>
        <v>0.9161881535038825</v>
      </c>
      <c r="K525" s="112"/>
      <c r="L525" s="37">
        <v>50.206924393000001</v>
      </c>
      <c r="M525" s="37" t="s">
        <v>509</v>
      </c>
      <c r="N525" s="37">
        <v>950.87219512195099</v>
      </c>
      <c r="O525" s="130">
        <f t="shared" si="38"/>
        <v>47740.368407893737</v>
      </c>
      <c r="P525" s="132">
        <f t="shared" si="36"/>
        <v>1814.1904670148631</v>
      </c>
      <c r="Q525" s="262">
        <v>4.1477487630686788E-2</v>
      </c>
      <c r="R525" s="92"/>
    </row>
    <row r="526" spans="1:18" x14ac:dyDescent="0.25">
      <c r="A526" s="326">
        <v>44167</v>
      </c>
      <c r="B526" s="326" t="s">
        <v>805</v>
      </c>
      <c r="C526" s="264" t="s">
        <v>430</v>
      </c>
      <c r="D526" s="157" t="s">
        <v>512</v>
      </c>
      <c r="E526" s="44">
        <f t="shared" si="40"/>
        <v>44167</v>
      </c>
      <c r="F526" s="146" t="str">
        <f t="shared" si="37"/>
        <v>2020-21</v>
      </c>
      <c r="G526" s="1"/>
      <c r="H526" s="161"/>
      <c r="I526" s="37"/>
      <c r="J526" s="135">
        <f t="shared" si="39"/>
        <v>0.9161881535038825</v>
      </c>
      <c r="K526" s="112"/>
      <c r="L526" s="37">
        <v>31.707038666500001</v>
      </c>
      <c r="M526" s="37" t="s">
        <v>509</v>
      </c>
      <c r="N526" s="37">
        <v>3336.4019512195118</v>
      </c>
      <c r="O526" s="130">
        <f t="shared" si="38"/>
        <v>105787.42567430311</v>
      </c>
      <c r="P526" s="132">
        <f t="shared" si="36"/>
        <v>4020.0473014496233</v>
      </c>
      <c r="Q526" s="262">
        <v>4.1477487630686788E-2</v>
      </c>
      <c r="R526" s="92"/>
    </row>
    <row r="527" spans="1:18" x14ac:dyDescent="0.25">
      <c r="A527" s="326">
        <v>44167</v>
      </c>
      <c r="B527" s="326" t="s">
        <v>805</v>
      </c>
      <c r="C527" s="264" t="s">
        <v>430</v>
      </c>
      <c r="D527" s="157" t="s">
        <v>512</v>
      </c>
      <c r="E527" s="44">
        <f t="shared" si="40"/>
        <v>44167</v>
      </c>
      <c r="F527" s="146" t="str">
        <f t="shared" si="37"/>
        <v>2020-21</v>
      </c>
      <c r="G527" s="1"/>
      <c r="H527" s="161"/>
      <c r="I527" s="37"/>
      <c r="J527" s="135">
        <f t="shared" si="39"/>
        <v>0.9161881535038825</v>
      </c>
      <c r="K527" s="112"/>
      <c r="L527" s="37">
        <v>20.525090060699998</v>
      </c>
      <c r="M527" s="37" t="s">
        <v>509</v>
      </c>
      <c r="N527" s="37">
        <v>3336.4019512195118</v>
      </c>
      <c r="O527" s="130">
        <f t="shared" si="38"/>
        <v>68479.950527475681</v>
      </c>
      <c r="P527" s="132">
        <f t="shared" si="36"/>
        <v>2602.319118426698</v>
      </c>
      <c r="Q527" s="262">
        <v>4.1477487630686788E-2</v>
      </c>
      <c r="R527" s="92"/>
    </row>
    <row r="528" spans="1:18" x14ac:dyDescent="0.25">
      <c r="A528" s="326">
        <v>44167</v>
      </c>
      <c r="B528" s="326" t="s">
        <v>805</v>
      </c>
      <c r="C528" s="264" t="s">
        <v>430</v>
      </c>
      <c r="D528" s="157" t="s">
        <v>512</v>
      </c>
      <c r="E528" s="44">
        <f t="shared" si="40"/>
        <v>44167</v>
      </c>
      <c r="F528" s="146" t="str">
        <f t="shared" si="37"/>
        <v>2020-21</v>
      </c>
      <c r="G528" s="1"/>
      <c r="H528" s="161"/>
      <c r="I528" s="37"/>
      <c r="J528" s="135">
        <f t="shared" si="39"/>
        <v>0.9161881535038825</v>
      </c>
      <c r="K528" s="112"/>
      <c r="L528" s="37">
        <v>5.5667196803900003</v>
      </c>
      <c r="M528" s="37" t="s">
        <v>509</v>
      </c>
      <c r="N528" s="37">
        <v>3336.4019512195118</v>
      </c>
      <c r="O528" s="130">
        <f t="shared" si="38"/>
        <v>18572.814403545253</v>
      </c>
      <c r="P528" s="132">
        <f t="shared" si="36"/>
        <v>705.78891534018453</v>
      </c>
      <c r="Q528" s="262">
        <v>4.1477487630686788E-2</v>
      </c>
      <c r="R528" s="92"/>
    </row>
    <row r="529" spans="1:18" x14ac:dyDescent="0.25">
      <c r="A529" s="326">
        <v>44167</v>
      </c>
      <c r="B529" s="326" t="s">
        <v>805</v>
      </c>
      <c r="C529" s="264" t="s">
        <v>430</v>
      </c>
      <c r="D529" s="157" t="s">
        <v>512</v>
      </c>
      <c r="E529" s="44">
        <f t="shared" si="40"/>
        <v>44167</v>
      </c>
      <c r="F529" s="146" t="str">
        <f t="shared" si="37"/>
        <v>2020-21</v>
      </c>
      <c r="G529" s="1"/>
      <c r="H529" s="161"/>
      <c r="I529" s="37"/>
      <c r="J529" s="135">
        <f t="shared" si="39"/>
        <v>0.9161881535038825</v>
      </c>
      <c r="K529" s="112"/>
      <c r="L529" s="37">
        <v>28.398802174</v>
      </c>
      <c r="M529" s="37" t="s">
        <v>509</v>
      </c>
      <c r="N529" s="37">
        <v>3336.4019512195118</v>
      </c>
      <c r="O529" s="130">
        <f t="shared" si="38"/>
        <v>94749.818985630511</v>
      </c>
      <c r="P529" s="132">
        <f t="shared" si="36"/>
        <v>3600.60519195098</v>
      </c>
      <c r="Q529" s="262">
        <v>4.1477487630686788E-2</v>
      </c>
      <c r="R529" s="92"/>
    </row>
    <row r="530" spans="1:18" x14ac:dyDescent="0.25">
      <c r="A530" s="326">
        <v>44167</v>
      </c>
      <c r="B530" s="326" t="s">
        <v>805</v>
      </c>
      <c r="C530" s="264" t="s">
        <v>430</v>
      </c>
      <c r="D530" s="157" t="s">
        <v>512</v>
      </c>
      <c r="E530" s="44">
        <f t="shared" si="40"/>
        <v>44167</v>
      </c>
      <c r="F530" s="146" t="str">
        <f t="shared" si="37"/>
        <v>2020-21</v>
      </c>
      <c r="G530" s="1"/>
      <c r="H530" s="161"/>
      <c r="I530" s="37"/>
      <c r="J530" s="135">
        <f t="shared" si="39"/>
        <v>0.9161881535038825</v>
      </c>
      <c r="K530" s="112"/>
      <c r="L530" s="37">
        <v>27.069218495299999</v>
      </c>
      <c r="M530" s="37" t="s">
        <v>509</v>
      </c>
      <c r="N530" s="37">
        <v>812.22926829268283</v>
      </c>
      <c r="O530" s="130">
        <f t="shared" si="38"/>
        <v>21986.411531692276</v>
      </c>
      <c r="P530" s="132">
        <f t="shared" si="36"/>
        <v>835.50964382726636</v>
      </c>
      <c r="Q530" s="262">
        <v>4.1477487630686788E-2</v>
      </c>
      <c r="R530" s="92"/>
    </row>
    <row r="531" spans="1:18" x14ac:dyDescent="0.25">
      <c r="A531" s="326">
        <v>44167</v>
      </c>
      <c r="B531" s="326" t="s">
        <v>805</v>
      </c>
      <c r="C531" s="264" t="s">
        <v>430</v>
      </c>
      <c r="D531" s="157" t="s">
        <v>512</v>
      </c>
      <c r="E531" s="44">
        <f t="shared" si="40"/>
        <v>44167</v>
      </c>
      <c r="F531" s="146" t="str">
        <f t="shared" si="37"/>
        <v>2020-21</v>
      </c>
      <c r="G531" s="1"/>
      <c r="H531" s="161"/>
      <c r="I531" s="37"/>
      <c r="J531" s="135">
        <f t="shared" si="39"/>
        <v>0.9161881535038825</v>
      </c>
      <c r="K531" s="112"/>
      <c r="L531" s="37">
        <v>23.9661047514</v>
      </c>
      <c r="M531" s="37" t="s">
        <v>509</v>
      </c>
      <c r="N531" s="37">
        <v>812.22926829268283</v>
      </c>
      <c r="O531" s="130">
        <f t="shared" si="38"/>
        <v>19465.97172605541</v>
      </c>
      <c r="P531" s="132">
        <f t="shared" si="36"/>
        <v>739.72995002592711</v>
      </c>
      <c r="Q531" s="262">
        <v>4.1477487630686788E-2</v>
      </c>
      <c r="R531" s="92"/>
    </row>
    <row r="532" spans="1:18" x14ac:dyDescent="0.25">
      <c r="A532" s="326">
        <v>44167</v>
      </c>
      <c r="B532" s="326" t="s">
        <v>805</v>
      </c>
      <c r="C532" s="264" t="s">
        <v>430</v>
      </c>
      <c r="D532" s="157" t="s">
        <v>512</v>
      </c>
      <c r="E532" s="44">
        <f t="shared" si="40"/>
        <v>44167</v>
      </c>
      <c r="F532" s="146" t="str">
        <f t="shared" si="37"/>
        <v>2020-21</v>
      </c>
      <c r="G532" s="1"/>
      <c r="H532" s="161"/>
      <c r="I532" s="37"/>
      <c r="J532" s="135">
        <f t="shared" si="39"/>
        <v>0.9161881535038825</v>
      </c>
      <c r="K532" s="112"/>
      <c r="L532" s="37">
        <v>24.332408039499999</v>
      </c>
      <c r="M532" s="37" t="s">
        <v>509</v>
      </c>
      <c r="N532" s="37">
        <v>950.87219512195099</v>
      </c>
      <c r="O532" s="130">
        <f t="shared" si="38"/>
        <v>23137.010245122372</v>
      </c>
      <c r="P532" s="132">
        <f t="shared" si="36"/>
        <v>879.23375587076077</v>
      </c>
      <c r="Q532" s="262">
        <v>4.1477487630686788E-2</v>
      </c>
      <c r="R532" s="92"/>
    </row>
    <row r="533" spans="1:18" x14ac:dyDescent="0.25">
      <c r="A533" s="326">
        <v>44076</v>
      </c>
      <c r="B533" s="326" t="s">
        <v>805</v>
      </c>
      <c r="C533" s="264" t="s">
        <v>520</v>
      </c>
      <c r="D533" s="157" t="s">
        <v>512</v>
      </c>
      <c r="E533" s="44">
        <f t="shared" ref="E533:E535" si="41">A533</f>
        <v>44076</v>
      </c>
      <c r="F533" s="146" t="str">
        <f t="shared" ref="F533:F535" si="42">IF(E533="","-",IF(OR(E533&lt;$E$15,E533&gt;$E$16),"ERROR - date outside of range",IF(MONTH(E533)&gt;=7,YEAR(E533)&amp;"-"&amp;IF(YEAR(E533)=1999,"00",IF(AND(YEAR(E533)&gt;=2000,YEAR(E533)&lt;2009),"0","")&amp;RIGHT(YEAR(E533),2)+1),RIGHT(YEAR(E533),4)-1&amp;"-"&amp;RIGHT(YEAR(E533),2))))</f>
        <v>2020-21</v>
      </c>
      <c r="G533" s="1"/>
      <c r="H533" s="161"/>
      <c r="I533" s="37"/>
      <c r="J533" s="135">
        <f t="shared" si="39"/>
        <v>0.9161881535038825</v>
      </c>
      <c r="K533" s="112"/>
      <c r="L533" s="37">
        <v>70.961941366000005</v>
      </c>
      <c r="M533" s="37" t="s">
        <v>509</v>
      </c>
      <c r="N533" s="37">
        <v>3592.3639024390236</v>
      </c>
      <c r="O533" s="130">
        <f t="shared" ref="O533:O535" si="43">IF(N533="","-",L533*N533)</f>
        <v>254921.11661021295</v>
      </c>
      <c r="P533" s="132">
        <f t="shared" ref="P533:P535" si="44">IF(O533="-","-",IF(OR(E533&lt;$E$15,E533&gt;$E$16),0,O533*J533))*Q533</f>
        <v>234347.90245153356</v>
      </c>
      <c r="Q533" s="262">
        <v>1.0033918902905692</v>
      </c>
      <c r="R533" s="92"/>
    </row>
    <row r="534" spans="1:18" x14ac:dyDescent="0.25">
      <c r="A534" s="326">
        <v>44076</v>
      </c>
      <c r="B534" s="326" t="s">
        <v>805</v>
      </c>
      <c r="C534" s="264" t="s">
        <v>520</v>
      </c>
      <c r="D534" s="157" t="s">
        <v>512</v>
      </c>
      <c r="E534" s="44">
        <f t="shared" si="41"/>
        <v>44076</v>
      </c>
      <c r="F534" s="146" t="str">
        <f t="shared" si="42"/>
        <v>2020-21</v>
      </c>
      <c r="G534" s="1"/>
      <c r="H534" s="161"/>
      <c r="I534" s="37"/>
      <c r="J534" s="135">
        <f t="shared" si="39"/>
        <v>0.9161881535038825</v>
      </c>
      <c r="K534" s="112"/>
      <c r="L534" s="37">
        <v>52.472724133600003</v>
      </c>
      <c r="M534" s="37" t="s">
        <v>509</v>
      </c>
      <c r="N534" s="37">
        <v>950.87219512195099</v>
      </c>
      <c r="O534" s="130">
        <f t="shared" si="43"/>
        <v>49894.854380944809</v>
      </c>
      <c r="P534" s="132">
        <f t="shared" si="44"/>
        <v>45868.128238187222</v>
      </c>
      <c r="Q534" s="262">
        <v>1.0033918902905692</v>
      </c>
      <c r="R534" s="92"/>
    </row>
    <row r="535" spans="1:18" x14ac:dyDescent="0.25">
      <c r="A535" s="326">
        <v>44076</v>
      </c>
      <c r="B535" s="326" t="s">
        <v>805</v>
      </c>
      <c r="C535" s="264" t="s">
        <v>520</v>
      </c>
      <c r="D535" s="157" t="s">
        <v>512</v>
      </c>
      <c r="E535" s="44">
        <f t="shared" si="41"/>
        <v>44076</v>
      </c>
      <c r="F535" s="146" t="str">
        <f t="shared" si="42"/>
        <v>2020-21</v>
      </c>
      <c r="G535" s="1"/>
      <c r="H535" s="161"/>
      <c r="I535" s="37"/>
      <c r="J535" s="135">
        <f t="shared" si="39"/>
        <v>0.9161881535038825</v>
      </c>
      <c r="K535" s="112"/>
      <c r="L535" s="37">
        <v>10.838539477299999</v>
      </c>
      <c r="M535" s="37" t="s">
        <v>509</v>
      </c>
      <c r="N535" s="37">
        <v>3592.3639024390236</v>
      </c>
      <c r="O535" s="130">
        <f t="shared" si="43"/>
        <v>38935.977973412839</v>
      </c>
      <c r="P535" s="132">
        <f t="shared" si="44"/>
        <v>35793.67958724394</v>
      </c>
      <c r="Q535" s="262">
        <v>1.0033918902905692</v>
      </c>
      <c r="R535" s="92"/>
    </row>
    <row r="536" spans="1:18" x14ac:dyDescent="0.25">
      <c r="C536" s="264"/>
      <c r="D536" s="157"/>
      <c r="E536" s="44"/>
      <c r="F536" s="146"/>
      <c r="G536" s="1"/>
      <c r="H536" s="161"/>
      <c r="I536" s="37"/>
      <c r="J536" s="135">
        <f t="shared" si="39"/>
        <v>0.9161881535038825</v>
      </c>
      <c r="K536" s="112"/>
      <c r="L536" s="37"/>
      <c r="M536" s="37"/>
      <c r="N536" s="37"/>
      <c r="O536" s="130"/>
      <c r="P536" s="132"/>
      <c r="Q536" s="262"/>
      <c r="R536" s="92"/>
    </row>
    <row r="537" spans="1:18" x14ac:dyDescent="0.25">
      <c r="A537" s="326">
        <v>2000</v>
      </c>
      <c r="B537" s="326" t="s">
        <v>806</v>
      </c>
      <c r="C537" s="264" t="s">
        <v>466</v>
      </c>
      <c r="D537" s="157" t="s">
        <v>468</v>
      </c>
      <c r="E537" s="44">
        <f t="shared" ref="E537" si="45">DATEVALUE("30 Jun "&amp;A537)</f>
        <v>36707</v>
      </c>
      <c r="F537" s="146" t="str">
        <f t="shared" ref="F537:F575" si="46">IF(E537="","-",IF(OR(E537&lt;$E$15,E537&gt;$E$16),"ERROR - date outside of range",IF(MONTH(E537)&gt;=7,YEAR(E537)&amp;"-"&amp;IF(YEAR(E537)=1999,"00",IF(AND(YEAR(E537)&gt;=2000,YEAR(E537)&lt;2009),"0","")&amp;RIGHT(YEAR(E537),2)+1),RIGHT(YEAR(E537),4)-1&amp;"-"&amp;RIGHT(YEAR(E537),2))))</f>
        <v>1999-00</v>
      </c>
      <c r="G537" s="1"/>
      <c r="H537" s="161"/>
      <c r="I537" s="37"/>
      <c r="J537" s="135">
        <f t="shared" si="39"/>
        <v>0.9161881535038825</v>
      </c>
      <c r="K537" s="112"/>
      <c r="L537" s="37">
        <v>425</v>
      </c>
      <c r="M537" s="37" t="s">
        <v>509</v>
      </c>
      <c r="N537" s="37">
        <v>814.98680884749706</v>
      </c>
      <c r="O537" s="130">
        <f t="shared" ref="O537:O600" si="47">IF(N537="","-",L537*N537)</f>
        <v>346369.39376018627</v>
      </c>
      <c r="P537" s="132">
        <f t="shared" si="36"/>
        <v>44427.534941916594</v>
      </c>
      <c r="Q537" s="262">
        <v>0.14000000000000001</v>
      </c>
      <c r="R537" s="92"/>
    </row>
    <row r="538" spans="1:18" x14ac:dyDescent="0.25">
      <c r="A538" s="326">
        <v>2000</v>
      </c>
      <c r="B538" s="326" t="s">
        <v>806</v>
      </c>
      <c r="C538" s="264" t="s">
        <v>466</v>
      </c>
      <c r="D538" s="157" t="s">
        <v>468</v>
      </c>
      <c r="E538" s="44">
        <f t="shared" ref="E538:E550" si="48">DATEVALUE("30 Jun "&amp;A538)</f>
        <v>36707</v>
      </c>
      <c r="F538" s="146" t="str">
        <f t="shared" si="46"/>
        <v>1999-00</v>
      </c>
      <c r="G538" s="1"/>
      <c r="H538" s="161"/>
      <c r="I538" s="37"/>
      <c r="J538" s="135">
        <f t="shared" si="39"/>
        <v>0.9161881535038825</v>
      </c>
      <c r="K538" s="112"/>
      <c r="L538" s="37">
        <v>34.856602387499997</v>
      </c>
      <c r="M538" s="37" t="s">
        <v>509</v>
      </c>
      <c r="N538" s="37">
        <v>1457.634509895227</v>
      </c>
      <c r="O538" s="130">
        <f t="shared" si="47"/>
        <v>50808.186537716356</v>
      </c>
      <c r="P538" s="132">
        <f t="shared" si="36"/>
        <v>6516.9802049619639</v>
      </c>
      <c r="Q538" s="262">
        <v>0.14000000000000001</v>
      </c>
      <c r="R538" s="92"/>
    </row>
    <row r="539" spans="1:18" x14ac:dyDescent="0.25">
      <c r="A539" s="326">
        <v>2002</v>
      </c>
      <c r="B539" s="326" t="s">
        <v>806</v>
      </c>
      <c r="C539" s="264" t="s">
        <v>401</v>
      </c>
      <c r="D539" s="157" t="s">
        <v>469</v>
      </c>
      <c r="E539" s="44">
        <f t="shared" si="48"/>
        <v>37437</v>
      </c>
      <c r="F539" s="146" t="str">
        <f t="shared" si="46"/>
        <v>2001-02</v>
      </c>
      <c r="G539" s="1"/>
      <c r="H539" s="161"/>
      <c r="I539" s="37"/>
      <c r="J539" s="135">
        <f t="shared" si="39"/>
        <v>0.9161881535038825</v>
      </c>
      <c r="K539" s="112"/>
      <c r="L539" s="37">
        <v>80</v>
      </c>
      <c r="M539" s="37" t="s">
        <v>509</v>
      </c>
      <c r="N539" s="37">
        <v>814.98680884749706</v>
      </c>
      <c r="O539" s="130">
        <f t="shared" si="47"/>
        <v>65198.944707799761</v>
      </c>
      <c r="P539" s="132">
        <f t="shared" ref="P539:P602" si="49">IF(O539="-","-",IF(OR(E539&lt;$E$15,E539&gt;$E$16),0,O539*J539))*Q539</f>
        <v>5973.4500762240796</v>
      </c>
      <c r="Q539" s="262">
        <v>0.1</v>
      </c>
      <c r="R539" s="92"/>
    </row>
    <row r="540" spans="1:18" x14ac:dyDescent="0.25">
      <c r="A540" s="326">
        <v>2005</v>
      </c>
      <c r="B540" s="326" t="s">
        <v>806</v>
      </c>
      <c r="C540" s="264" t="s">
        <v>409</v>
      </c>
      <c r="D540" s="157" t="s">
        <v>470</v>
      </c>
      <c r="E540" s="44">
        <f t="shared" si="48"/>
        <v>38533</v>
      </c>
      <c r="F540" s="146" t="str">
        <f t="shared" si="46"/>
        <v>2004-05</v>
      </c>
      <c r="G540" s="1"/>
      <c r="H540" s="161"/>
      <c r="I540" s="37"/>
      <c r="J540" s="135">
        <f t="shared" si="39"/>
        <v>0.9161881535038825</v>
      </c>
      <c r="K540" s="112"/>
      <c r="L540" s="37">
        <v>107.60878758299999</v>
      </c>
      <c r="M540" s="37" t="s">
        <v>509</v>
      </c>
      <c r="N540" s="37">
        <v>682.91384772991853</v>
      </c>
      <c r="O540" s="130">
        <f t="shared" si="47"/>
        <v>73487.531177858007</v>
      </c>
      <c r="P540" s="132">
        <f t="shared" si="49"/>
        <v>13465.681099080146</v>
      </c>
      <c r="Q540" s="262">
        <v>0.2</v>
      </c>
      <c r="R540" s="92"/>
    </row>
    <row r="541" spans="1:18" x14ac:dyDescent="0.25">
      <c r="A541" s="326">
        <v>2005</v>
      </c>
      <c r="B541" s="326" t="s">
        <v>806</v>
      </c>
      <c r="C541" s="264" t="s">
        <v>409</v>
      </c>
      <c r="D541" s="157" t="s">
        <v>470</v>
      </c>
      <c r="E541" s="44">
        <f t="shared" si="48"/>
        <v>38533</v>
      </c>
      <c r="F541" s="146" t="str">
        <f t="shared" si="46"/>
        <v>2004-05</v>
      </c>
      <c r="G541" s="1"/>
      <c r="H541" s="161"/>
      <c r="I541" s="37"/>
      <c r="J541" s="135">
        <f t="shared" ref="J541:J604" si="50">J540</f>
        <v>0.9161881535038825</v>
      </c>
      <c r="K541" s="112"/>
      <c r="L541" s="37">
        <v>406.45285055459999</v>
      </c>
      <c r="M541" s="37" t="s">
        <v>509</v>
      </c>
      <c r="N541" s="37">
        <v>959.94493690337606</v>
      </c>
      <c r="O541" s="130">
        <f t="shared" si="47"/>
        <v>390172.35597983282</v>
      </c>
      <c r="P541" s="132">
        <f t="shared" si="49"/>
        <v>71494.25807468452</v>
      </c>
      <c r="Q541" s="262">
        <v>0.2</v>
      </c>
      <c r="R541" s="92"/>
    </row>
    <row r="542" spans="1:18" x14ac:dyDescent="0.25">
      <c r="A542" s="326">
        <v>2005</v>
      </c>
      <c r="B542" s="326" t="s">
        <v>806</v>
      </c>
      <c r="C542" s="264" t="s">
        <v>409</v>
      </c>
      <c r="D542" s="157" t="s">
        <v>470</v>
      </c>
      <c r="E542" s="44">
        <f t="shared" si="48"/>
        <v>38533</v>
      </c>
      <c r="F542" s="146" t="str">
        <f t="shared" si="46"/>
        <v>2004-05</v>
      </c>
      <c r="G542" s="1"/>
      <c r="H542" s="161"/>
      <c r="I542" s="37"/>
      <c r="J542" s="135">
        <f t="shared" si="50"/>
        <v>0.9161881535038825</v>
      </c>
      <c r="K542" s="112"/>
      <c r="L542" s="37">
        <v>202</v>
      </c>
      <c r="M542" s="37" t="s">
        <v>509</v>
      </c>
      <c r="N542" s="37">
        <v>1254.6931306169965</v>
      </c>
      <c r="O542" s="130">
        <f t="shared" si="47"/>
        <v>253448.0123846333</v>
      </c>
      <c r="P542" s="132">
        <f t="shared" si="49"/>
        <v>46441.213295181267</v>
      </c>
      <c r="Q542" s="262">
        <v>0.2</v>
      </c>
      <c r="R542" s="92"/>
    </row>
    <row r="543" spans="1:18" x14ac:dyDescent="0.25">
      <c r="A543" s="326">
        <v>2005</v>
      </c>
      <c r="B543" s="326" t="s">
        <v>806</v>
      </c>
      <c r="C543" s="264" t="s">
        <v>409</v>
      </c>
      <c r="D543" s="157" t="s">
        <v>470</v>
      </c>
      <c r="E543" s="44">
        <f t="shared" si="48"/>
        <v>38533</v>
      </c>
      <c r="F543" s="146" t="str">
        <f t="shared" si="46"/>
        <v>2004-05</v>
      </c>
      <c r="G543" s="1"/>
      <c r="H543" s="161"/>
      <c r="I543" s="37"/>
      <c r="J543" s="135">
        <f t="shared" si="50"/>
        <v>0.9161881535038825</v>
      </c>
      <c r="K543" s="112"/>
      <c r="L543" s="37">
        <v>2257</v>
      </c>
      <c r="M543" s="37" t="s">
        <v>509</v>
      </c>
      <c r="N543" s="37">
        <v>1254.6931306169965</v>
      </c>
      <c r="O543" s="130">
        <f t="shared" si="47"/>
        <v>2831842.3958025612</v>
      </c>
      <c r="P543" s="132">
        <f t="shared" si="49"/>
        <v>518900.09112487186</v>
      </c>
      <c r="Q543" s="262">
        <v>0.2</v>
      </c>
      <c r="R543" s="92"/>
    </row>
    <row r="544" spans="1:18" x14ac:dyDescent="0.25">
      <c r="A544" s="326">
        <v>2005</v>
      </c>
      <c r="B544" s="326" t="s">
        <v>806</v>
      </c>
      <c r="C544" s="264" t="s">
        <v>409</v>
      </c>
      <c r="D544" s="157" t="s">
        <v>470</v>
      </c>
      <c r="E544" s="44">
        <f t="shared" si="48"/>
        <v>38533</v>
      </c>
      <c r="F544" s="146" t="str">
        <f t="shared" si="46"/>
        <v>2004-05</v>
      </c>
      <c r="G544" s="1"/>
      <c r="H544" s="161"/>
      <c r="I544" s="37"/>
      <c r="J544" s="135">
        <f t="shared" si="50"/>
        <v>0.9161881535038825</v>
      </c>
      <c r="K544" s="112"/>
      <c r="L544" s="37">
        <v>328</v>
      </c>
      <c r="M544" s="37" t="s">
        <v>509</v>
      </c>
      <c r="N544" s="37">
        <v>1254.6931306169965</v>
      </c>
      <c r="O544" s="130">
        <f t="shared" si="47"/>
        <v>411539.34684237489</v>
      </c>
      <c r="P544" s="132">
        <f t="shared" si="49"/>
        <v>75409.494855541867</v>
      </c>
      <c r="Q544" s="262">
        <v>0.2</v>
      </c>
      <c r="R544" s="92"/>
    </row>
    <row r="545" spans="1:18" x14ac:dyDescent="0.25">
      <c r="A545" s="326">
        <v>2005</v>
      </c>
      <c r="B545" s="326" t="s">
        <v>806</v>
      </c>
      <c r="C545" s="264" t="s">
        <v>409</v>
      </c>
      <c r="D545" s="157" t="s">
        <v>470</v>
      </c>
      <c r="E545" s="44">
        <f t="shared" si="48"/>
        <v>38533</v>
      </c>
      <c r="F545" s="146" t="str">
        <f t="shared" si="46"/>
        <v>2004-05</v>
      </c>
      <c r="G545" s="1"/>
      <c r="H545" s="161"/>
      <c r="I545" s="37"/>
      <c r="J545" s="135">
        <f t="shared" si="50"/>
        <v>0.9161881535038825</v>
      </c>
      <c r="K545" s="112"/>
      <c r="L545" s="37">
        <v>2209.6224152016102</v>
      </c>
      <c r="M545" s="37" t="s">
        <v>509</v>
      </c>
      <c r="N545" s="37">
        <v>1254.6931306169965</v>
      </c>
      <c r="O545" s="130">
        <f t="shared" si="47"/>
        <v>2772398.0656107971</v>
      </c>
      <c r="P545" s="132">
        <f t="shared" si="49"/>
        <v>508007.65290193842</v>
      </c>
      <c r="Q545" s="262">
        <v>0.2</v>
      </c>
      <c r="R545" s="92"/>
    </row>
    <row r="546" spans="1:18" x14ac:dyDescent="0.25">
      <c r="A546" s="326">
        <v>2005</v>
      </c>
      <c r="B546" s="326" t="s">
        <v>806</v>
      </c>
      <c r="C546" s="264" t="s">
        <v>409</v>
      </c>
      <c r="D546" s="157" t="s">
        <v>470</v>
      </c>
      <c r="E546" s="44">
        <f t="shared" si="48"/>
        <v>38533</v>
      </c>
      <c r="F546" s="146" t="str">
        <f t="shared" si="46"/>
        <v>2004-05</v>
      </c>
      <c r="G546" s="1"/>
      <c r="H546" s="161"/>
      <c r="I546" s="37"/>
      <c r="J546" s="135">
        <f t="shared" si="50"/>
        <v>0.9161881535038825</v>
      </c>
      <c r="K546" s="112"/>
      <c r="L546" s="37">
        <v>39</v>
      </c>
      <c r="M546" s="37" t="s">
        <v>509</v>
      </c>
      <c r="N546" s="37">
        <v>1457.634509895227</v>
      </c>
      <c r="O546" s="130">
        <f t="shared" si="47"/>
        <v>56847.74588591385</v>
      </c>
      <c r="P546" s="132">
        <f t="shared" si="49"/>
        <v>10416.646266814671</v>
      </c>
      <c r="Q546" s="262">
        <v>0.2</v>
      </c>
      <c r="R546" s="92"/>
    </row>
    <row r="547" spans="1:18" x14ac:dyDescent="0.25">
      <c r="A547" s="326">
        <v>2005</v>
      </c>
      <c r="B547" s="326" t="s">
        <v>806</v>
      </c>
      <c r="C547" s="264" t="s">
        <v>409</v>
      </c>
      <c r="D547" s="157" t="s">
        <v>470</v>
      </c>
      <c r="E547" s="44">
        <f t="shared" si="48"/>
        <v>38533</v>
      </c>
      <c r="F547" s="146" t="str">
        <f t="shared" si="46"/>
        <v>2004-05</v>
      </c>
      <c r="G547" s="1"/>
      <c r="H547" s="161"/>
      <c r="I547" s="37"/>
      <c r="J547" s="135">
        <f t="shared" si="50"/>
        <v>0.9161881535038825</v>
      </c>
      <c r="K547" s="112"/>
      <c r="L547" s="37">
        <v>332</v>
      </c>
      <c r="M547" s="37" t="s">
        <v>509</v>
      </c>
      <c r="N547" s="37">
        <v>1457.634509895227</v>
      </c>
      <c r="O547" s="130">
        <f t="shared" si="47"/>
        <v>483934.65728521533</v>
      </c>
      <c r="P547" s="132">
        <f t="shared" si="49"/>
        <v>88675.040014935134</v>
      </c>
      <c r="Q547" s="262">
        <v>0.2</v>
      </c>
      <c r="R547" s="92"/>
    </row>
    <row r="548" spans="1:18" x14ac:dyDescent="0.25">
      <c r="A548" s="326">
        <v>2005</v>
      </c>
      <c r="B548" s="326" t="s">
        <v>806</v>
      </c>
      <c r="C548" s="264" t="s">
        <v>409</v>
      </c>
      <c r="D548" s="157" t="s">
        <v>470</v>
      </c>
      <c r="E548" s="44">
        <f t="shared" si="48"/>
        <v>38533</v>
      </c>
      <c r="F548" s="146" t="str">
        <f t="shared" si="46"/>
        <v>2004-05</v>
      </c>
      <c r="G548" s="1"/>
      <c r="H548" s="161"/>
      <c r="I548" s="37"/>
      <c r="J548" s="135">
        <f t="shared" si="50"/>
        <v>0.9161881535038825</v>
      </c>
      <c r="K548" s="112"/>
      <c r="L548" s="37">
        <v>260</v>
      </c>
      <c r="M548" s="37" t="s">
        <v>509</v>
      </c>
      <c r="N548" s="37">
        <v>1457.634509895227</v>
      </c>
      <c r="O548" s="130">
        <f t="shared" si="47"/>
        <v>378984.97257275903</v>
      </c>
      <c r="P548" s="132">
        <f t="shared" si="49"/>
        <v>69444.308445431132</v>
      </c>
      <c r="Q548" s="262">
        <v>0.2</v>
      </c>
      <c r="R548" s="92"/>
    </row>
    <row r="549" spans="1:18" x14ac:dyDescent="0.25">
      <c r="A549" s="326">
        <v>2005</v>
      </c>
      <c r="B549" s="326" t="s">
        <v>806</v>
      </c>
      <c r="C549" s="264" t="s">
        <v>409</v>
      </c>
      <c r="D549" s="157" t="s">
        <v>470</v>
      </c>
      <c r="E549" s="44">
        <f t="shared" si="48"/>
        <v>38533</v>
      </c>
      <c r="F549" s="146" t="str">
        <f t="shared" si="46"/>
        <v>2004-05</v>
      </c>
      <c r="G549" s="1"/>
      <c r="H549" s="161"/>
      <c r="I549" s="37"/>
      <c r="J549" s="135">
        <f t="shared" si="50"/>
        <v>0.9161881535038825</v>
      </c>
      <c r="K549" s="112"/>
      <c r="L549" s="37">
        <v>1686</v>
      </c>
      <c r="M549" s="37" t="s">
        <v>509</v>
      </c>
      <c r="N549" s="37">
        <v>1457.634509895227</v>
      </c>
      <c r="O549" s="130">
        <f t="shared" si="47"/>
        <v>2457571.7836833526</v>
      </c>
      <c r="P549" s="132">
        <f t="shared" si="49"/>
        <v>450319.63091921876</v>
      </c>
      <c r="Q549" s="262">
        <v>0.2</v>
      </c>
      <c r="R549" s="92"/>
    </row>
    <row r="550" spans="1:18" x14ac:dyDescent="0.25">
      <c r="A550" s="326">
        <v>2005</v>
      </c>
      <c r="B550" s="326" t="s">
        <v>806</v>
      </c>
      <c r="C550" s="264" t="s">
        <v>409</v>
      </c>
      <c r="D550" s="157" t="s">
        <v>470</v>
      </c>
      <c r="E550" s="44">
        <f t="shared" si="48"/>
        <v>38533</v>
      </c>
      <c r="F550" s="146" t="str">
        <f t="shared" si="46"/>
        <v>2004-05</v>
      </c>
      <c r="G550" s="1"/>
      <c r="H550" s="161"/>
      <c r="I550" s="37"/>
      <c r="J550" s="135">
        <f t="shared" si="50"/>
        <v>0.9161881535038825</v>
      </c>
      <c r="K550" s="112"/>
      <c r="L550" s="37">
        <v>1303.896554448</v>
      </c>
      <c r="M550" s="37" t="s">
        <v>509</v>
      </c>
      <c r="N550" s="37">
        <v>1457.634509895227</v>
      </c>
      <c r="O550" s="130">
        <f t="shared" si="47"/>
        <v>1900604.6150968855</v>
      </c>
      <c r="P550" s="132">
        <f t="shared" si="49"/>
        <v>348262.28656931454</v>
      </c>
      <c r="Q550" s="262">
        <v>0.2</v>
      </c>
      <c r="R550" s="92"/>
    </row>
    <row r="551" spans="1:18" x14ac:dyDescent="0.25">
      <c r="A551" s="326">
        <v>40057</v>
      </c>
      <c r="B551" s="326" t="s">
        <v>806</v>
      </c>
      <c r="C551" s="264" t="s">
        <v>289</v>
      </c>
      <c r="D551" s="157" t="s">
        <v>471</v>
      </c>
      <c r="E551" s="44">
        <f>A551</f>
        <v>40057</v>
      </c>
      <c r="F551" s="146" t="str">
        <f t="shared" si="46"/>
        <v>2009-10</v>
      </c>
      <c r="G551" s="1"/>
      <c r="H551" s="161"/>
      <c r="I551" s="37"/>
      <c r="J551" s="135">
        <f t="shared" si="50"/>
        <v>0.9161881535038825</v>
      </c>
      <c r="K551" s="112"/>
      <c r="L551" s="37">
        <v>100.506996665</v>
      </c>
      <c r="M551" s="37" t="s">
        <v>509</v>
      </c>
      <c r="N551" s="37">
        <v>1338.5980487804875</v>
      </c>
      <c r="O551" s="130">
        <f t="shared" si="47"/>
        <v>134538.46962455596</v>
      </c>
      <c r="P551" s="132">
        <f t="shared" si="49"/>
        <v>123262.55206056011</v>
      </c>
      <c r="Q551" s="262">
        <v>1</v>
      </c>
      <c r="R551" s="92"/>
    </row>
    <row r="552" spans="1:18" x14ac:dyDescent="0.25">
      <c r="A552" s="326">
        <v>40057</v>
      </c>
      <c r="B552" s="326" t="s">
        <v>806</v>
      </c>
      <c r="C552" s="264" t="s">
        <v>289</v>
      </c>
      <c r="D552" s="157" t="s">
        <v>472</v>
      </c>
      <c r="E552" s="44">
        <f t="shared" ref="E552:E615" si="51">A552</f>
        <v>40057</v>
      </c>
      <c r="F552" s="146" t="str">
        <f t="shared" si="46"/>
        <v>2009-10</v>
      </c>
      <c r="G552" s="1"/>
      <c r="H552" s="161"/>
      <c r="I552" s="37"/>
      <c r="J552" s="135">
        <f t="shared" si="50"/>
        <v>0.9161881535038825</v>
      </c>
      <c r="K552" s="112"/>
      <c r="L552" s="37">
        <v>37.474470910199997</v>
      </c>
      <c r="M552" s="37" t="s">
        <v>509</v>
      </c>
      <c r="N552" s="37">
        <v>1338.5980487804875</v>
      </c>
      <c r="O552" s="130">
        <f t="shared" si="47"/>
        <v>50163.253639474853</v>
      </c>
      <c r="P552" s="132">
        <f t="shared" si="49"/>
        <v>45958.97872569738</v>
      </c>
      <c r="Q552" s="262">
        <v>1</v>
      </c>
      <c r="R552" s="92"/>
    </row>
    <row r="553" spans="1:18" x14ac:dyDescent="0.25">
      <c r="A553" s="326">
        <v>40057</v>
      </c>
      <c r="B553" s="326" t="s">
        <v>806</v>
      </c>
      <c r="C553" s="264" t="s">
        <v>289</v>
      </c>
      <c r="D553" s="157" t="s">
        <v>472</v>
      </c>
      <c r="E553" s="44">
        <f t="shared" si="51"/>
        <v>40057</v>
      </c>
      <c r="F553" s="146" t="str">
        <f t="shared" si="46"/>
        <v>2009-10</v>
      </c>
      <c r="G553" s="1"/>
      <c r="H553" s="161"/>
      <c r="I553" s="37"/>
      <c r="J553" s="135">
        <f t="shared" si="50"/>
        <v>0.9161881535038825</v>
      </c>
      <c r="K553" s="112"/>
      <c r="L553" s="37">
        <v>17.924524902999998</v>
      </c>
      <c r="M553" s="37" t="s">
        <v>509</v>
      </c>
      <c r="N553" s="37">
        <v>1338.5980487804875</v>
      </c>
      <c r="O553" s="130">
        <f t="shared" si="47"/>
        <v>23993.734060473056</v>
      </c>
      <c r="P553" s="132">
        <f t="shared" si="49"/>
        <v>21982.774904528022</v>
      </c>
      <c r="Q553" s="262">
        <v>1</v>
      </c>
      <c r="R553" s="92"/>
    </row>
    <row r="554" spans="1:18" x14ac:dyDescent="0.25">
      <c r="A554" s="326">
        <v>40057</v>
      </c>
      <c r="B554" s="326" t="s">
        <v>806</v>
      </c>
      <c r="C554" s="264" t="s">
        <v>289</v>
      </c>
      <c r="D554" s="157" t="s">
        <v>472</v>
      </c>
      <c r="E554" s="44">
        <f t="shared" si="51"/>
        <v>40057</v>
      </c>
      <c r="F554" s="146" t="str">
        <f t="shared" si="46"/>
        <v>2009-10</v>
      </c>
      <c r="G554" s="1"/>
      <c r="H554" s="161"/>
      <c r="I554" s="37"/>
      <c r="J554" s="135">
        <f t="shared" si="50"/>
        <v>0.9161881535038825</v>
      </c>
      <c r="K554" s="112"/>
      <c r="L554" s="37">
        <v>6.8272315033300002</v>
      </c>
      <c r="M554" s="37" t="s">
        <v>509</v>
      </c>
      <c r="N554" s="37">
        <v>1338.5980487804875</v>
      </c>
      <c r="O554" s="130">
        <f t="shared" si="47"/>
        <v>9138.9187689302125</v>
      </c>
      <c r="P554" s="132">
        <f t="shared" si="49"/>
        <v>8372.969111928147</v>
      </c>
      <c r="Q554" s="262">
        <v>1</v>
      </c>
      <c r="R554" s="92"/>
    </row>
    <row r="555" spans="1:18" x14ac:dyDescent="0.25">
      <c r="A555" s="326">
        <v>40057</v>
      </c>
      <c r="B555" s="326" t="s">
        <v>806</v>
      </c>
      <c r="C555" s="264" t="s">
        <v>289</v>
      </c>
      <c r="D555" s="157" t="s">
        <v>472</v>
      </c>
      <c r="E555" s="44">
        <f t="shared" si="51"/>
        <v>40057</v>
      </c>
      <c r="F555" s="146" t="str">
        <f t="shared" si="46"/>
        <v>2009-10</v>
      </c>
      <c r="G555" s="1"/>
      <c r="H555" s="161"/>
      <c r="I555" s="37"/>
      <c r="J555" s="135">
        <f t="shared" si="50"/>
        <v>0.9161881535038825</v>
      </c>
      <c r="K555" s="112"/>
      <c r="L555" s="37">
        <v>5.4961849495799999</v>
      </c>
      <c r="M555" s="37" t="s">
        <v>509</v>
      </c>
      <c r="N555" s="37">
        <v>1338.5980487804875</v>
      </c>
      <c r="O555" s="130">
        <f t="shared" si="47"/>
        <v>7357.1824492444703</v>
      </c>
      <c r="P555" s="132">
        <f t="shared" si="49"/>
        <v>6740.5634031644631</v>
      </c>
      <c r="Q555" s="262">
        <v>1</v>
      </c>
      <c r="R555" s="92"/>
    </row>
    <row r="556" spans="1:18" x14ac:dyDescent="0.25">
      <c r="A556" s="326">
        <v>40057</v>
      </c>
      <c r="B556" s="326" t="s">
        <v>806</v>
      </c>
      <c r="C556" s="264" t="s">
        <v>289</v>
      </c>
      <c r="D556" s="157" t="s">
        <v>472</v>
      </c>
      <c r="E556" s="44">
        <f t="shared" si="51"/>
        <v>40057</v>
      </c>
      <c r="F556" s="146" t="str">
        <f t="shared" si="46"/>
        <v>2009-10</v>
      </c>
      <c r="G556" s="1"/>
      <c r="H556" s="161"/>
      <c r="I556" s="37"/>
      <c r="J556" s="135">
        <f t="shared" si="50"/>
        <v>0.9161881535038825</v>
      </c>
      <c r="K556" s="112"/>
      <c r="L556" s="37">
        <v>14.989434445600001</v>
      </c>
      <c r="M556" s="37" t="s">
        <v>509</v>
      </c>
      <c r="N556" s="37">
        <v>1338.5980487804875</v>
      </c>
      <c r="O556" s="130">
        <f t="shared" si="47"/>
        <v>20064.82770120319</v>
      </c>
      <c r="P556" s="132">
        <f t="shared" si="49"/>
        <v>18383.157441938904</v>
      </c>
      <c r="Q556" s="262">
        <v>1</v>
      </c>
      <c r="R556" s="92"/>
    </row>
    <row r="557" spans="1:18" x14ac:dyDescent="0.25">
      <c r="A557" s="326">
        <v>40057</v>
      </c>
      <c r="B557" s="326" t="s">
        <v>806</v>
      </c>
      <c r="C557" s="264" t="s">
        <v>289</v>
      </c>
      <c r="D557" s="157" t="s">
        <v>472</v>
      </c>
      <c r="E557" s="44">
        <f t="shared" si="51"/>
        <v>40057</v>
      </c>
      <c r="F557" s="146" t="str">
        <f t="shared" si="46"/>
        <v>2009-10</v>
      </c>
      <c r="G557" s="1"/>
      <c r="H557" s="161"/>
      <c r="I557" s="37"/>
      <c r="J557" s="135">
        <f t="shared" si="50"/>
        <v>0.9161881535038825</v>
      </c>
      <c r="K557" s="112"/>
      <c r="L557" s="37">
        <v>19.986111102500001</v>
      </c>
      <c r="M557" s="37" t="s">
        <v>509</v>
      </c>
      <c r="N557" s="37">
        <v>1338.5980487804875</v>
      </c>
      <c r="O557" s="130">
        <f t="shared" si="47"/>
        <v>26753.369324516538</v>
      </c>
      <c r="P557" s="132">
        <f t="shared" si="49"/>
        <v>24511.120041436217</v>
      </c>
      <c r="Q557" s="262">
        <v>1</v>
      </c>
      <c r="R557" s="92"/>
    </row>
    <row r="558" spans="1:18" x14ac:dyDescent="0.25">
      <c r="A558" s="326">
        <v>40057</v>
      </c>
      <c r="B558" s="326" t="s">
        <v>806</v>
      </c>
      <c r="C558" s="264" t="s">
        <v>289</v>
      </c>
      <c r="D558" s="157" t="s">
        <v>472</v>
      </c>
      <c r="E558" s="44">
        <f t="shared" si="51"/>
        <v>40057</v>
      </c>
      <c r="F558" s="146" t="str">
        <f t="shared" si="46"/>
        <v>2009-10</v>
      </c>
      <c r="G558" s="1"/>
      <c r="H558" s="161"/>
      <c r="I558" s="37"/>
      <c r="J558" s="135">
        <f t="shared" si="50"/>
        <v>0.9161881535038825</v>
      </c>
      <c r="K558" s="112"/>
      <c r="L558" s="37">
        <v>32.977109697499998</v>
      </c>
      <c r="M558" s="37" t="s">
        <v>509</v>
      </c>
      <c r="N558" s="37">
        <v>1338.5980487804875</v>
      </c>
      <c r="O558" s="130">
        <f t="shared" si="47"/>
        <v>44143.094695493586</v>
      </c>
      <c r="P558" s="132">
        <f t="shared" si="49"/>
        <v>40443.380419011301</v>
      </c>
      <c r="Q558" s="262">
        <v>1</v>
      </c>
      <c r="R558" s="92"/>
    </row>
    <row r="559" spans="1:18" x14ac:dyDescent="0.25">
      <c r="A559" s="326">
        <v>40057</v>
      </c>
      <c r="B559" s="326" t="s">
        <v>806</v>
      </c>
      <c r="C559" s="264" t="s">
        <v>289</v>
      </c>
      <c r="D559" s="157" t="s">
        <v>473</v>
      </c>
      <c r="E559" s="44">
        <f t="shared" si="51"/>
        <v>40057</v>
      </c>
      <c r="F559" s="146" t="str">
        <f t="shared" si="46"/>
        <v>2009-10</v>
      </c>
      <c r="G559" s="1"/>
      <c r="H559" s="161"/>
      <c r="I559" s="37"/>
      <c r="J559" s="135">
        <f t="shared" si="50"/>
        <v>0.9161881535038825</v>
      </c>
      <c r="K559" s="112"/>
      <c r="L559" s="37">
        <v>55.083702580699999</v>
      </c>
      <c r="M559" s="37" t="s">
        <v>509</v>
      </c>
      <c r="N559" s="37">
        <v>1338.5980487804875</v>
      </c>
      <c r="O559" s="130">
        <f t="shared" si="47"/>
        <v>73734.936794129724</v>
      </c>
      <c r="P559" s="132">
        <f t="shared" si="49"/>
        <v>67555.075590139197</v>
      </c>
      <c r="Q559" s="262">
        <v>1</v>
      </c>
      <c r="R559" s="92"/>
    </row>
    <row r="560" spans="1:18" x14ac:dyDescent="0.25">
      <c r="A560" s="326">
        <v>40057</v>
      </c>
      <c r="B560" s="326" t="s">
        <v>806</v>
      </c>
      <c r="C560" s="264" t="s">
        <v>289</v>
      </c>
      <c r="D560" s="157" t="s">
        <v>473</v>
      </c>
      <c r="E560" s="44">
        <f t="shared" si="51"/>
        <v>40057</v>
      </c>
      <c r="F560" s="146" t="str">
        <f t="shared" si="46"/>
        <v>2009-10</v>
      </c>
      <c r="G560" s="1"/>
      <c r="H560" s="161"/>
      <c r="I560" s="37"/>
      <c r="J560" s="135">
        <f t="shared" si="50"/>
        <v>0.9161881535038825</v>
      </c>
      <c r="K560" s="112"/>
      <c r="L560" s="37">
        <v>42.916678587699998</v>
      </c>
      <c r="M560" s="37" t="s">
        <v>509</v>
      </c>
      <c r="N560" s="37">
        <v>1338.5980487804875</v>
      </c>
      <c r="O560" s="130">
        <f t="shared" si="47"/>
        <v>57448.182217634545</v>
      </c>
      <c r="P560" s="132">
        <f t="shared" si="49"/>
        <v>52633.343988129171</v>
      </c>
      <c r="Q560" s="262">
        <v>1</v>
      </c>
      <c r="R560" s="92"/>
    </row>
    <row r="561" spans="1:18" x14ac:dyDescent="0.25">
      <c r="A561" s="326">
        <v>40057</v>
      </c>
      <c r="B561" s="326" t="s">
        <v>806</v>
      </c>
      <c r="C561" s="264" t="s">
        <v>289</v>
      </c>
      <c r="D561" s="157" t="s">
        <v>472</v>
      </c>
      <c r="E561" s="44">
        <f t="shared" si="51"/>
        <v>40057</v>
      </c>
      <c r="F561" s="146" t="str">
        <f t="shared" si="46"/>
        <v>2009-10</v>
      </c>
      <c r="G561" s="1"/>
      <c r="H561" s="161"/>
      <c r="I561" s="37"/>
      <c r="J561" s="135">
        <f t="shared" si="50"/>
        <v>0.9161881535038825</v>
      </c>
      <c r="K561" s="112"/>
      <c r="L561" s="37">
        <v>12.622591809899999</v>
      </c>
      <c r="M561" s="37" t="s">
        <v>509</v>
      </c>
      <c r="N561" s="37">
        <v>1338.5980487804875</v>
      </c>
      <c r="O561" s="130">
        <f t="shared" si="47"/>
        <v>16896.5767672847</v>
      </c>
      <c r="P561" s="132">
        <f t="shared" si="49"/>
        <v>15480.443468955169</v>
      </c>
      <c r="Q561" s="262">
        <v>1</v>
      </c>
      <c r="R561" s="92"/>
    </row>
    <row r="562" spans="1:18" x14ac:dyDescent="0.25">
      <c r="A562" s="326">
        <v>40057</v>
      </c>
      <c r="B562" s="326" t="s">
        <v>806</v>
      </c>
      <c r="C562" s="264" t="s">
        <v>289</v>
      </c>
      <c r="D562" s="157" t="s">
        <v>472</v>
      </c>
      <c r="E562" s="44">
        <f t="shared" si="51"/>
        <v>40057</v>
      </c>
      <c r="F562" s="146" t="str">
        <f t="shared" si="46"/>
        <v>2009-10</v>
      </c>
      <c r="G562" s="1"/>
      <c r="H562" s="161"/>
      <c r="I562" s="37"/>
      <c r="J562" s="135">
        <f t="shared" si="50"/>
        <v>0.9161881535038825</v>
      </c>
      <c r="K562" s="112"/>
      <c r="L562" s="37">
        <v>5.9960795525100004</v>
      </c>
      <c r="M562" s="37" t="s">
        <v>509</v>
      </c>
      <c r="N562" s="37">
        <v>1338.5980487804875</v>
      </c>
      <c r="O562" s="130">
        <f t="shared" si="47"/>
        <v>8026.3403893224649</v>
      </c>
      <c r="P562" s="132">
        <f t="shared" si="49"/>
        <v>7353.6379806869827</v>
      </c>
      <c r="Q562" s="262">
        <v>1</v>
      </c>
      <c r="R562" s="92"/>
    </row>
    <row r="563" spans="1:18" x14ac:dyDescent="0.25">
      <c r="A563" s="326">
        <v>40057</v>
      </c>
      <c r="B563" s="326" t="s">
        <v>806</v>
      </c>
      <c r="C563" s="264" t="s">
        <v>289</v>
      </c>
      <c r="D563" s="157" t="s">
        <v>473</v>
      </c>
      <c r="E563" s="44">
        <f t="shared" si="51"/>
        <v>40057</v>
      </c>
      <c r="F563" s="146" t="str">
        <f t="shared" si="46"/>
        <v>2009-10</v>
      </c>
      <c r="G563" s="1"/>
      <c r="H563" s="161"/>
      <c r="I563" s="37"/>
      <c r="J563" s="135">
        <f t="shared" si="50"/>
        <v>0.9161881535038825</v>
      </c>
      <c r="K563" s="112"/>
      <c r="L563" s="37">
        <v>3.0529159831200001</v>
      </c>
      <c r="M563" s="37" t="s">
        <v>509</v>
      </c>
      <c r="N563" s="37">
        <v>1338.5980487804875</v>
      </c>
      <c r="O563" s="130">
        <f t="shared" si="47"/>
        <v>4086.627378095196</v>
      </c>
      <c r="P563" s="132">
        <f t="shared" si="49"/>
        <v>3744.1195915954504</v>
      </c>
      <c r="Q563" s="262">
        <v>1</v>
      </c>
      <c r="R563" s="92"/>
    </row>
    <row r="564" spans="1:18" x14ac:dyDescent="0.25">
      <c r="A564" s="326">
        <v>40057</v>
      </c>
      <c r="B564" s="326" t="s">
        <v>806</v>
      </c>
      <c r="C564" s="264" t="s">
        <v>289</v>
      </c>
      <c r="D564" s="157" t="s">
        <v>473</v>
      </c>
      <c r="E564" s="44">
        <f t="shared" si="51"/>
        <v>40057</v>
      </c>
      <c r="F564" s="146" t="str">
        <f t="shared" si="46"/>
        <v>2009-10</v>
      </c>
      <c r="G564" s="1"/>
      <c r="H564" s="161"/>
      <c r="I564" s="37"/>
      <c r="J564" s="135">
        <f t="shared" si="50"/>
        <v>0.9161881535038825</v>
      </c>
      <c r="K564" s="112"/>
      <c r="L564" s="37">
        <v>3.5135523334699998</v>
      </c>
      <c r="M564" s="37" t="s">
        <v>509</v>
      </c>
      <c r="N564" s="37">
        <v>4416.6341463414628</v>
      </c>
      <c r="O564" s="130">
        <f t="shared" si="47"/>
        <v>15518.075210961328</v>
      </c>
      <c r="P564" s="132">
        <f t="shared" si="49"/>
        <v>14217.476673465031</v>
      </c>
      <c r="Q564" s="262">
        <v>1</v>
      </c>
      <c r="R564" s="92"/>
    </row>
    <row r="565" spans="1:18" x14ac:dyDescent="0.25">
      <c r="A565" s="326">
        <v>40057</v>
      </c>
      <c r="B565" s="326" t="s">
        <v>806</v>
      </c>
      <c r="C565" s="264" t="s">
        <v>289</v>
      </c>
      <c r="D565" s="157" t="s">
        <v>473</v>
      </c>
      <c r="E565" s="44">
        <f t="shared" si="51"/>
        <v>40057</v>
      </c>
      <c r="F565" s="146" t="str">
        <f t="shared" si="46"/>
        <v>2009-10</v>
      </c>
      <c r="G565" s="1"/>
      <c r="H565" s="161"/>
      <c r="I565" s="37"/>
      <c r="J565" s="135">
        <f t="shared" si="50"/>
        <v>0.9161881535038825</v>
      </c>
      <c r="K565" s="112"/>
      <c r="L565" s="37">
        <v>23.162689589100001</v>
      </c>
      <c r="M565" s="37" t="s">
        <v>509</v>
      </c>
      <c r="N565" s="37">
        <v>1338.5980487804875</v>
      </c>
      <c r="O565" s="130">
        <f t="shared" si="47"/>
        <v>31005.531088477372</v>
      </c>
      <c r="P565" s="132">
        <f t="shared" si="49"/>
        <v>28406.900276359309</v>
      </c>
      <c r="Q565" s="262">
        <v>1</v>
      </c>
      <c r="R565" s="92"/>
    </row>
    <row r="566" spans="1:18" x14ac:dyDescent="0.25">
      <c r="A566" s="326">
        <v>40057</v>
      </c>
      <c r="B566" s="326" t="s">
        <v>806</v>
      </c>
      <c r="C566" s="264" t="s">
        <v>289</v>
      </c>
      <c r="D566" s="157" t="s">
        <v>473</v>
      </c>
      <c r="E566" s="44">
        <f t="shared" si="51"/>
        <v>40057</v>
      </c>
      <c r="F566" s="146" t="str">
        <f t="shared" si="46"/>
        <v>2009-10</v>
      </c>
      <c r="G566" s="1"/>
      <c r="H566" s="161"/>
      <c r="I566" s="37"/>
      <c r="J566" s="135">
        <f t="shared" si="50"/>
        <v>0.9161881535038825</v>
      </c>
      <c r="K566" s="112"/>
      <c r="L566" s="37">
        <v>22.917631836599998</v>
      </c>
      <c r="M566" s="37" t="s">
        <v>509</v>
      </c>
      <c r="N566" s="37">
        <v>1338.5980487804875</v>
      </c>
      <c r="O566" s="130">
        <f t="shared" si="47"/>
        <v>30677.497259142339</v>
      </c>
      <c r="P566" s="132">
        <f t="shared" si="49"/>
        <v>28106.359567974036</v>
      </c>
      <c r="Q566" s="262">
        <v>1</v>
      </c>
      <c r="R566" s="92"/>
    </row>
    <row r="567" spans="1:18" x14ac:dyDescent="0.25">
      <c r="A567" s="326">
        <v>40057</v>
      </c>
      <c r="B567" s="326" t="s">
        <v>806</v>
      </c>
      <c r="C567" s="264" t="s">
        <v>289</v>
      </c>
      <c r="D567" s="157" t="s">
        <v>473</v>
      </c>
      <c r="E567" s="44">
        <f t="shared" si="51"/>
        <v>40057</v>
      </c>
      <c r="F567" s="146" t="str">
        <f t="shared" si="46"/>
        <v>2009-10</v>
      </c>
      <c r="G567" s="1"/>
      <c r="H567" s="161"/>
      <c r="I567" s="37"/>
      <c r="J567" s="135">
        <f t="shared" si="50"/>
        <v>0.9161881535038825</v>
      </c>
      <c r="K567" s="112"/>
      <c r="L567" s="37">
        <v>20.454403071200002</v>
      </c>
      <c r="M567" s="37" t="s">
        <v>509</v>
      </c>
      <c r="N567" s="37">
        <v>1338.5980487804875</v>
      </c>
      <c r="O567" s="130">
        <f t="shared" si="47"/>
        <v>27380.224040077934</v>
      </c>
      <c r="P567" s="132">
        <f t="shared" si="49"/>
        <v>25085.436905801616</v>
      </c>
      <c r="Q567" s="262">
        <v>1</v>
      </c>
      <c r="R567" s="92"/>
    </row>
    <row r="568" spans="1:18" x14ac:dyDescent="0.25">
      <c r="A568" s="326">
        <v>40057</v>
      </c>
      <c r="B568" s="326" t="s">
        <v>806</v>
      </c>
      <c r="C568" s="264" t="s">
        <v>289</v>
      </c>
      <c r="D568" s="157" t="s">
        <v>474</v>
      </c>
      <c r="E568" s="44">
        <f t="shared" si="51"/>
        <v>40057</v>
      </c>
      <c r="F568" s="146" t="str">
        <f t="shared" si="46"/>
        <v>2009-10</v>
      </c>
      <c r="G568" s="1"/>
      <c r="H568" s="161"/>
      <c r="I568" s="37"/>
      <c r="J568" s="135">
        <f t="shared" si="50"/>
        <v>0.9161881535038825</v>
      </c>
      <c r="K568" s="112"/>
      <c r="L568" s="37">
        <v>91.635324412599999</v>
      </c>
      <c r="M568" s="37" t="s">
        <v>509</v>
      </c>
      <c r="N568" s="37">
        <v>4416.6341463414628</v>
      </c>
      <c r="O568" s="130">
        <f t="shared" si="47"/>
        <v>404719.70281176659</v>
      </c>
      <c r="P568" s="132">
        <f t="shared" si="49"/>
        <v>370799.3972057525</v>
      </c>
      <c r="Q568" s="262">
        <v>1</v>
      </c>
      <c r="R568" s="92"/>
    </row>
    <row r="569" spans="1:18" x14ac:dyDescent="0.25">
      <c r="A569" s="326">
        <v>40057</v>
      </c>
      <c r="B569" s="326" t="s">
        <v>806</v>
      </c>
      <c r="C569" s="264" t="s">
        <v>289</v>
      </c>
      <c r="D569" s="157" t="s">
        <v>474</v>
      </c>
      <c r="E569" s="44">
        <f t="shared" si="51"/>
        <v>40057</v>
      </c>
      <c r="F569" s="146" t="str">
        <f t="shared" si="46"/>
        <v>2009-10</v>
      </c>
      <c r="G569" s="1"/>
      <c r="H569" s="161"/>
      <c r="I569" s="37"/>
      <c r="J569" s="135">
        <f t="shared" si="50"/>
        <v>0.9161881535038825</v>
      </c>
      <c r="K569" s="112"/>
      <c r="L569" s="37">
        <v>4.1971478410899996</v>
      </c>
      <c r="M569" s="37" t="s">
        <v>509</v>
      </c>
      <c r="N569" s="37">
        <v>4416.6341463414628</v>
      </c>
      <c r="O569" s="130">
        <f t="shared" si="47"/>
        <v>18537.266472201445</v>
      </c>
      <c r="P569" s="132">
        <f t="shared" si="49"/>
        <v>16983.623940175672</v>
      </c>
      <c r="Q569" s="262">
        <v>1</v>
      </c>
      <c r="R569" s="92"/>
    </row>
    <row r="570" spans="1:18" x14ac:dyDescent="0.25">
      <c r="A570" s="326">
        <v>40057</v>
      </c>
      <c r="B570" s="326" t="s">
        <v>806</v>
      </c>
      <c r="C570" s="264" t="s">
        <v>289</v>
      </c>
      <c r="D570" s="157" t="s">
        <v>474</v>
      </c>
      <c r="E570" s="44">
        <f t="shared" si="51"/>
        <v>40057</v>
      </c>
      <c r="F570" s="146" t="str">
        <f t="shared" si="46"/>
        <v>2009-10</v>
      </c>
      <c r="G570" s="1"/>
      <c r="H570" s="161"/>
      <c r="I570" s="37"/>
      <c r="J570" s="135">
        <f t="shared" si="50"/>
        <v>0.9161881535038825</v>
      </c>
      <c r="K570" s="112"/>
      <c r="L570" s="37">
        <v>2.1986164072199998</v>
      </c>
      <c r="M570" s="37" t="s">
        <v>509</v>
      </c>
      <c r="N570" s="37">
        <v>1338.5980487804875</v>
      </c>
      <c r="O570" s="130">
        <f t="shared" si="47"/>
        <v>2943.0636327214575</v>
      </c>
      <c r="P570" s="132">
        <f t="shared" si="49"/>
        <v>2696.4000353075007</v>
      </c>
      <c r="Q570" s="262">
        <v>1</v>
      </c>
      <c r="R570" s="92"/>
    </row>
    <row r="571" spans="1:18" x14ac:dyDescent="0.25">
      <c r="A571" s="326">
        <v>40057</v>
      </c>
      <c r="B571" s="326" t="s">
        <v>806</v>
      </c>
      <c r="C571" s="264" t="s">
        <v>289</v>
      </c>
      <c r="D571" s="157" t="s">
        <v>474</v>
      </c>
      <c r="E571" s="44">
        <f t="shared" si="51"/>
        <v>40057</v>
      </c>
      <c r="F571" s="146" t="str">
        <f t="shared" si="46"/>
        <v>2009-10</v>
      </c>
      <c r="G571" s="1"/>
      <c r="H571" s="161"/>
      <c r="I571" s="37"/>
      <c r="J571" s="135">
        <f t="shared" si="50"/>
        <v>0.9161881535038825</v>
      </c>
      <c r="K571" s="112"/>
      <c r="L571" s="37">
        <v>4.97127025126</v>
      </c>
      <c r="M571" s="37" t="s">
        <v>509</v>
      </c>
      <c r="N571" s="37">
        <v>1338.5980487804875</v>
      </c>
      <c r="O571" s="130">
        <f t="shared" si="47"/>
        <v>6654.5326582971202</v>
      </c>
      <c r="P571" s="132">
        <f t="shared" si="49"/>
        <v>6096.8039886365214</v>
      </c>
      <c r="Q571" s="262">
        <v>1</v>
      </c>
      <c r="R571" s="92"/>
    </row>
    <row r="572" spans="1:18" x14ac:dyDescent="0.25">
      <c r="A572" s="326">
        <v>40057</v>
      </c>
      <c r="B572" s="326" t="s">
        <v>806</v>
      </c>
      <c r="C572" s="264" t="s">
        <v>289</v>
      </c>
      <c r="D572" s="157" t="s">
        <v>473</v>
      </c>
      <c r="E572" s="44">
        <f t="shared" si="51"/>
        <v>40057</v>
      </c>
      <c r="F572" s="146" t="str">
        <f t="shared" si="46"/>
        <v>2009-10</v>
      </c>
      <c r="G572" s="1"/>
      <c r="H572" s="161"/>
      <c r="I572" s="37"/>
      <c r="J572" s="135">
        <f t="shared" si="50"/>
        <v>0.9161881535038825</v>
      </c>
      <c r="K572" s="112"/>
      <c r="L572" s="37">
        <v>26.1356048333</v>
      </c>
      <c r="M572" s="37" t="s">
        <v>509</v>
      </c>
      <c r="N572" s="37">
        <v>1338.5980487804875</v>
      </c>
      <c r="O572" s="130">
        <f t="shared" si="47"/>
        <v>34985.069633553256</v>
      </c>
      <c r="P572" s="132">
        <f t="shared" si="49"/>
        <v>32052.906347769909</v>
      </c>
      <c r="Q572" s="262">
        <v>1</v>
      </c>
      <c r="R572" s="92"/>
    </row>
    <row r="573" spans="1:18" x14ac:dyDescent="0.25">
      <c r="A573" s="326">
        <v>40057</v>
      </c>
      <c r="B573" s="326" t="s">
        <v>806</v>
      </c>
      <c r="C573" s="264" t="s">
        <v>289</v>
      </c>
      <c r="D573" s="157" t="s">
        <v>473</v>
      </c>
      <c r="E573" s="44">
        <f t="shared" si="51"/>
        <v>40057</v>
      </c>
      <c r="F573" s="146" t="str">
        <f t="shared" si="46"/>
        <v>2009-10</v>
      </c>
      <c r="G573" s="1"/>
      <c r="H573" s="161"/>
      <c r="I573" s="37"/>
      <c r="J573" s="135">
        <f t="shared" si="50"/>
        <v>0.9161881535038825</v>
      </c>
      <c r="K573" s="112"/>
      <c r="L573" s="37">
        <v>18.686214838800002</v>
      </c>
      <c r="M573" s="37" t="s">
        <v>509</v>
      </c>
      <c r="N573" s="37">
        <v>1338.5980487804875</v>
      </c>
      <c r="O573" s="130">
        <f t="shared" si="47"/>
        <v>25013.330722310675</v>
      </c>
      <c r="P573" s="132">
        <f t="shared" si="49"/>
        <v>22916.917287455752</v>
      </c>
      <c r="Q573" s="262">
        <v>1</v>
      </c>
      <c r="R573" s="92"/>
    </row>
    <row r="574" spans="1:18" x14ac:dyDescent="0.25">
      <c r="A574" s="326">
        <v>40057</v>
      </c>
      <c r="B574" s="326" t="s">
        <v>806</v>
      </c>
      <c r="C574" s="264" t="s">
        <v>289</v>
      </c>
      <c r="D574" s="157" t="s">
        <v>473</v>
      </c>
      <c r="E574" s="44">
        <f t="shared" si="51"/>
        <v>40057</v>
      </c>
      <c r="F574" s="146" t="str">
        <f t="shared" si="46"/>
        <v>2009-10</v>
      </c>
      <c r="G574" s="1"/>
      <c r="H574" s="161"/>
      <c r="I574" s="37"/>
      <c r="J574" s="135">
        <f t="shared" si="50"/>
        <v>0.9161881535038825</v>
      </c>
      <c r="K574" s="112"/>
      <c r="L574" s="37">
        <v>6.1822084241799997</v>
      </c>
      <c r="M574" s="37" t="s">
        <v>509</v>
      </c>
      <c r="N574" s="37">
        <v>1338.5980487804875</v>
      </c>
      <c r="O574" s="130">
        <f t="shared" si="47"/>
        <v>8275.4921337616397</v>
      </c>
      <c r="P574" s="132">
        <f t="shared" si="49"/>
        <v>7581.9078573669813</v>
      </c>
      <c r="Q574" s="262">
        <v>1</v>
      </c>
      <c r="R574" s="92"/>
    </row>
    <row r="575" spans="1:18" x14ac:dyDescent="0.25">
      <c r="A575" s="326">
        <v>40057</v>
      </c>
      <c r="B575" s="326" t="s">
        <v>806</v>
      </c>
      <c r="C575" s="264" t="s">
        <v>289</v>
      </c>
      <c r="D575" s="157" t="s">
        <v>473</v>
      </c>
      <c r="E575" s="44">
        <f t="shared" si="51"/>
        <v>40057</v>
      </c>
      <c r="F575" s="146" t="str">
        <f t="shared" si="46"/>
        <v>2009-10</v>
      </c>
      <c r="G575" s="1"/>
      <c r="H575" s="161"/>
      <c r="I575" s="37"/>
      <c r="J575" s="135">
        <f t="shared" si="50"/>
        <v>0.9161881535038825</v>
      </c>
      <c r="K575" s="112"/>
      <c r="L575" s="37">
        <v>17.053016771199999</v>
      </c>
      <c r="M575" s="37" t="s">
        <v>509</v>
      </c>
      <c r="N575" s="37">
        <v>1338.5980487804875</v>
      </c>
      <c r="O575" s="130">
        <f t="shared" si="47"/>
        <v>22827.134975749246</v>
      </c>
      <c r="P575" s="132">
        <f t="shared" si="49"/>
        <v>20913.950643215594</v>
      </c>
      <c r="Q575" s="262">
        <v>1</v>
      </c>
      <c r="R575" s="92"/>
    </row>
    <row r="576" spans="1:18" x14ac:dyDescent="0.25">
      <c r="A576" s="326">
        <v>40057</v>
      </c>
      <c r="B576" s="326" t="s">
        <v>806</v>
      </c>
      <c r="C576" s="264" t="s">
        <v>289</v>
      </c>
      <c r="D576" s="157" t="s">
        <v>473</v>
      </c>
      <c r="E576" s="44">
        <f t="shared" si="51"/>
        <v>40057</v>
      </c>
      <c r="F576" s="146" t="str">
        <f t="shared" ref="F576:F639" si="52">IF(E576="","-",IF(OR(E576&lt;$E$15,E576&gt;$E$16),"ERROR - date outside of range",IF(MONTH(E576)&gt;=7,YEAR(E576)&amp;"-"&amp;IF(YEAR(E576)=1999,"00",IF(AND(YEAR(E576)&gt;=2000,YEAR(E576)&lt;2009),"0","")&amp;RIGHT(YEAR(E576),2)+1),RIGHT(YEAR(E576),4)-1&amp;"-"&amp;RIGHT(YEAR(E576),2))))</f>
        <v>2009-10</v>
      </c>
      <c r="G576" s="1"/>
      <c r="H576" s="161"/>
      <c r="I576" s="37"/>
      <c r="J576" s="135">
        <f t="shared" si="50"/>
        <v>0.9161881535038825</v>
      </c>
      <c r="K576" s="112"/>
      <c r="L576" s="37">
        <v>1.74874240527</v>
      </c>
      <c r="M576" s="37" t="s">
        <v>509</v>
      </c>
      <c r="N576" s="37">
        <v>479.79317073170722</v>
      </c>
      <c r="O576" s="130">
        <f t="shared" si="47"/>
        <v>839.03466341748549</v>
      </c>
      <c r="P576" s="132">
        <f t="shared" si="49"/>
        <v>768.71361900221757</v>
      </c>
      <c r="Q576" s="262">
        <v>1</v>
      </c>
      <c r="R576" s="92"/>
    </row>
    <row r="577" spans="1:18" x14ac:dyDescent="0.25">
      <c r="A577" s="326">
        <v>40057</v>
      </c>
      <c r="B577" s="326" t="s">
        <v>806</v>
      </c>
      <c r="C577" s="264" t="s">
        <v>289</v>
      </c>
      <c r="D577" s="157" t="s">
        <v>473</v>
      </c>
      <c r="E577" s="44">
        <f t="shared" si="51"/>
        <v>40057</v>
      </c>
      <c r="F577" s="146" t="str">
        <f t="shared" si="52"/>
        <v>2009-10</v>
      </c>
      <c r="G577" s="1"/>
      <c r="H577" s="161"/>
      <c r="I577" s="37"/>
      <c r="J577" s="135">
        <f t="shared" si="50"/>
        <v>0.9161881535038825</v>
      </c>
      <c r="K577" s="112"/>
      <c r="L577" s="37">
        <v>6.2957071902699999</v>
      </c>
      <c r="M577" s="37" t="s">
        <v>509</v>
      </c>
      <c r="N577" s="37">
        <v>1338.5980487804875</v>
      </c>
      <c r="O577" s="130">
        <f t="shared" si="47"/>
        <v>8427.4213605887071</v>
      </c>
      <c r="P577" s="132">
        <f t="shared" si="49"/>
        <v>7721.1036151569442</v>
      </c>
      <c r="Q577" s="262">
        <v>1</v>
      </c>
      <c r="R577" s="92"/>
    </row>
    <row r="578" spans="1:18" x14ac:dyDescent="0.25">
      <c r="A578" s="326">
        <v>40057</v>
      </c>
      <c r="B578" s="326" t="s">
        <v>806</v>
      </c>
      <c r="C578" s="264" t="s">
        <v>289</v>
      </c>
      <c r="D578" s="157" t="s">
        <v>473</v>
      </c>
      <c r="E578" s="44">
        <f t="shared" si="51"/>
        <v>40057</v>
      </c>
      <c r="F578" s="146" t="str">
        <f t="shared" si="52"/>
        <v>2009-10</v>
      </c>
      <c r="G578" s="1"/>
      <c r="H578" s="161"/>
      <c r="I578" s="37"/>
      <c r="J578" s="135">
        <f t="shared" si="50"/>
        <v>0.9161881535038825</v>
      </c>
      <c r="K578" s="112"/>
      <c r="L578" s="37">
        <v>6.3573173284999998</v>
      </c>
      <c r="M578" s="37" t="s">
        <v>509</v>
      </c>
      <c r="N578" s="37">
        <v>1338.5980487804875</v>
      </c>
      <c r="O578" s="130">
        <f t="shared" si="47"/>
        <v>8509.8925714084817</v>
      </c>
      <c r="P578" s="132">
        <f t="shared" si="49"/>
        <v>7796.6627615151438</v>
      </c>
      <c r="Q578" s="262">
        <v>1</v>
      </c>
      <c r="R578" s="92"/>
    </row>
    <row r="579" spans="1:18" x14ac:dyDescent="0.25">
      <c r="A579" s="326">
        <v>40057</v>
      </c>
      <c r="B579" s="326" t="s">
        <v>806</v>
      </c>
      <c r="C579" s="264" t="s">
        <v>289</v>
      </c>
      <c r="D579" s="157" t="s">
        <v>473</v>
      </c>
      <c r="E579" s="44">
        <f t="shared" si="51"/>
        <v>40057</v>
      </c>
      <c r="F579" s="146" t="str">
        <f t="shared" si="52"/>
        <v>2009-10</v>
      </c>
      <c r="G579" s="1"/>
      <c r="H579" s="161"/>
      <c r="I579" s="37"/>
      <c r="J579" s="135">
        <f t="shared" si="50"/>
        <v>0.9161881535038825</v>
      </c>
      <c r="K579" s="112"/>
      <c r="L579" s="37">
        <v>13.690135426599999</v>
      </c>
      <c r="M579" s="37" t="s">
        <v>509</v>
      </c>
      <c r="N579" s="37">
        <v>4416.6341463414628</v>
      </c>
      <c r="O579" s="130">
        <f t="shared" si="47"/>
        <v>60464.319593160508</v>
      </c>
      <c r="P579" s="132">
        <f t="shared" si="49"/>
        <v>55396.693320926352</v>
      </c>
      <c r="Q579" s="262">
        <v>1</v>
      </c>
      <c r="R579" s="92"/>
    </row>
    <row r="580" spans="1:18" x14ac:dyDescent="0.25">
      <c r="A580" s="326">
        <v>40057</v>
      </c>
      <c r="B580" s="326" t="s">
        <v>806</v>
      </c>
      <c r="C580" s="264" t="s">
        <v>289</v>
      </c>
      <c r="D580" s="157" t="s">
        <v>471</v>
      </c>
      <c r="E580" s="44">
        <f t="shared" si="51"/>
        <v>40057</v>
      </c>
      <c r="F580" s="146" t="str">
        <f t="shared" si="52"/>
        <v>2009-10</v>
      </c>
      <c r="G580" s="1"/>
      <c r="H580" s="161"/>
      <c r="I580" s="37"/>
      <c r="J580" s="135">
        <f t="shared" si="50"/>
        <v>0.9161881535038825</v>
      </c>
      <c r="K580" s="112"/>
      <c r="L580" s="37">
        <v>50.4612753364</v>
      </c>
      <c r="M580" s="37" t="s">
        <v>509</v>
      </c>
      <c r="N580" s="37">
        <v>1338.5980487804875</v>
      </c>
      <c r="O580" s="130">
        <f t="shared" si="47"/>
        <v>67547.364704279971</v>
      </c>
      <c r="P580" s="132">
        <f t="shared" si="49"/>
        <v>61886.09534246759</v>
      </c>
      <c r="Q580" s="262">
        <v>1</v>
      </c>
      <c r="R580" s="92"/>
    </row>
    <row r="581" spans="1:18" x14ac:dyDescent="0.25">
      <c r="A581" s="326">
        <v>40057</v>
      </c>
      <c r="B581" s="326" t="s">
        <v>806</v>
      </c>
      <c r="C581" s="264" t="s">
        <v>289</v>
      </c>
      <c r="D581" s="157" t="s">
        <v>471</v>
      </c>
      <c r="E581" s="44">
        <f t="shared" si="51"/>
        <v>40057</v>
      </c>
      <c r="F581" s="146" t="str">
        <f t="shared" si="52"/>
        <v>2009-10</v>
      </c>
      <c r="G581" s="1"/>
      <c r="H581" s="161"/>
      <c r="I581" s="37"/>
      <c r="J581" s="135">
        <f t="shared" si="50"/>
        <v>0.9161881535038825</v>
      </c>
      <c r="K581" s="112"/>
      <c r="L581" s="37">
        <v>50.659045384800002</v>
      </c>
      <c r="M581" s="37" t="s">
        <v>509</v>
      </c>
      <c r="N581" s="37">
        <v>1338.5980487804875</v>
      </c>
      <c r="O581" s="130">
        <f t="shared" si="47"/>
        <v>67812.099305175449</v>
      </c>
      <c r="P581" s="132">
        <f t="shared" si="49"/>
        <v>62128.642047630608</v>
      </c>
      <c r="Q581" s="262">
        <v>1</v>
      </c>
      <c r="R581" s="92"/>
    </row>
    <row r="582" spans="1:18" x14ac:dyDescent="0.25">
      <c r="A582" s="326">
        <v>40057</v>
      </c>
      <c r="B582" s="326" t="s">
        <v>806</v>
      </c>
      <c r="C582" s="264" t="s">
        <v>289</v>
      </c>
      <c r="D582" s="157" t="s">
        <v>471</v>
      </c>
      <c r="E582" s="44">
        <f t="shared" si="51"/>
        <v>40057</v>
      </c>
      <c r="F582" s="146" t="str">
        <f t="shared" si="52"/>
        <v>2009-10</v>
      </c>
      <c r="G582" s="1"/>
      <c r="H582" s="161"/>
      <c r="I582" s="37"/>
      <c r="J582" s="135">
        <f t="shared" si="50"/>
        <v>0.9161881535038825</v>
      </c>
      <c r="K582" s="112"/>
      <c r="L582" s="37">
        <v>49.862550112999998</v>
      </c>
      <c r="M582" s="37" t="s">
        <v>509</v>
      </c>
      <c r="N582" s="37">
        <v>1338.5980487804875</v>
      </c>
      <c r="O582" s="130">
        <f t="shared" si="47"/>
        <v>66745.912288481079</v>
      </c>
      <c r="P582" s="132">
        <f t="shared" si="49"/>
        <v>61151.814133515581</v>
      </c>
      <c r="Q582" s="262">
        <v>1</v>
      </c>
      <c r="R582" s="92"/>
    </row>
    <row r="583" spans="1:18" x14ac:dyDescent="0.25">
      <c r="A583" s="326">
        <v>40057</v>
      </c>
      <c r="B583" s="326" t="s">
        <v>806</v>
      </c>
      <c r="C583" s="264" t="s">
        <v>289</v>
      </c>
      <c r="D583" s="157" t="s">
        <v>471</v>
      </c>
      <c r="E583" s="44">
        <f t="shared" si="51"/>
        <v>40057</v>
      </c>
      <c r="F583" s="146" t="str">
        <f t="shared" si="52"/>
        <v>2009-10</v>
      </c>
      <c r="G583" s="1"/>
      <c r="H583" s="161"/>
      <c r="I583" s="37"/>
      <c r="J583" s="135">
        <f t="shared" si="50"/>
        <v>0.9161881535038825</v>
      </c>
      <c r="K583" s="112"/>
      <c r="L583" s="37">
        <v>17.960613116000001</v>
      </c>
      <c r="M583" s="37" t="s">
        <v>509</v>
      </c>
      <c r="N583" s="37">
        <v>1338.5980487804875</v>
      </c>
      <c r="O583" s="130">
        <f t="shared" si="47"/>
        <v>24042.041671978834</v>
      </c>
      <c r="P583" s="132">
        <f t="shared" si="49"/>
        <v>22027.033765913682</v>
      </c>
      <c r="Q583" s="262">
        <v>1</v>
      </c>
      <c r="R583" s="92"/>
    </row>
    <row r="584" spans="1:18" x14ac:dyDescent="0.25">
      <c r="A584" s="326">
        <v>40057</v>
      </c>
      <c r="B584" s="326" t="s">
        <v>806</v>
      </c>
      <c r="C584" s="264" t="s">
        <v>289</v>
      </c>
      <c r="D584" s="157" t="s">
        <v>471</v>
      </c>
      <c r="E584" s="44">
        <f t="shared" si="51"/>
        <v>40057</v>
      </c>
      <c r="F584" s="146" t="str">
        <f t="shared" si="52"/>
        <v>2009-10</v>
      </c>
      <c r="G584" s="1"/>
      <c r="H584" s="161"/>
      <c r="I584" s="37"/>
      <c r="J584" s="135">
        <f t="shared" si="50"/>
        <v>0.9161881535038825</v>
      </c>
      <c r="K584" s="112"/>
      <c r="L584" s="37">
        <v>31.675310661200001</v>
      </c>
      <c r="M584" s="37" t="s">
        <v>509</v>
      </c>
      <c r="N584" s="37">
        <v>1338.5980487804875</v>
      </c>
      <c r="O584" s="130">
        <f t="shared" si="47"/>
        <v>42400.509045598097</v>
      </c>
      <c r="P584" s="132">
        <f t="shared" si="49"/>
        <v>38846.84409011119</v>
      </c>
      <c r="Q584" s="262">
        <v>1</v>
      </c>
      <c r="R584" s="92"/>
    </row>
    <row r="585" spans="1:18" x14ac:dyDescent="0.25">
      <c r="A585" s="326">
        <v>40057</v>
      </c>
      <c r="B585" s="326" t="s">
        <v>806</v>
      </c>
      <c r="C585" s="264" t="s">
        <v>289</v>
      </c>
      <c r="D585" s="157" t="s">
        <v>474</v>
      </c>
      <c r="E585" s="44">
        <f t="shared" si="51"/>
        <v>40057</v>
      </c>
      <c r="F585" s="146" t="str">
        <f t="shared" si="52"/>
        <v>2009-10</v>
      </c>
      <c r="G585" s="1"/>
      <c r="H585" s="161"/>
      <c r="I585" s="37"/>
      <c r="J585" s="135">
        <f t="shared" si="50"/>
        <v>0.9161881535038825</v>
      </c>
      <c r="K585" s="112"/>
      <c r="L585" s="37">
        <v>8.0947424897199998</v>
      </c>
      <c r="M585" s="37" t="s">
        <v>509</v>
      </c>
      <c r="N585" s="37">
        <v>1338.5980487804875</v>
      </c>
      <c r="O585" s="130">
        <f t="shared" si="47"/>
        <v>10835.606502119697</v>
      </c>
      <c r="P585" s="132">
        <f t="shared" si="49"/>
        <v>9927.4543132717081</v>
      </c>
      <c r="Q585" s="262">
        <v>1</v>
      </c>
      <c r="R585" s="92"/>
    </row>
    <row r="586" spans="1:18" x14ac:dyDescent="0.25">
      <c r="A586" s="326">
        <v>40057</v>
      </c>
      <c r="B586" s="326" t="s">
        <v>806</v>
      </c>
      <c r="C586" s="264" t="s">
        <v>289</v>
      </c>
      <c r="D586" s="157" t="s">
        <v>474</v>
      </c>
      <c r="E586" s="44">
        <f t="shared" si="51"/>
        <v>40057</v>
      </c>
      <c r="F586" s="146" t="str">
        <f t="shared" si="52"/>
        <v>2009-10</v>
      </c>
      <c r="G586" s="1"/>
      <c r="H586" s="161"/>
      <c r="I586" s="37"/>
      <c r="J586" s="135">
        <f t="shared" si="50"/>
        <v>0.9161881535038825</v>
      </c>
      <c r="K586" s="112"/>
      <c r="L586" s="37">
        <v>2.99832569945</v>
      </c>
      <c r="M586" s="37" t="s">
        <v>509</v>
      </c>
      <c r="N586" s="37">
        <v>1338.5980487804875</v>
      </c>
      <c r="O586" s="130">
        <f t="shared" si="47"/>
        <v>4013.5529308921605</v>
      </c>
      <c r="P586" s="132">
        <f t="shared" si="49"/>
        <v>3677.1696487441841</v>
      </c>
      <c r="Q586" s="262">
        <v>1</v>
      </c>
      <c r="R586" s="92"/>
    </row>
    <row r="587" spans="1:18" x14ac:dyDescent="0.25">
      <c r="A587" s="326">
        <v>40057</v>
      </c>
      <c r="B587" s="326" t="s">
        <v>806</v>
      </c>
      <c r="C587" s="264" t="s">
        <v>289</v>
      </c>
      <c r="D587" s="157" t="s">
        <v>474</v>
      </c>
      <c r="E587" s="44">
        <f t="shared" si="51"/>
        <v>40057</v>
      </c>
      <c r="F587" s="146" t="str">
        <f t="shared" si="52"/>
        <v>2009-10</v>
      </c>
      <c r="G587" s="1"/>
      <c r="H587" s="161"/>
      <c r="I587" s="37"/>
      <c r="J587" s="135">
        <f t="shared" si="50"/>
        <v>0.9161881535038825</v>
      </c>
      <c r="K587" s="112"/>
      <c r="L587" s="37">
        <v>2.9976484116700002</v>
      </c>
      <c r="M587" s="37" t="s">
        <v>509</v>
      </c>
      <c r="N587" s="37">
        <v>1338.5980487804875</v>
      </c>
      <c r="O587" s="130">
        <f t="shared" si="47"/>
        <v>4012.6463147913896</v>
      </c>
      <c r="P587" s="132">
        <f t="shared" si="49"/>
        <v>3676.339017812882</v>
      </c>
      <c r="Q587" s="262">
        <v>1</v>
      </c>
      <c r="R587" s="92"/>
    </row>
    <row r="588" spans="1:18" x14ac:dyDescent="0.25">
      <c r="A588" s="326">
        <v>40057</v>
      </c>
      <c r="B588" s="326" t="s">
        <v>806</v>
      </c>
      <c r="C588" s="264" t="s">
        <v>289</v>
      </c>
      <c r="D588" s="157" t="s">
        <v>471</v>
      </c>
      <c r="E588" s="44">
        <f t="shared" si="51"/>
        <v>40057</v>
      </c>
      <c r="F588" s="146" t="str">
        <f t="shared" si="52"/>
        <v>2009-10</v>
      </c>
      <c r="G588" s="1"/>
      <c r="H588" s="161"/>
      <c r="I588" s="37"/>
      <c r="J588" s="135">
        <f t="shared" si="50"/>
        <v>0.9161881535038825</v>
      </c>
      <c r="K588" s="112"/>
      <c r="L588" s="37">
        <v>1.7362548776</v>
      </c>
      <c r="M588" s="37" t="s">
        <v>509</v>
      </c>
      <c r="N588" s="37">
        <v>1338.5980487804875</v>
      </c>
      <c r="O588" s="130">
        <f t="shared" si="47"/>
        <v>2324.1473913409641</v>
      </c>
      <c r="P588" s="132">
        <f t="shared" si="49"/>
        <v>2129.3563069435431</v>
      </c>
      <c r="Q588" s="262">
        <v>1</v>
      </c>
      <c r="R588" s="92"/>
    </row>
    <row r="589" spans="1:18" x14ac:dyDescent="0.25">
      <c r="A589" s="326">
        <v>40057</v>
      </c>
      <c r="B589" s="326" t="s">
        <v>806</v>
      </c>
      <c r="C589" s="264" t="s">
        <v>289</v>
      </c>
      <c r="D589" s="157" t="s">
        <v>474</v>
      </c>
      <c r="E589" s="44">
        <f t="shared" si="51"/>
        <v>40057</v>
      </c>
      <c r="F589" s="146" t="str">
        <f t="shared" si="52"/>
        <v>2009-10</v>
      </c>
      <c r="G589" s="1"/>
      <c r="H589" s="161"/>
      <c r="I589" s="37"/>
      <c r="J589" s="135">
        <f t="shared" si="50"/>
        <v>0.9161881535038825</v>
      </c>
      <c r="K589" s="112"/>
      <c r="L589" s="37">
        <v>38.973281475900002</v>
      </c>
      <c r="M589" s="37" t="s">
        <v>509</v>
      </c>
      <c r="N589" s="37">
        <v>1338.5980487804875</v>
      </c>
      <c r="O589" s="130">
        <f t="shared" si="47"/>
        <v>52169.558538212463</v>
      </c>
      <c r="P589" s="132">
        <f t="shared" si="49"/>
        <v>47797.131506237587</v>
      </c>
      <c r="Q589" s="262">
        <v>1</v>
      </c>
      <c r="R589" s="92"/>
    </row>
    <row r="590" spans="1:18" x14ac:dyDescent="0.25">
      <c r="A590" s="326">
        <v>40057</v>
      </c>
      <c r="B590" s="326" t="s">
        <v>806</v>
      </c>
      <c r="C590" s="264" t="s">
        <v>289</v>
      </c>
      <c r="D590" s="157" t="s">
        <v>474</v>
      </c>
      <c r="E590" s="44">
        <f t="shared" si="51"/>
        <v>40057</v>
      </c>
      <c r="F590" s="146" t="str">
        <f t="shared" si="52"/>
        <v>2009-10</v>
      </c>
      <c r="G590" s="1"/>
      <c r="H590" s="161"/>
      <c r="I590" s="37"/>
      <c r="J590" s="135">
        <f t="shared" si="50"/>
        <v>0.9161881535038825</v>
      </c>
      <c r="K590" s="112"/>
      <c r="L590" s="37">
        <v>11.8423485002</v>
      </c>
      <c r="M590" s="37" t="s">
        <v>509</v>
      </c>
      <c r="N590" s="37">
        <v>1338.5980487804875</v>
      </c>
      <c r="O590" s="130">
        <f t="shared" si="47"/>
        <v>15852.144595346252</v>
      </c>
      <c r="P590" s="132">
        <f t="shared" si="49"/>
        <v>14523.547085886832</v>
      </c>
      <c r="Q590" s="262">
        <v>1</v>
      </c>
      <c r="R590" s="92"/>
    </row>
    <row r="591" spans="1:18" x14ac:dyDescent="0.25">
      <c r="A591" s="326">
        <v>40057</v>
      </c>
      <c r="B591" s="326" t="s">
        <v>806</v>
      </c>
      <c r="C591" s="264" t="s">
        <v>289</v>
      </c>
      <c r="D591" s="157" t="s">
        <v>474</v>
      </c>
      <c r="E591" s="44">
        <f t="shared" si="51"/>
        <v>40057</v>
      </c>
      <c r="F591" s="146" t="str">
        <f t="shared" si="52"/>
        <v>2009-10</v>
      </c>
      <c r="G591" s="1"/>
      <c r="H591" s="161"/>
      <c r="I591" s="37"/>
      <c r="J591" s="135">
        <f t="shared" si="50"/>
        <v>0.9161881535038825</v>
      </c>
      <c r="K591" s="112"/>
      <c r="L591" s="37">
        <v>3.9976574390500001</v>
      </c>
      <c r="M591" s="37" t="s">
        <v>509</v>
      </c>
      <c r="N591" s="37">
        <v>4416.6341463414628</v>
      </c>
      <c r="O591" s="130">
        <f t="shared" si="47"/>
        <v>17656.190350684195</v>
      </c>
      <c r="P591" s="132">
        <f t="shared" si="49"/>
        <v>16176.392435306421</v>
      </c>
      <c r="Q591" s="262">
        <v>1</v>
      </c>
      <c r="R591" s="92"/>
    </row>
    <row r="592" spans="1:18" x14ac:dyDescent="0.25">
      <c r="A592" s="326">
        <v>40057</v>
      </c>
      <c r="B592" s="326" t="s">
        <v>806</v>
      </c>
      <c r="C592" s="264" t="s">
        <v>289</v>
      </c>
      <c r="D592" s="157" t="s">
        <v>474</v>
      </c>
      <c r="E592" s="44">
        <f t="shared" si="51"/>
        <v>40057</v>
      </c>
      <c r="F592" s="146" t="str">
        <f t="shared" si="52"/>
        <v>2009-10</v>
      </c>
      <c r="G592" s="1"/>
      <c r="H592" s="161"/>
      <c r="I592" s="37"/>
      <c r="J592" s="135">
        <f t="shared" si="50"/>
        <v>0.9161881535038825</v>
      </c>
      <c r="K592" s="112"/>
      <c r="L592" s="37">
        <v>14.989524108499999</v>
      </c>
      <c r="M592" s="37" t="s">
        <v>509</v>
      </c>
      <c r="N592" s="37">
        <v>4416.6341463414628</v>
      </c>
      <c r="O592" s="130">
        <f t="shared" si="47"/>
        <v>66203.244015009666</v>
      </c>
      <c r="P592" s="132">
        <f t="shared" si="49"/>
        <v>60654.627890078664</v>
      </c>
      <c r="Q592" s="262">
        <v>1</v>
      </c>
      <c r="R592" s="92"/>
    </row>
    <row r="593" spans="1:18" x14ac:dyDescent="0.25">
      <c r="A593" s="326">
        <v>40057</v>
      </c>
      <c r="B593" s="326" t="s">
        <v>806</v>
      </c>
      <c r="C593" s="264" t="s">
        <v>289</v>
      </c>
      <c r="D593" s="157" t="s">
        <v>474</v>
      </c>
      <c r="E593" s="44">
        <f t="shared" si="51"/>
        <v>40057</v>
      </c>
      <c r="F593" s="146" t="str">
        <f t="shared" si="52"/>
        <v>2009-10</v>
      </c>
      <c r="G593" s="1"/>
      <c r="H593" s="161"/>
      <c r="I593" s="37"/>
      <c r="J593" s="135">
        <f t="shared" si="50"/>
        <v>0.9161881535038825</v>
      </c>
      <c r="K593" s="112"/>
      <c r="L593" s="37">
        <v>7.8086066654000001</v>
      </c>
      <c r="M593" s="37" t="s">
        <v>509</v>
      </c>
      <c r="N593" s="37">
        <v>4416.6341463414628</v>
      </c>
      <c r="O593" s="130">
        <f t="shared" si="47"/>
        <v>34487.758833755186</v>
      </c>
      <c r="P593" s="132">
        <f t="shared" si="49"/>
        <v>31597.276084385376</v>
      </c>
      <c r="Q593" s="262">
        <v>1</v>
      </c>
      <c r="R593" s="92"/>
    </row>
    <row r="594" spans="1:18" x14ac:dyDescent="0.25">
      <c r="A594" s="326">
        <v>40057</v>
      </c>
      <c r="B594" s="326" t="s">
        <v>806</v>
      </c>
      <c r="C594" s="264" t="s">
        <v>289</v>
      </c>
      <c r="D594" s="157" t="s">
        <v>471</v>
      </c>
      <c r="E594" s="44">
        <f t="shared" si="51"/>
        <v>40057</v>
      </c>
      <c r="F594" s="146" t="str">
        <f t="shared" si="52"/>
        <v>2009-10</v>
      </c>
      <c r="G594" s="1"/>
      <c r="H594" s="161"/>
      <c r="I594" s="37"/>
      <c r="J594" s="135">
        <f t="shared" si="50"/>
        <v>0.9161881535038825</v>
      </c>
      <c r="K594" s="112"/>
      <c r="L594" s="37">
        <v>118.019991168</v>
      </c>
      <c r="M594" s="37" t="s">
        <v>509</v>
      </c>
      <c r="N594" s="37">
        <v>1338.5980487804875</v>
      </c>
      <c r="O594" s="130">
        <f t="shared" si="47"/>
        <v>157981.32989457517</v>
      </c>
      <c r="P594" s="132">
        <f t="shared" si="49"/>
        <v>144740.62292419854</v>
      </c>
      <c r="Q594" s="262">
        <v>1</v>
      </c>
      <c r="R594" s="92"/>
    </row>
    <row r="595" spans="1:18" x14ac:dyDescent="0.25">
      <c r="A595" s="326">
        <v>40057</v>
      </c>
      <c r="B595" s="326" t="s">
        <v>806</v>
      </c>
      <c r="C595" s="264" t="s">
        <v>289</v>
      </c>
      <c r="D595" s="157" t="s">
        <v>471</v>
      </c>
      <c r="E595" s="44">
        <f t="shared" si="51"/>
        <v>40057</v>
      </c>
      <c r="F595" s="146" t="str">
        <f t="shared" si="52"/>
        <v>2009-10</v>
      </c>
      <c r="G595" s="1"/>
      <c r="H595" s="161"/>
      <c r="I595" s="37"/>
      <c r="J595" s="135">
        <f t="shared" si="50"/>
        <v>0.9161881535038825</v>
      </c>
      <c r="K595" s="112"/>
      <c r="L595" s="37">
        <v>7.7461207399800003</v>
      </c>
      <c r="M595" s="37" t="s">
        <v>509</v>
      </c>
      <c r="N595" s="37">
        <v>4416.6341463414628</v>
      </c>
      <c r="O595" s="130">
        <f t="shared" si="47"/>
        <v>34211.781361879468</v>
      </c>
      <c r="P595" s="132">
        <f t="shared" si="49"/>
        <v>31344.428794018891</v>
      </c>
      <c r="Q595" s="262">
        <v>1</v>
      </c>
      <c r="R595" s="92"/>
    </row>
    <row r="596" spans="1:18" x14ac:dyDescent="0.25">
      <c r="A596" s="326">
        <v>40057</v>
      </c>
      <c r="B596" s="326" t="s">
        <v>806</v>
      </c>
      <c r="C596" s="264" t="s">
        <v>289</v>
      </c>
      <c r="D596" s="157" t="s">
        <v>471</v>
      </c>
      <c r="E596" s="44">
        <f t="shared" si="51"/>
        <v>40057</v>
      </c>
      <c r="F596" s="146" t="str">
        <f t="shared" si="52"/>
        <v>2009-10</v>
      </c>
      <c r="G596" s="1"/>
      <c r="H596" s="161"/>
      <c r="I596" s="37"/>
      <c r="J596" s="135">
        <f t="shared" si="50"/>
        <v>0.9161881535038825</v>
      </c>
      <c r="K596" s="112"/>
      <c r="L596" s="37">
        <v>1.69826646908</v>
      </c>
      <c r="M596" s="37" t="s">
        <v>509</v>
      </c>
      <c r="N596" s="37">
        <v>479.79317073170722</v>
      </c>
      <c r="O596" s="130">
        <f t="shared" si="47"/>
        <v>814.81665394723404</v>
      </c>
      <c r="P596" s="132">
        <f t="shared" si="49"/>
        <v>746.52536562412831</v>
      </c>
      <c r="Q596" s="262">
        <v>1</v>
      </c>
      <c r="R596" s="92"/>
    </row>
    <row r="597" spans="1:18" x14ac:dyDescent="0.25">
      <c r="A597" s="326">
        <v>40057</v>
      </c>
      <c r="B597" s="326" t="s">
        <v>806</v>
      </c>
      <c r="C597" s="264" t="s">
        <v>289</v>
      </c>
      <c r="D597" s="157" t="s">
        <v>471</v>
      </c>
      <c r="E597" s="44">
        <f t="shared" si="51"/>
        <v>40057</v>
      </c>
      <c r="F597" s="146" t="str">
        <f t="shared" si="52"/>
        <v>2009-10</v>
      </c>
      <c r="G597" s="1"/>
      <c r="H597" s="161"/>
      <c r="I597" s="37"/>
      <c r="J597" s="135">
        <f t="shared" si="50"/>
        <v>0.9161881535038825</v>
      </c>
      <c r="K597" s="112"/>
      <c r="L597" s="37">
        <v>35.792352213000001</v>
      </c>
      <c r="M597" s="37" t="s">
        <v>509</v>
      </c>
      <c r="N597" s="37">
        <v>4416.6341463414628</v>
      </c>
      <c r="O597" s="130">
        <f t="shared" si="47"/>
        <v>158081.72496181622</v>
      </c>
      <c r="P597" s="132">
        <f t="shared" si="49"/>
        <v>144832.603695475</v>
      </c>
      <c r="Q597" s="262">
        <v>1</v>
      </c>
      <c r="R597" s="92"/>
    </row>
    <row r="598" spans="1:18" x14ac:dyDescent="0.25">
      <c r="A598" s="326">
        <v>40057</v>
      </c>
      <c r="B598" s="326" t="s">
        <v>806</v>
      </c>
      <c r="C598" s="264" t="s">
        <v>289</v>
      </c>
      <c r="D598" s="157" t="s">
        <v>471</v>
      </c>
      <c r="E598" s="44">
        <f t="shared" si="51"/>
        <v>40057</v>
      </c>
      <c r="F598" s="146" t="str">
        <f t="shared" si="52"/>
        <v>2009-10</v>
      </c>
      <c r="G598" s="1"/>
      <c r="H598" s="161"/>
      <c r="I598" s="37"/>
      <c r="J598" s="135">
        <f t="shared" si="50"/>
        <v>0.9161881535038825</v>
      </c>
      <c r="K598" s="112"/>
      <c r="L598" s="37">
        <v>3.2818575532800001</v>
      </c>
      <c r="M598" s="37" t="s">
        <v>509</v>
      </c>
      <c r="N598" s="37">
        <v>4416.6341463414628</v>
      </c>
      <c r="O598" s="130">
        <f t="shared" si="47"/>
        <v>14494.764133245095</v>
      </c>
      <c r="P598" s="132">
        <f t="shared" si="49"/>
        <v>13279.931186712127</v>
      </c>
      <c r="Q598" s="262">
        <v>1</v>
      </c>
      <c r="R598" s="92"/>
    </row>
    <row r="599" spans="1:18" x14ac:dyDescent="0.25">
      <c r="A599" s="326">
        <v>40057</v>
      </c>
      <c r="B599" s="326" t="s">
        <v>806</v>
      </c>
      <c r="C599" s="264" t="s">
        <v>289</v>
      </c>
      <c r="D599" s="157" t="s">
        <v>471</v>
      </c>
      <c r="E599" s="44">
        <f t="shared" si="51"/>
        <v>40057</v>
      </c>
      <c r="F599" s="146" t="str">
        <f t="shared" si="52"/>
        <v>2009-10</v>
      </c>
      <c r="G599" s="1"/>
      <c r="H599" s="161"/>
      <c r="I599" s="37"/>
      <c r="J599" s="135">
        <f t="shared" si="50"/>
        <v>0.9161881535038825</v>
      </c>
      <c r="K599" s="112"/>
      <c r="L599" s="37">
        <v>63.723320965699997</v>
      </c>
      <c r="M599" s="37" t="s">
        <v>509</v>
      </c>
      <c r="N599" s="37">
        <v>1338.5980487804875</v>
      </c>
      <c r="O599" s="130">
        <f t="shared" si="47"/>
        <v>85299.913106498745</v>
      </c>
      <c r="P599" s="132">
        <f t="shared" si="49"/>
        <v>78150.769883084708</v>
      </c>
      <c r="Q599" s="262">
        <v>1</v>
      </c>
      <c r="R599" s="92"/>
    </row>
    <row r="600" spans="1:18" x14ac:dyDescent="0.25">
      <c r="A600" s="326">
        <v>40057</v>
      </c>
      <c r="B600" s="326" t="s">
        <v>806</v>
      </c>
      <c r="C600" s="264" t="s">
        <v>289</v>
      </c>
      <c r="D600" s="157" t="s">
        <v>471</v>
      </c>
      <c r="E600" s="44">
        <f t="shared" si="51"/>
        <v>40057</v>
      </c>
      <c r="F600" s="146" t="str">
        <f t="shared" si="52"/>
        <v>2009-10</v>
      </c>
      <c r="G600" s="1"/>
      <c r="H600" s="161"/>
      <c r="I600" s="37"/>
      <c r="J600" s="135">
        <f t="shared" si="50"/>
        <v>0.9161881535038825</v>
      </c>
      <c r="K600" s="112"/>
      <c r="L600" s="37">
        <v>2.4983610627799999</v>
      </c>
      <c r="M600" s="37" t="s">
        <v>509</v>
      </c>
      <c r="N600" s="37">
        <v>4416.6341463414628</v>
      </c>
      <c r="O600" s="130">
        <f t="shared" si="47"/>
        <v>11034.346779764095</v>
      </c>
      <c r="P600" s="132">
        <f t="shared" si="49"/>
        <v>10109.537801273578</v>
      </c>
      <c r="Q600" s="262">
        <v>1</v>
      </c>
      <c r="R600" s="92"/>
    </row>
    <row r="601" spans="1:18" x14ac:dyDescent="0.25">
      <c r="A601" s="326">
        <v>40057</v>
      </c>
      <c r="B601" s="326" t="s">
        <v>806</v>
      </c>
      <c r="C601" s="264" t="s">
        <v>289</v>
      </c>
      <c r="D601" s="157" t="s">
        <v>471</v>
      </c>
      <c r="E601" s="44">
        <f t="shared" si="51"/>
        <v>40057</v>
      </c>
      <c r="F601" s="146" t="str">
        <f t="shared" si="52"/>
        <v>2009-10</v>
      </c>
      <c r="G601" s="1"/>
      <c r="H601" s="161"/>
      <c r="I601" s="37"/>
      <c r="J601" s="135">
        <f t="shared" si="50"/>
        <v>0.9161881535038825</v>
      </c>
      <c r="K601" s="112"/>
      <c r="L601" s="37">
        <v>2.3986717157599999</v>
      </c>
      <c r="M601" s="37" t="s">
        <v>509</v>
      </c>
      <c r="N601" s="37">
        <v>1338.5980487804875</v>
      </c>
      <c r="O601" s="130">
        <f t="shared" ref="O601:O664" si="53">IF(N601="","-",L601*N601)</f>
        <v>3210.8572783812801</v>
      </c>
      <c r="P601" s="132">
        <f t="shared" si="49"/>
        <v>2941.7494010446467</v>
      </c>
      <c r="Q601" s="262">
        <v>1</v>
      </c>
      <c r="R601" s="92"/>
    </row>
    <row r="602" spans="1:18" x14ac:dyDescent="0.25">
      <c r="A602" s="326">
        <v>40057</v>
      </c>
      <c r="B602" s="326" t="s">
        <v>806</v>
      </c>
      <c r="C602" s="264" t="s">
        <v>289</v>
      </c>
      <c r="D602" s="157" t="s">
        <v>471</v>
      </c>
      <c r="E602" s="44">
        <f t="shared" si="51"/>
        <v>40057</v>
      </c>
      <c r="F602" s="146" t="str">
        <f t="shared" si="52"/>
        <v>2009-10</v>
      </c>
      <c r="G602" s="1"/>
      <c r="H602" s="161"/>
      <c r="I602" s="37"/>
      <c r="J602" s="135">
        <f t="shared" si="50"/>
        <v>0.9161881535038825</v>
      </c>
      <c r="K602" s="112"/>
      <c r="L602" s="37">
        <v>7.7327537444300001</v>
      </c>
      <c r="M602" s="37" t="s">
        <v>509</v>
      </c>
      <c r="N602" s="37">
        <v>1338.5980487804875</v>
      </c>
      <c r="O602" s="130">
        <f t="shared" si="53"/>
        <v>10351.049073994007</v>
      </c>
      <c r="P602" s="132">
        <f t="shared" si="49"/>
        <v>9483.508537930642</v>
      </c>
      <c r="Q602" s="262">
        <v>1</v>
      </c>
      <c r="R602" s="92"/>
    </row>
    <row r="603" spans="1:18" x14ac:dyDescent="0.25">
      <c r="A603" s="326">
        <v>40057</v>
      </c>
      <c r="B603" s="326" t="s">
        <v>806</v>
      </c>
      <c r="C603" s="264" t="s">
        <v>289</v>
      </c>
      <c r="D603" s="157" t="s">
        <v>471</v>
      </c>
      <c r="E603" s="44">
        <f t="shared" si="51"/>
        <v>40057</v>
      </c>
      <c r="F603" s="146" t="str">
        <f t="shared" si="52"/>
        <v>2009-10</v>
      </c>
      <c r="G603" s="1"/>
      <c r="H603" s="161"/>
      <c r="I603" s="37"/>
      <c r="J603" s="135">
        <f t="shared" si="50"/>
        <v>0.9161881535038825</v>
      </c>
      <c r="K603" s="112"/>
      <c r="L603" s="37">
        <v>15.323377692999999</v>
      </c>
      <c r="M603" s="37" t="s">
        <v>509</v>
      </c>
      <c r="N603" s="37">
        <v>1338.5980487804875</v>
      </c>
      <c r="O603" s="130">
        <f t="shared" si="53"/>
        <v>20511.843480576248</v>
      </c>
      <c r="P603" s="132">
        <f t="shared" ref="P603:P666" si="54">IF(O603="-","-",IF(OR(E603&lt;$E$15,E603&gt;$E$16),0,O603*J603))*Q603</f>
        <v>18792.708003429801</v>
      </c>
      <c r="Q603" s="262">
        <v>1</v>
      </c>
      <c r="R603" s="92"/>
    </row>
    <row r="604" spans="1:18" x14ac:dyDescent="0.25">
      <c r="A604" s="326">
        <v>40057</v>
      </c>
      <c r="B604" s="326" t="s">
        <v>806</v>
      </c>
      <c r="C604" s="264" t="s">
        <v>289</v>
      </c>
      <c r="D604" s="157" t="s">
        <v>471</v>
      </c>
      <c r="E604" s="44">
        <f t="shared" si="51"/>
        <v>40057</v>
      </c>
      <c r="F604" s="146" t="str">
        <f t="shared" si="52"/>
        <v>2009-10</v>
      </c>
      <c r="G604" s="1"/>
      <c r="H604" s="161"/>
      <c r="I604" s="37"/>
      <c r="J604" s="135">
        <f t="shared" si="50"/>
        <v>0.9161881535038825</v>
      </c>
      <c r="K604" s="112"/>
      <c r="L604" s="37">
        <v>4.9964887671199998</v>
      </c>
      <c r="M604" s="37" t="s">
        <v>509</v>
      </c>
      <c r="N604" s="37">
        <v>1338.5980487804875</v>
      </c>
      <c r="O604" s="130">
        <f t="shared" si="53"/>
        <v>6688.2901144204552</v>
      </c>
      <c r="P604" s="132">
        <f t="shared" si="54"/>
        <v>6127.7321700291477</v>
      </c>
      <c r="Q604" s="262">
        <v>1</v>
      </c>
      <c r="R604" s="92"/>
    </row>
    <row r="605" spans="1:18" x14ac:dyDescent="0.25">
      <c r="A605" s="326">
        <v>40057</v>
      </c>
      <c r="B605" s="326" t="s">
        <v>806</v>
      </c>
      <c r="C605" s="264" t="s">
        <v>289</v>
      </c>
      <c r="D605" s="157" t="s">
        <v>471</v>
      </c>
      <c r="E605" s="44">
        <f t="shared" si="51"/>
        <v>40057</v>
      </c>
      <c r="F605" s="146" t="str">
        <f t="shared" si="52"/>
        <v>2009-10</v>
      </c>
      <c r="G605" s="1"/>
      <c r="H605" s="161"/>
      <c r="I605" s="37"/>
      <c r="J605" s="135">
        <f t="shared" ref="J605:J668" si="55">J604</f>
        <v>0.9161881535038825</v>
      </c>
      <c r="K605" s="112"/>
      <c r="L605" s="37">
        <v>12.1685062762</v>
      </c>
      <c r="M605" s="37" t="s">
        <v>509</v>
      </c>
      <c r="N605" s="37">
        <v>4416.6341463414628</v>
      </c>
      <c r="O605" s="130">
        <f t="shared" si="53"/>
        <v>53743.840329435319</v>
      </c>
      <c r="P605" s="132">
        <f t="shared" si="54"/>
        <v>49239.469833632837</v>
      </c>
      <c r="Q605" s="262">
        <v>1</v>
      </c>
      <c r="R605" s="92"/>
    </row>
    <row r="606" spans="1:18" x14ac:dyDescent="0.25">
      <c r="A606" s="326">
        <v>40057</v>
      </c>
      <c r="B606" s="326" t="s">
        <v>806</v>
      </c>
      <c r="C606" s="264" t="s">
        <v>289</v>
      </c>
      <c r="D606" s="157" t="s">
        <v>471</v>
      </c>
      <c r="E606" s="44">
        <f t="shared" si="51"/>
        <v>40057</v>
      </c>
      <c r="F606" s="146" t="str">
        <f t="shared" si="52"/>
        <v>2009-10</v>
      </c>
      <c r="G606" s="1"/>
      <c r="H606" s="161"/>
      <c r="I606" s="37"/>
      <c r="J606" s="135">
        <f t="shared" si="55"/>
        <v>0.9161881535038825</v>
      </c>
      <c r="K606" s="112"/>
      <c r="L606" s="37">
        <v>38.1474213276</v>
      </c>
      <c r="M606" s="37" t="s">
        <v>509</v>
      </c>
      <c r="N606" s="37">
        <v>1338.5980487804875</v>
      </c>
      <c r="O606" s="130">
        <f t="shared" si="53"/>
        <v>51064.063755132513</v>
      </c>
      <c r="P606" s="132">
        <f t="shared" si="54"/>
        <v>46784.290282219386</v>
      </c>
      <c r="Q606" s="262">
        <v>1</v>
      </c>
      <c r="R606" s="92"/>
    </row>
    <row r="607" spans="1:18" x14ac:dyDescent="0.25">
      <c r="A607" s="326">
        <v>40057</v>
      </c>
      <c r="B607" s="326" t="s">
        <v>806</v>
      </c>
      <c r="C607" s="264" t="s">
        <v>289</v>
      </c>
      <c r="D607" s="157" t="s">
        <v>471</v>
      </c>
      <c r="E607" s="44">
        <f t="shared" si="51"/>
        <v>40057</v>
      </c>
      <c r="F607" s="146" t="str">
        <f t="shared" si="52"/>
        <v>2009-10</v>
      </c>
      <c r="G607" s="1"/>
      <c r="H607" s="161"/>
      <c r="I607" s="37"/>
      <c r="J607" s="135">
        <f t="shared" si="55"/>
        <v>0.9161881535038825</v>
      </c>
      <c r="K607" s="112"/>
      <c r="L607" s="37">
        <v>11.471774334499999</v>
      </c>
      <c r="M607" s="37" t="s">
        <v>509</v>
      </c>
      <c r="N607" s="37">
        <v>1338.5980487804875</v>
      </c>
      <c r="O607" s="130">
        <f t="shared" si="53"/>
        <v>15356.094740211774</v>
      </c>
      <c r="P607" s="132">
        <f t="shared" si="54"/>
        <v>14069.072085065307</v>
      </c>
      <c r="Q607" s="262">
        <v>1</v>
      </c>
      <c r="R607" s="92"/>
    </row>
    <row r="608" spans="1:18" x14ac:dyDescent="0.25">
      <c r="A608" s="326">
        <v>40057</v>
      </c>
      <c r="B608" s="326" t="s">
        <v>806</v>
      </c>
      <c r="C608" s="264" t="s">
        <v>289</v>
      </c>
      <c r="D608" s="157" t="s">
        <v>471</v>
      </c>
      <c r="E608" s="44">
        <f t="shared" si="51"/>
        <v>40057</v>
      </c>
      <c r="F608" s="146" t="str">
        <f t="shared" si="52"/>
        <v>2009-10</v>
      </c>
      <c r="G608" s="1"/>
      <c r="H608" s="161"/>
      <c r="I608" s="37"/>
      <c r="J608" s="135">
        <f t="shared" si="55"/>
        <v>0.9161881535038825</v>
      </c>
      <c r="K608" s="112"/>
      <c r="L608" s="37">
        <v>49.287840250599999</v>
      </c>
      <c r="M608" s="37" t="s">
        <v>509</v>
      </c>
      <c r="N608" s="37">
        <v>1338.5980487804875</v>
      </c>
      <c r="O608" s="130">
        <f t="shared" si="53"/>
        <v>65976.606788057528</v>
      </c>
      <c r="P608" s="132">
        <f t="shared" si="54"/>
        <v>60446.985547602148</v>
      </c>
      <c r="Q608" s="262">
        <v>1</v>
      </c>
      <c r="R608" s="92"/>
    </row>
    <row r="609" spans="1:18" x14ac:dyDescent="0.25">
      <c r="A609" s="326">
        <v>40057</v>
      </c>
      <c r="B609" s="326" t="s">
        <v>806</v>
      </c>
      <c r="C609" s="264" t="s">
        <v>289</v>
      </c>
      <c r="D609" s="157" t="s">
        <v>471</v>
      </c>
      <c r="E609" s="44">
        <f t="shared" si="51"/>
        <v>40057</v>
      </c>
      <c r="F609" s="146" t="str">
        <f t="shared" si="52"/>
        <v>2009-10</v>
      </c>
      <c r="G609" s="1"/>
      <c r="H609" s="161"/>
      <c r="I609" s="37"/>
      <c r="J609" s="135">
        <f t="shared" si="55"/>
        <v>0.9161881535038825</v>
      </c>
      <c r="K609" s="112"/>
      <c r="L609" s="37">
        <v>35.534274330899997</v>
      </c>
      <c r="M609" s="37" t="s">
        <v>509</v>
      </c>
      <c r="N609" s="37">
        <v>1338.5980487804875</v>
      </c>
      <c r="O609" s="130">
        <f t="shared" si="53"/>
        <v>47566.110284173301</v>
      </c>
      <c r="P609" s="132">
        <f t="shared" si="54"/>
        <v>43579.50675061877</v>
      </c>
      <c r="Q609" s="262">
        <v>1</v>
      </c>
      <c r="R609" s="92"/>
    </row>
    <row r="610" spans="1:18" x14ac:dyDescent="0.25">
      <c r="A610" s="326">
        <v>40057</v>
      </c>
      <c r="B610" s="326" t="s">
        <v>806</v>
      </c>
      <c r="C610" s="264" t="s">
        <v>289</v>
      </c>
      <c r="D610" s="157" t="s">
        <v>471</v>
      </c>
      <c r="E610" s="44">
        <f t="shared" si="51"/>
        <v>40057</v>
      </c>
      <c r="F610" s="146" t="str">
        <f t="shared" si="52"/>
        <v>2009-10</v>
      </c>
      <c r="G610" s="1"/>
      <c r="H610" s="161"/>
      <c r="I610" s="37"/>
      <c r="J610" s="135">
        <f t="shared" si="55"/>
        <v>0.9161881535038825</v>
      </c>
      <c r="K610" s="112"/>
      <c r="L610" s="37">
        <v>40.744692818399997</v>
      </c>
      <c r="M610" s="37" t="s">
        <v>509</v>
      </c>
      <c r="N610" s="37">
        <v>1338.5980487804875</v>
      </c>
      <c r="O610" s="130">
        <f t="shared" si="53"/>
        <v>54540.76630487058</v>
      </c>
      <c r="P610" s="132">
        <f t="shared" si="54"/>
        <v>49969.603971546152</v>
      </c>
      <c r="Q610" s="262">
        <v>1</v>
      </c>
      <c r="R610" s="92"/>
    </row>
    <row r="611" spans="1:18" x14ac:dyDescent="0.25">
      <c r="A611" s="326">
        <v>40057</v>
      </c>
      <c r="B611" s="326" t="s">
        <v>806</v>
      </c>
      <c r="C611" s="264" t="s">
        <v>289</v>
      </c>
      <c r="D611" s="157" t="s">
        <v>471</v>
      </c>
      <c r="E611" s="44">
        <f t="shared" si="51"/>
        <v>40057</v>
      </c>
      <c r="F611" s="146" t="str">
        <f t="shared" si="52"/>
        <v>2009-10</v>
      </c>
      <c r="G611" s="1"/>
      <c r="H611" s="161"/>
      <c r="I611" s="37"/>
      <c r="J611" s="135">
        <f t="shared" si="55"/>
        <v>0.9161881535038825</v>
      </c>
      <c r="K611" s="112"/>
      <c r="L611" s="37">
        <v>50.028913008000004</v>
      </c>
      <c r="M611" s="37" t="s">
        <v>509</v>
      </c>
      <c r="N611" s="37">
        <v>1338.5980487804875</v>
      </c>
      <c r="O611" s="130">
        <f t="shared" si="53"/>
        <v>66968.605335117551</v>
      </c>
      <c r="P611" s="132">
        <f t="shared" si="54"/>
        <v>61355.842864711602</v>
      </c>
      <c r="Q611" s="262">
        <v>1</v>
      </c>
      <c r="R611" s="92"/>
    </row>
    <row r="612" spans="1:18" x14ac:dyDescent="0.25">
      <c r="A612" s="326">
        <v>40057</v>
      </c>
      <c r="B612" s="326" t="s">
        <v>806</v>
      </c>
      <c r="C612" s="264" t="s">
        <v>289</v>
      </c>
      <c r="D612" s="157" t="s">
        <v>471</v>
      </c>
      <c r="E612" s="44">
        <f t="shared" si="51"/>
        <v>40057</v>
      </c>
      <c r="F612" s="146" t="str">
        <f t="shared" si="52"/>
        <v>2009-10</v>
      </c>
      <c r="G612" s="1"/>
      <c r="H612" s="161"/>
      <c r="I612" s="37"/>
      <c r="J612" s="135">
        <f t="shared" si="55"/>
        <v>0.9161881535038825</v>
      </c>
      <c r="K612" s="112"/>
      <c r="L612" s="37">
        <v>46.4602238959</v>
      </c>
      <c r="M612" s="37" t="s">
        <v>509</v>
      </c>
      <c r="N612" s="37">
        <v>1338.5980487804875</v>
      </c>
      <c r="O612" s="130">
        <f t="shared" si="53"/>
        <v>62191.565052956321</v>
      </c>
      <c r="P612" s="132">
        <f t="shared" si="54"/>
        <v>56979.175149384639</v>
      </c>
      <c r="Q612" s="262">
        <v>1</v>
      </c>
      <c r="R612" s="92"/>
    </row>
    <row r="613" spans="1:18" x14ac:dyDescent="0.25">
      <c r="A613" s="326">
        <v>40057</v>
      </c>
      <c r="B613" s="326" t="s">
        <v>806</v>
      </c>
      <c r="C613" s="264" t="s">
        <v>289</v>
      </c>
      <c r="D613" s="157" t="s">
        <v>471</v>
      </c>
      <c r="E613" s="44">
        <f t="shared" si="51"/>
        <v>40057</v>
      </c>
      <c r="F613" s="146" t="str">
        <f t="shared" si="52"/>
        <v>2009-10</v>
      </c>
      <c r="G613" s="1"/>
      <c r="H613" s="161"/>
      <c r="I613" s="37"/>
      <c r="J613" s="135">
        <f t="shared" si="55"/>
        <v>0.9161881535038825</v>
      </c>
      <c r="K613" s="112"/>
      <c r="L613" s="37">
        <v>10.492319333699999</v>
      </c>
      <c r="M613" s="37" t="s">
        <v>509</v>
      </c>
      <c r="N613" s="37">
        <v>1338.5980487804875</v>
      </c>
      <c r="O613" s="130">
        <f t="shared" si="53"/>
        <v>14044.998187272604</v>
      </c>
      <c r="P613" s="132">
        <f t="shared" si="54"/>
        <v>12867.860955162663</v>
      </c>
      <c r="Q613" s="262">
        <v>1</v>
      </c>
      <c r="R613" s="92"/>
    </row>
    <row r="614" spans="1:18" x14ac:dyDescent="0.25">
      <c r="A614" s="326">
        <v>40057</v>
      </c>
      <c r="B614" s="326" t="s">
        <v>806</v>
      </c>
      <c r="C614" s="264" t="s">
        <v>289</v>
      </c>
      <c r="D614" s="157" t="s">
        <v>471</v>
      </c>
      <c r="E614" s="44">
        <f t="shared" si="51"/>
        <v>40057</v>
      </c>
      <c r="F614" s="146" t="str">
        <f t="shared" si="52"/>
        <v>2009-10</v>
      </c>
      <c r="G614" s="1"/>
      <c r="H614" s="161"/>
      <c r="I614" s="37"/>
      <c r="J614" s="135">
        <f t="shared" si="55"/>
        <v>0.9161881535038825</v>
      </c>
      <c r="K614" s="112"/>
      <c r="L614" s="37">
        <v>3.4974397778899999</v>
      </c>
      <c r="M614" s="37" t="s">
        <v>509</v>
      </c>
      <c r="N614" s="37">
        <v>1338.5980487804875</v>
      </c>
      <c r="O614" s="130">
        <f t="shared" si="53"/>
        <v>4681.6660624108154</v>
      </c>
      <c r="P614" s="132">
        <f t="shared" si="54"/>
        <v>4289.2869850419575</v>
      </c>
      <c r="Q614" s="262">
        <v>1</v>
      </c>
      <c r="R614" s="92"/>
    </row>
    <row r="615" spans="1:18" x14ac:dyDescent="0.25">
      <c r="A615" s="326">
        <v>40057</v>
      </c>
      <c r="B615" s="326" t="s">
        <v>806</v>
      </c>
      <c r="C615" s="264" t="s">
        <v>289</v>
      </c>
      <c r="D615" s="157" t="s">
        <v>471</v>
      </c>
      <c r="E615" s="44">
        <f t="shared" si="51"/>
        <v>40057</v>
      </c>
      <c r="F615" s="146" t="str">
        <f t="shared" si="52"/>
        <v>2009-10</v>
      </c>
      <c r="G615" s="1"/>
      <c r="H615" s="161"/>
      <c r="I615" s="37"/>
      <c r="J615" s="135">
        <f t="shared" si="55"/>
        <v>0.9161881535038825</v>
      </c>
      <c r="K615" s="112"/>
      <c r="L615" s="37">
        <v>37.369155272699999</v>
      </c>
      <c r="M615" s="37" t="s">
        <v>509</v>
      </c>
      <c r="N615" s="37">
        <v>1338.5980487804875</v>
      </c>
      <c r="O615" s="130">
        <f t="shared" si="53"/>
        <v>50022.278332611284</v>
      </c>
      <c r="P615" s="132">
        <f t="shared" si="54"/>
        <v>45829.818819612403</v>
      </c>
      <c r="Q615" s="262">
        <v>1</v>
      </c>
      <c r="R615" s="92"/>
    </row>
    <row r="616" spans="1:18" x14ac:dyDescent="0.25">
      <c r="A616" s="326">
        <v>40057</v>
      </c>
      <c r="B616" s="326" t="s">
        <v>806</v>
      </c>
      <c r="C616" s="264" t="s">
        <v>289</v>
      </c>
      <c r="D616" s="157" t="s">
        <v>471</v>
      </c>
      <c r="E616" s="44">
        <f t="shared" ref="E616:E679" si="56">A616</f>
        <v>40057</v>
      </c>
      <c r="F616" s="146" t="str">
        <f t="shared" si="52"/>
        <v>2009-10</v>
      </c>
      <c r="G616" s="1"/>
      <c r="H616" s="161"/>
      <c r="I616" s="37"/>
      <c r="J616" s="135">
        <f t="shared" si="55"/>
        <v>0.9161881535038825</v>
      </c>
      <c r="K616" s="112"/>
      <c r="L616" s="37">
        <v>5.4960831507499996</v>
      </c>
      <c r="M616" s="37" t="s">
        <v>509</v>
      </c>
      <c r="N616" s="37">
        <v>1338.5980487804875</v>
      </c>
      <c r="O616" s="130">
        <f t="shared" si="53"/>
        <v>7357.0461815292638</v>
      </c>
      <c r="P616" s="132">
        <f t="shared" si="54"/>
        <v>6740.438556298086</v>
      </c>
      <c r="Q616" s="262">
        <v>1</v>
      </c>
      <c r="R616" s="92"/>
    </row>
    <row r="617" spans="1:18" x14ac:dyDescent="0.25">
      <c r="A617" s="326">
        <v>40057</v>
      </c>
      <c r="B617" s="326" t="s">
        <v>806</v>
      </c>
      <c r="C617" s="264" t="s">
        <v>289</v>
      </c>
      <c r="D617" s="157" t="s">
        <v>471</v>
      </c>
      <c r="E617" s="44">
        <f t="shared" si="56"/>
        <v>40057</v>
      </c>
      <c r="F617" s="146" t="str">
        <f t="shared" si="52"/>
        <v>2009-10</v>
      </c>
      <c r="G617" s="1"/>
      <c r="H617" s="161"/>
      <c r="I617" s="37"/>
      <c r="J617" s="135">
        <f t="shared" si="55"/>
        <v>0.9161881535038825</v>
      </c>
      <c r="K617" s="112"/>
      <c r="L617" s="37">
        <v>30.076669289200002</v>
      </c>
      <c r="M617" s="37" t="s">
        <v>509</v>
      </c>
      <c r="N617" s="37">
        <v>1338.5980487804875</v>
      </c>
      <c r="O617" s="130">
        <f t="shared" si="53"/>
        <v>40260.570824339135</v>
      </c>
      <c r="P617" s="132">
        <f t="shared" si="54"/>
        <v>36886.258042563553</v>
      </c>
      <c r="Q617" s="262">
        <v>1</v>
      </c>
      <c r="R617" s="92"/>
    </row>
    <row r="618" spans="1:18" x14ac:dyDescent="0.25">
      <c r="A618" s="326">
        <v>40057</v>
      </c>
      <c r="B618" s="326" t="s">
        <v>806</v>
      </c>
      <c r="C618" s="264" t="s">
        <v>289</v>
      </c>
      <c r="D618" s="157" t="s">
        <v>471</v>
      </c>
      <c r="E618" s="44">
        <f t="shared" si="56"/>
        <v>40057</v>
      </c>
      <c r="F618" s="146" t="str">
        <f t="shared" si="52"/>
        <v>2009-10</v>
      </c>
      <c r="G618" s="1"/>
      <c r="H618" s="161"/>
      <c r="I618" s="37"/>
      <c r="J618" s="135">
        <f t="shared" si="55"/>
        <v>0.9161881535038825</v>
      </c>
      <c r="K618" s="112"/>
      <c r="L618" s="37">
        <v>80.917746037800001</v>
      </c>
      <c r="M618" s="37" t="s">
        <v>509</v>
      </c>
      <c r="N618" s="37">
        <v>1338.5980487804875</v>
      </c>
      <c r="O618" s="130">
        <f t="shared" si="53"/>
        <v>108316.3369579141</v>
      </c>
      <c r="P618" s="132">
        <f t="shared" si="54"/>
        <v>99238.144751775661</v>
      </c>
      <c r="Q618" s="262">
        <v>1</v>
      </c>
      <c r="R618" s="92"/>
    </row>
    <row r="619" spans="1:18" x14ac:dyDescent="0.25">
      <c r="A619" s="326">
        <v>40057</v>
      </c>
      <c r="B619" s="326" t="s">
        <v>806</v>
      </c>
      <c r="C619" s="264" t="s">
        <v>289</v>
      </c>
      <c r="D619" s="157" t="s">
        <v>471</v>
      </c>
      <c r="E619" s="44">
        <f t="shared" si="56"/>
        <v>40057</v>
      </c>
      <c r="F619" s="146" t="str">
        <f t="shared" si="52"/>
        <v>2009-10</v>
      </c>
      <c r="G619" s="1"/>
      <c r="H619" s="161"/>
      <c r="I619" s="37"/>
      <c r="J619" s="135">
        <f t="shared" si="55"/>
        <v>0.9161881535038825</v>
      </c>
      <c r="K619" s="112"/>
      <c r="L619" s="37">
        <v>50.464687455700002</v>
      </c>
      <c r="M619" s="37" t="s">
        <v>509</v>
      </c>
      <c r="N619" s="37">
        <v>1338.5980487804875</v>
      </c>
      <c r="O619" s="130">
        <f t="shared" si="53"/>
        <v>67551.932160517172</v>
      </c>
      <c r="P619" s="132">
        <f t="shared" si="54"/>
        <v>61890.27999176376</v>
      </c>
      <c r="Q619" s="262">
        <v>1</v>
      </c>
      <c r="R619" s="92"/>
    </row>
    <row r="620" spans="1:18" x14ac:dyDescent="0.25">
      <c r="A620" s="326">
        <v>40057</v>
      </c>
      <c r="B620" s="326" t="s">
        <v>806</v>
      </c>
      <c r="C620" s="264" t="s">
        <v>289</v>
      </c>
      <c r="D620" s="157" t="s">
        <v>471</v>
      </c>
      <c r="E620" s="44">
        <f t="shared" si="56"/>
        <v>40057</v>
      </c>
      <c r="F620" s="146" t="str">
        <f t="shared" si="52"/>
        <v>2009-10</v>
      </c>
      <c r="G620" s="1"/>
      <c r="H620" s="161"/>
      <c r="I620" s="37"/>
      <c r="J620" s="135">
        <f t="shared" si="55"/>
        <v>0.9161881535038825</v>
      </c>
      <c r="K620" s="112"/>
      <c r="L620" s="37">
        <v>14.504590134300001</v>
      </c>
      <c r="M620" s="37" t="s">
        <v>509</v>
      </c>
      <c r="N620" s="37">
        <v>1338.5980487804875</v>
      </c>
      <c r="O620" s="130">
        <f t="shared" si="53"/>
        <v>19415.816052134691</v>
      </c>
      <c r="P620" s="132">
        <f t="shared" si="54"/>
        <v>17788.540657576323</v>
      </c>
      <c r="Q620" s="262">
        <v>1</v>
      </c>
      <c r="R620" s="92"/>
    </row>
    <row r="621" spans="1:18" x14ac:dyDescent="0.25">
      <c r="A621" s="326">
        <v>40057</v>
      </c>
      <c r="B621" s="326" t="s">
        <v>806</v>
      </c>
      <c r="C621" s="264" t="s">
        <v>289</v>
      </c>
      <c r="D621" s="157" t="s">
        <v>471</v>
      </c>
      <c r="E621" s="44">
        <f t="shared" si="56"/>
        <v>40057</v>
      </c>
      <c r="F621" s="146" t="str">
        <f t="shared" si="52"/>
        <v>2009-10</v>
      </c>
      <c r="G621" s="1"/>
      <c r="H621" s="161"/>
      <c r="I621" s="37"/>
      <c r="J621" s="135">
        <f t="shared" si="55"/>
        <v>0.9161881535038825</v>
      </c>
      <c r="K621" s="112"/>
      <c r="L621" s="37">
        <v>120.519029457</v>
      </c>
      <c r="M621" s="37" t="s">
        <v>509</v>
      </c>
      <c r="N621" s="37">
        <v>1338.5980487804875</v>
      </c>
      <c r="O621" s="130">
        <f t="shared" si="53"/>
        <v>161326.5376720583</v>
      </c>
      <c r="P621" s="132">
        <f t="shared" si="54"/>
        <v>147805.46266093763</v>
      </c>
      <c r="Q621" s="262">
        <v>1</v>
      </c>
      <c r="R621" s="92"/>
    </row>
    <row r="622" spans="1:18" x14ac:dyDescent="0.25">
      <c r="A622" s="326">
        <v>40057</v>
      </c>
      <c r="B622" s="326" t="s">
        <v>806</v>
      </c>
      <c r="C622" s="264" t="s">
        <v>289</v>
      </c>
      <c r="D622" s="157" t="s">
        <v>471</v>
      </c>
      <c r="E622" s="44">
        <f t="shared" si="56"/>
        <v>40057</v>
      </c>
      <c r="F622" s="146" t="str">
        <f t="shared" si="52"/>
        <v>2009-10</v>
      </c>
      <c r="G622" s="1"/>
      <c r="H622" s="161"/>
      <c r="I622" s="37"/>
      <c r="J622" s="135">
        <f t="shared" si="55"/>
        <v>0.9161881535038825</v>
      </c>
      <c r="K622" s="112"/>
      <c r="L622" s="37">
        <v>83.489485135300001</v>
      </c>
      <c r="M622" s="37" t="s">
        <v>509</v>
      </c>
      <c r="N622" s="37">
        <v>1338.5980487804875</v>
      </c>
      <c r="O622" s="130">
        <f t="shared" si="53"/>
        <v>111758.8618958001</v>
      </c>
      <c r="P622" s="132">
        <f t="shared" si="54"/>
        <v>102392.14531800851</v>
      </c>
      <c r="Q622" s="262">
        <v>1</v>
      </c>
      <c r="R622" s="92"/>
    </row>
    <row r="623" spans="1:18" x14ac:dyDescent="0.25">
      <c r="A623" s="326">
        <v>40057</v>
      </c>
      <c r="B623" s="326" t="s">
        <v>806</v>
      </c>
      <c r="C623" s="264" t="s">
        <v>289</v>
      </c>
      <c r="D623" s="157" t="s">
        <v>471</v>
      </c>
      <c r="E623" s="44">
        <f t="shared" si="56"/>
        <v>40057</v>
      </c>
      <c r="F623" s="146" t="str">
        <f t="shared" si="52"/>
        <v>2009-10</v>
      </c>
      <c r="G623" s="1"/>
      <c r="H623" s="161"/>
      <c r="I623" s="37"/>
      <c r="J623" s="135">
        <f t="shared" si="55"/>
        <v>0.9161881535038825</v>
      </c>
      <c r="K623" s="112"/>
      <c r="L623" s="37">
        <v>20.833363482599999</v>
      </c>
      <c r="M623" s="37" t="s">
        <v>509</v>
      </c>
      <c r="N623" s="37">
        <v>4416.6341463414628</v>
      </c>
      <c r="O623" s="130">
        <f t="shared" si="53"/>
        <v>92013.34454039445</v>
      </c>
      <c r="P623" s="132">
        <f t="shared" si="54"/>
        <v>84301.536232180544</v>
      </c>
      <c r="Q623" s="262">
        <v>1</v>
      </c>
      <c r="R623" s="92"/>
    </row>
    <row r="624" spans="1:18" x14ac:dyDescent="0.25">
      <c r="A624" s="326">
        <v>40057</v>
      </c>
      <c r="B624" s="326" t="s">
        <v>806</v>
      </c>
      <c r="C624" s="264" t="s">
        <v>289</v>
      </c>
      <c r="D624" s="157" t="s">
        <v>471</v>
      </c>
      <c r="E624" s="44">
        <f t="shared" si="56"/>
        <v>40057</v>
      </c>
      <c r="F624" s="146" t="str">
        <f t="shared" si="52"/>
        <v>2009-10</v>
      </c>
      <c r="G624" s="1"/>
      <c r="H624" s="161"/>
      <c r="I624" s="37"/>
      <c r="J624" s="135">
        <f t="shared" si="55"/>
        <v>0.9161881535038825</v>
      </c>
      <c r="K624" s="112"/>
      <c r="L624" s="37">
        <v>12.0676838291</v>
      </c>
      <c r="M624" s="37" t="s">
        <v>509</v>
      </c>
      <c r="N624" s="37">
        <v>1338.5980487804875</v>
      </c>
      <c r="O624" s="130">
        <f t="shared" si="53"/>
        <v>16153.778026933102</v>
      </c>
      <c r="P624" s="132">
        <f t="shared" si="54"/>
        <v>14799.900062607428</v>
      </c>
      <c r="Q624" s="262">
        <v>1</v>
      </c>
      <c r="R624" s="92"/>
    </row>
    <row r="625" spans="1:18" x14ac:dyDescent="0.25">
      <c r="A625" s="326">
        <v>40057</v>
      </c>
      <c r="B625" s="326" t="s">
        <v>806</v>
      </c>
      <c r="C625" s="264" t="s">
        <v>289</v>
      </c>
      <c r="D625" s="157" t="s">
        <v>471</v>
      </c>
      <c r="E625" s="44">
        <f t="shared" si="56"/>
        <v>40057</v>
      </c>
      <c r="F625" s="146" t="str">
        <f t="shared" si="52"/>
        <v>2009-10</v>
      </c>
      <c r="G625" s="1"/>
      <c r="H625" s="161"/>
      <c r="I625" s="37"/>
      <c r="J625" s="135">
        <f t="shared" si="55"/>
        <v>0.9161881535038825</v>
      </c>
      <c r="K625" s="112"/>
      <c r="L625" s="37">
        <v>25.682139143699999</v>
      </c>
      <c r="M625" s="37" t="s">
        <v>509</v>
      </c>
      <c r="N625" s="37">
        <v>1338.5980487804875</v>
      </c>
      <c r="O625" s="130">
        <f t="shared" si="53"/>
        <v>34378.0613462658</v>
      </c>
      <c r="P625" s="132">
        <f t="shared" si="54"/>
        <v>31496.772545878459</v>
      </c>
      <c r="Q625" s="262">
        <v>1</v>
      </c>
      <c r="R625" s="92"/>
    </row>
    <row r="626" spans="1:18" x14ac:dyDescent="0.25">
      <c r="A626" s="326">
        <v>40057</v>
      </c>
      <c r="B626" s="326" t="s">
        <v>806</v>
      </c>
      <c r="C626" s="264" t="s">
        <v>289</v>
      </c>
      <c r="D626" s="157" t="s">
        <v>471</v>
      </c>
      <c r="E626" s="44">
        <f t="shared" si="56"/>
        <v>40057</v>
      </c>
      <c r="F626" s="146" t="str">
        <f t="shared" si="52"/>
        <v>2009-10</v>
      </c>
      <c r="G626" s="1"/>
      <c r="H626" s="161"/>
      <c r="I626" s="37"/>
      <c r="J626" s="135">
        <f t="shared" si="55"/>
        <v>0.9161881535038825</v>
      </c>
      <c r="K626" s="112"/>
      <c r="L626" s="37">
        <v>12.319196889400001</v>
      </c>
      <c r="M626" s="37" t="s">
        <v>509</v>
      </c>
      <c r="N626" s="37">
        <v>1338.5980487804875</v>
      </c>
      <c r="O626" s="130">
        <f t="shared" si="53"/>
        <v>16490.452918693492</v>
      </c>
      <c r="P626" s="132">
        <f t="shared" si="54"/>
        <v>15108.357610020501</v>
      </c>
      <c r="Q626" s="262">
        <v>1</v>
      </c>
      <c r="R626" s="92"/>
    </row>
    <row r="627" spans="1:18" x14ac:dyDescent="0.25">
      <c r="A627" s="326">
        <v>40057</v>
      </c>
      <c r="B627" s="326" t="s">
        <v>806</v>
      </c>
      <c r="C627" s="264" t="s">
        <v>289</v>
      </c>
      <c r="D627" s="157" t="s">
        <v>471</v>
      </c>
      <c r="E627" s="44">
        <f t="shared" si="56"/>
        <v>40057</v>
      </c>
      <c r="F627" s="146" t="str">
        <f t="shared" si="52"/>
        <v>2009-10</v>
      </c>
      <c r="G627" s="1"/>
      <c r="H627" s="161"/>
      <c r="I627" s="37"/>
      <c r="J627" s="135">
        <f t="shared" si="55"/>
        <v>0.9161881535038825</v>
      </c>
      <c r="K627" s="112"/>
      <c r="L627" s="37">
        <v>36.274357403000003</v>
      </c>
      <c r="M627" s="37" t="s">
        <v>509</v>
      </c>
      <c r="N627" s="37">
        <v>1338.5980487804875</v>
      </c>
      <c r="O627" s="130">
        <f t="shared" si="53"/>
        <v>48556.784040421837</v>
      </c>
      <c r="P627" s="132">
        <f t="shared" si="54"/>
        <v>44487.150310080877</v>
      </c>
      <c r="Q627" s="262">
        <v>1</v>
      </c>
      <c r="R627" s="92"/>
    </row>
    <row r="628" spans="1:18" x14ac:dyDescent="0.25">
      <c r="A628" s="326">
        <v>40057</v>
      </c>
      <c r="B628" s="326" t="s">
        <v>806</v>
      </c>
      <c r="C628" s="264" t="s">
        <v>289</v>
      </c>
      <c r="D628" s="157" t="s">
        <v>471</v>
      </c>
      <c r="E628" s="44">
        <f t="shared" si="56"/>
        <v>40057</v>
      </c>
      <c r="F628" s="146" t="str">
        <f t="shared" si="52"/>
        <v>2009-10</v>
      </c>
      <c r="G628" s="1"/>
      <c r="H628" s="161"/>
      <c r="I628" s="37"/>
      <c r="J628" s="135">
        <f t="shared" si="55"/>
        <v>0.9161881535038825</v>
      </c>
      <c r="K628" s="112"/>
      <c r="L628" s="37">
        <v>17.062960733699999</v>
      </c>
      <c r="M628" s="37" t="s">
        <v>509</v>
      </c>
      <c r="N628" s="37">
        <v>1338.5980487804875</v>
      </c>
      <c r="O628" s="130">
        <f t="shared" si="53"/>
        <v>22840.445944548894</v>
      </c>
      <c r="P628" s="132">
        <f t="shared" si="54"/>
        <v>20926.145995141491</v>
      </c>
      <c r="Q628" s="262">
        <v>1</v>
      </c>
      <c r="R628" s="92"/>
    </row>
    <row r="629" spans="1:18" x14ac:dyDescent="0.25">
      <c r="A629" s="326">
        <v>40057</v>
      </c>
      <c r="B629" s="326" t="s">
        <v>806</v>
      </c>
      <c r="C629" s="264" t="s">
        <v>289</v>
      </c>
      <c r="D629" s="157" t="s">
        <v>471</v>
      </c>
      <c r="E629" s="44">
        <f t="shared" si="56"/>
        <v>40057</v>
      </c>
      <c r="F629" s="146" t="str">
        <f t="shared" si="52"/>
        <v>2009-10</v>
      </c>
      <c r="G629" s="1"/>
      <c r="H629" s="161"/>
      <c r="I629" s="37"/>
      <c r="J629" s="135">
        <f t="shared" si="55"/>
        <v>0.9161881535038825</v>
      </c>
      <c r="K629" s="112"/>
      <c r="L629" s="37">
        <v>82.934547374800005</v>
      </c>
      <c r="M629" s="37" t="s">
        <v>509</v>
      </c>
      <c r="N629" s="37">
        <v>1338.5980487804875</v>
      </c>
      <c r="O629" s="130">
        <f t="shared" si="53"/>
        <v>111016.02329240019</v>
      </c>
      <c r="P629" s="132">
        <f t="shared" si="54"/>
        <v>101711.56538960813</v>
      </c>
      <c r="Q629" s="262">
        <v>1</v>
      </c>
      <c r="R629" s="92"/>
    </row>
    <row r="630" spans="1:18" x14ac:dyDescent="0.25">
      <c r="A630" s="326">
        <v>40057</v>
      </c>
      <c r="B630" s="326" t="s">
        <v>806</v>
      </c>
      <c r="C630" s="264" t="s">
        <v>289</v>
      </c>
      <c r="D630" s="157" t="s">
        <v>471</v>
      </c>
      <c r="E630" s="44">
        <f t="shared" si="56"/>
        <v>40057</v>
      </c>
      <c r="F630" s="146" t="str">
        <f t="shared" si="52"/>
        <v>2009-10</v>
      </c>
      <c r="G630" s="1"/>
      <c r="H630" s="161"/>
      <c r="I630" s="37"/>
      <c r="J630" s="135">
        <f t="shared" si="55"/>
        <v>0.9161881535038825</v>
      </c>
      <c r="K630" s="112"/>
      <c r="L630" s="37">
        <v>66.532261239099995</v>
      </c>
      <c r="M630" s="37" t="s">
        <v>509</v>
      </c>
      <c r="N630" s="37">
        <v>1338.5980487804875</v>
      </c>
      <c r="O630" s="130">
        <f t="shared" si="53"/>
        <v>89059.955075612917</v>
      </c>
      <c r="P630" s="132">
        <f t="shared" si="54"/>
        <v>81595.675791864531</v>
      </c>
      <c r="Q630" s="262">
        <v>1</v>
      </c>
      <c r="R630" s="92"/>
    </row>
    <row r="631" spans="1:18" x14ac:dyDescent="0.25">
      <c r="A631" s="326">
        <v>40057</v>
      </c>
      <c r="B631" s="326" t="s">
        <v>806</v>
      </c>
      <c r="C631" s="264" t="s">
        <v>289</v>
      </c>
      <c r="D631" s="157" t="s">
        <v>471</v>
      </c>
      <c r="E631" s="44">
        <f t="shared" si="56"/>
        <v>40057</v>
      </c>
      <c r="F631" s="146" t="str">
        <f t="shared" si="52"/>
        <v>2009-10</v>
      </c>
      <c r="G631" s="1"/>
      <c r="H631" s="161"/>
      <c r="I631" s="37"/>
      <c r="J631" s="135">
        <f t="shared" si="55"/>
        <v>0.9161881535038825</v>
      </c>
      <c r="K631" s="112"/>
      <c r="L631" s="37">
        <v>34.309813452</v>
      </c>
      <c r="M631" s="37" t="s">
        <v>509</v>
      </c>
      <c r="N631" s="37">
        <v>1338.5980487804875</v>
      </c>
      <c r="O631" s="130">
        <f t="shared" si="53"/>
        <v>45927.049340869722</v>
      </c>
      <c r="P631" s="132">
        <f t="shared" si="54"/>
        <v>42077.818531493132</v>
      </c>
      <c r="Q631" s="262">
        <v>1</v>
      </c>
      <c r="R631" s="92"/>
    </row>
    <row r="632" spans="1:18" x14ac:dyDescent="0.25">
      <c r="A632" s="326">
        <v>40057</v>
      </c>
      <c r="B632" s="326" t="s">
        <v>806</v>
      </c>
      <c r="C632" s="264" t="s">
        <v>289</v>
      </c>
      <c r="D632" s="157" t="s">
        <v>471</v>
      </c>
      <c r="E632" s="44">
        <f t="shared" si="56"/>
        <v>40057</v>
      </c>
      <c r="F632" s="146" t="str">
        <f t="shared" si="52"/>
        <v>2009-10</v>
      </c>
      <c r="G632" s="1"/>
      <c r="H632" s="161"/>
      <c r="I632" s="37"/>
      <c r="J632" s="135">
        <f t="shared" si="55"/>
        <v>0.9161881535038825</v>
      </c>
      <c r="K632" s="112"/>
      <c r="L632" s="37">
        <v>5.0203221012199997</v>
      </c>
      <c r="M632" s="37" t="s">
        <v>509</v>
      </c>
      <c r="N632" s="37">
        <v>1338.5980487804875</v>
      </c>
      <c r="O632" s="130">
        <f t="shared" si="53"/>
        <v>6720.1933689426487</v>
      </c>
      <c r="P632" s="132">
        <f t="shared" si="54"/>
        <v>6156.9615538806011</v>
      </c>
      <c r="Q632" s="262">
        <v>1</v>
      </c>
      <c r="R632" s="92"/>
    </row>
    <row r="633" spans="1:18" x14ac:dyDescent="0.25">
      <c r="A633" s="326">
        <v>40057</v>
      </c>
      <c r="B633" s="326" t="s">
        <v>806</v>
      </c>
      <c r="C633" s="264" t="s">
        <v>289</v>
      </c>
      <c r="D633" s="157" t="s">
        <v>471</v>
      </c>
      <c r="E633" s="44">
        <f t="shared" si="56"/>
        <v>40057</v>
      </c>
      <c r="F633" s="146" t="str">
        <f t="shared" si="52"/>
        <v>2009-10</v>
      </c>
      <c r="G633" s="1"/>
      <c r="H633" s="161"/>
      <c r="I633" s="37"/>
      <c r="J633" s="135">
        <f t="shared" si="55"/>
        <v>0.9161881535038825</v>
      </c>
      <c r="K633" s="112"/>
      <c r="L633" s="37">
        <v>9.4937677452100004</v>
      </c>
      <c r="M633" s="37" t="s">
        <v>509</v>
      </c>
      <c r="N633" s="37">
        <v>1338.5980487804875</v>
      </c>
      <c r="O633" s="130">
        <f t="shared" si="53"/>
        <v>12708.338979313236</v>
      </c>
      <c r="P633" s="132">
        <f t="shared" si="54"/>
        <v>11643.229623558407</v>
      </c>
      <c r="Q633" s="262">
        <v>1</v>
      </c>
      <c r="R633" s="92"/>
    </row>
    <row r="634" spans="1:18" x14ac:dyDescent="0.25">
      <c r="A634" s="326">
        <v>40057</v>
      </c>
      <c r="B634" s="326" t="s">
        <v>806</v>
      </c>
      <c r="C634" s="264" t="s">
        <v>289</v>
      </c>
      <c r="D634" s="157" t="s">
        <v>471</v>
      </c>
      <c r="E634" s="44">
        <f t="shared" si="56"/>
        <v>40057</v>
      </c>
      <c r="F634" s="146" t="str">
        <f t="shared" si="52"/>
        <v>2009-10</v>
      </c>
      <c r="G634" s="1"/>
      <c r="H634" s="161"/>
      <c r="I634" s="37"/>
      <c r="J634" s="135">
        <f t="shared" si="55"/>
        <v>0.9161881535038825</v>
      </c>
      <c r="K634" s="112"/>
      <c r="L634" s="37">
        <v>4.9956730976900001</v>
      </c>
      <c r="M634" s="37" t="s">
        <v>509</v>
      </c>
      <c r="N634" s="37">
        <v>1338.5980487804875</v>
      </c>
      <c r="O634" s="130">
        <f t="shared" si="53"/>
        <v>6687.1982609130082</v>
      </c>
      <c r="P634" s="132">
        <f t="shared" si="54"/>
        <v>6126.731826780263</v>
      </c>
      <c r="Q634" s="262">
        <v>1</v>
      </c>
      <c r="R634" s="92"/>
    </row>
    <row r="635" spans="1:18" x14ac:dyDescent="0.25">
      <c r="A635" s="326">
        <v>40057</v>
      </c>
      <c r="B635" s="326" t="s">
        <v>806</v>
      </c>
      <c r="C635" s="264" t="s">
        <v>289</v>
      </c>
      <c r="D635" s="157" t="s">
        <v>471</v>
      </c>
      <c r="E635" s="44">
        <f t="shared" si="56"/>
        <v>40057</v>
      </c>
      <c r="F635" s="146" t="str">
        <f t="shared" si="52"/>
        <v>2009-10</v>
      </c>
      <c r="G635" s="1"/>
      <c r="H635" s="161"/>
      <c r="I635" s="37"/>
      <c r="J635" s="135">
        <f t="shared" si="55"/>
        <v>0.9161881535038825</v>
      </c>
      <c r="K635" s="112"/>
      <c r="L635" s="37">
        <v>5.5446943391400003</v>
      </c>
      <c r="M635" s="37" t="s">
        <v>509</v>
      </c>
      <c r="N635" s="37">
        <v>1338.5980487804875</v>
      </c>
      <c r="O635" s="130">
        <f t="shared" si="53"/>
        <v>7422.1170234570191</v>
      </c>
      <c r="P635" s="132">
        <f t="shared" si="54"/>
        <v>6800.0556908108192</v>
      </c>
      <c r="Q635" s="262">
        <v>1</v>
      </c>
      <c r="R635" s="92"/>
    </row>
    <row r="636" spans="1:18" x14ac:dyDescent="0.25">
      <c r="A636" s="326">
        <v>40057</v>
      </c>
      <c r="B636" s="326" t="s">
        <v>806</v>
      </c>
      <c r="C636" s="264" t="s">
        <v>289</v>
      </c>
      <c r="D636" s="157" t="s">
        <v>471</v>
      </c>
      <c r="E636" s="44">
        <f t="shared" si="56"/>
        <v>40057</v>
      </c>
      <c r="F636" s="146" t="str">
        <f t="shared" si="52"/>
        <v>2009-10</v>
      </c>
      <c r="G636" s="1"/>
      <c r="H636" s="161"/>
      <c r="I636" s="37"/>
      <c r="J636" s="135">
        <f t="shared" si="55"/>
        <v>0.9161881535038825</v>
      </c>
      <c r="K636" s="112"/>
      <c r="L636" s="37">
        <v>22.434825241199999</v>
      </c>
      <c r="M636" s="37" t="s">
        <v>509</v>
      </c>
      <c r="N636" s="37">
        <v>1338.5980487804875</v>
      </c>
      <c r="O636" s="130">
        <f t="shared" si="53"/>
        <v>30031.213292601547</v>
      </c>
      <c r="P636" s="132">
        <f t="shared" si="54"/>
        <v>27514.241854029864</v>
      </c>
      <c r="Q636" s="262">
        <v>1</v>
      </c>
      <c r="R636" s="92"/>
    </row>
    <row r="637" spans="1:18" x14ac:dyDescent="0.25">
      <c r="A637" s="326">
        <v>40057</v>
      </c>
      <c r="B637" s="326" t="s">
        <v>806</v>
      </c>
      <c r="C637" s="264" t="s">
        <v>289</v>
      </c>
      <c r="D637" s="157" t="s">
        <v>471</v>
      </c>
      <c r="E637" s="44">
        <f t="shared" si="56"/>
        <v>40057</v>
      </c>
      <c r="F637" s="146" t="str">
        <f t="shared" si="52"/>
        <v>2009-10</v>
      </c>
      <c r="G637" s="1"/>
      <c r="H637" s="161"/>
      <c r="I637" s="37"/>
      <c r="J637" s="135">
        <f t="shared" si="55"/>
        <v>0.9161881535038825</v>
      </c>
      <c r="K637" s="112"/>
      <c r="L637" s="37">
        <v>8.4017048712300006</v>
      </c>
      <c r="M637" s="37" t="s">
        <v>509</v>
      </c>
      <c r="N637" s="37">
        <v>1338.5980487804875</v>
      </c>
      <c r="O637" s="130">
        <f t="shared" si="53"/>
        <v>11246.505747057996</v>
      </c>
      <c r="P637" s="132">
        <f t="shared" si="54"/>
        <v>10303.915333767867</v>
      </c>
      <c r="Q637" s="262">
        <v>1</v>
      </c>
      <c r="R637" s="92"/>
    </row>
    <row r="638" spans="1:18" x14ac:dyDescent="0.25">
      <c r="A638" s="326">
        <v>40057</v>
      </c>
      <c r="B638" s="326" t="s">
        <v>806</v>
      </c>
      <c r="C638" s="264" t="s">
        <v>289</v>
      </c>
      <c r="D638" s="157" t="s">
        <v>471</v>
      </c>
      <c r="E638" s="44">
        <f t="shared" si="56"/>
        <v>40057</v>
      </c>
      <c r="F638" s="146" t="str">
        <f t="shared" si="52"/>
        <v>2009-10</v>
      </c>
      <c r="G638" s="1"/>
      <c r="H638" s="161"/>
      <c r="I638" s="37"/>
      <c r="J638" s="135">
        <f t="shared" si="55"/>
        <v>0.9161881535038825</v>
      </c>
      <c r="K638" s="112"/>
      <c r="L638" s="37">
        <v>4.0475618568899998</v>
      </c>
      <c r="M638" s="37" t="s">
        <v>509</v>
      </c>
      <c r="N638" s="37">
        <v>1338.5980487804875</v>
      </c>
      <c r="O638" s="130">
        <f t="shared" si="53"/>
        <v>5418.0584039512805</v>
      </c>
      <c r="P638" s="132">
        <f t="shared" si="54"/>
        <v>4963.9609246923164</v>
      </c>
      <c r="Q638" s="262">
        <v>1</v>
      </c>
      <c r="R638" s="92"/>
    </row>
    <row r="639" spans="1:18" x14ac:dyDescent="0.25">
      <c r="A639" s="326">
        <v>40057</v>
      </c>
      <c r="B639" s="326" t="s">
        <v>806</v>
      </c>
      <c r="C639" s="264" t="s">
        <v>289</v>
      </c>
      <c r="D639" s="157" t="s">
        <v>471</v>
      </c>
      <c r="E639" s="44">
        <f t="shared" si="56"/>
        <v>40057</v>
      </c>
      <c r="F639" s="146" t="str">
        <f t="shared" si="52"/>
        <v>2009-10</v>
      </c>
      <c r="G639" s="1"/>
      <c r="H639" s="161"/>
      <c r="I639" s="37"/>
      <c r="J639" s="135">
        <f t="shared" si="55"/>
        <v>0.9161881535038825</v>
      </c>
      <c r="K639" s="112"/>
      <c r="L639" s="37">
        <v>4.6336001289500004</v>
      </c>
      <c r="M639" s="37" t="s">
        <v>509</v>
      </c>
      <c r="N639" s="37">
        <v>1338.5980487804875</v>
      </c>
      <c r="O639" s="130">
        <f t="shared" si="53"/>
        <v>6202.5280914414861</v>
      </c>
      <c r="P639" s="132">
        <f t="shared" si="54"/>
        <v>5682.6827591537358</v>
      </c>
      <c r="Q639" s="262">
        <v>1</v>
      </c>
      <c r="R639" s="92"/>
    </row>
    <row r="640" spans="1:18" x14ac:dyDescent="0.25">
      <c r="A640" s="326">
        <v>40057</v>
      </c>
      <c r="B640" s="326" t="s">
        <v>806</v>
      </c>
      <c r="C640" s="264" t="s">
        <v>289</v>
      </c>
      <c r="D640" s="157" t="s">
        <v>471</v>
      </c>
      <c r="E640" s="44">
        <f t="shared" si="56"/>
        <v>40057</v>
      </c>
      <c r="F640" s="146" t="str">
        <f t="shared" ref="F640:F703" si="57">IF(E640="","-",IF(OR(E640&lt;$E$15,E640&gt;$E$16),"ERROR - date outside of range",IF(MONTH(E640)&gt;=7,YEAR(E640)&amp;"-"&amp;IF(YEAR(E640)=1999,"00",IF(AND(YEAR(E640)&gt;=2000,YEAR(E640)&lt;2009),"0","")&amp;RIGHT(YEAR(E640),2)+1),RIGHT(YEAR(E640),4)-1&amp;"-"&amp;RIGHT(YEAR(E640),2))))</f>
        <v>2009-10</v>
      </c>
      <c r="G640" s="1"/>
      <c r="H640" s="161"/>
      <c r="I640" s="37"/>
      <c r="J640" s="135">
        <f t="shared" si="55"/>
        <v>0.9161881535038825</v>
      </c>
      <c r="K640" s="112"/>
      <c r="L640" s="37">
        <v>1.7485639822400001</v>
      </c>
      <c r="M640" s="37" t="s">
        <v>509</v>
      </c>
      <c r="N640" s="37">
        <v>479.79317073170722</v>
      </c>
      <c r="O640" s="130">
        <f t="shared" si="53"/>
        <v>838.94905726619027</v>
      </c>
      <c r="P640" s="132">
        <f t="shared" si="54"/>
        <v>768.6351876605338</v>
      </c>
      <c r="Q640" s="262">
        <v>1</v>
      </c>
      <c r="R640" s="92"/>
    </row>
    <row r="641" spans="1:18" x14ac:dyDescent="0.25">
      <c r="A641" s="326">
        <v>40057</v>
      </c>
      <c r="B641" s="326" t="s">
        <v>806</v>
      </c>
      <c r="C641" s="264" t="s">
        <v>289</v>
      </c>
      <c r="D641" s="157" t="s">
        <v>471</v>
      </c>
      <c r="E641" s="44">
        <f t="shared" si="56"/>
        <v>40057</v>
      </c>
      <c r="F641" s="146" t="str">
        <f t="shared" si="57"/>
        <v>2009-10</v>
      </c>
      <c r="G641" s="1"/>
      <c r="H641" s="161"/>
      <c r="I641" s="37"/>
      <c r="J641" s="135">
        <f t="shared" si="55"/>
        <v>0.9161881535038825</v>
      </c>
      <c r="K641" s="112"/>
      <c r="L641" s="37">
        <v>1.6988811023699999</v>
      </c>
      <c r="M641" s="37" t="s">
        <v>509</v>
      </c>
      <c r="N641" s="37">
        <v>479.79317073170722</v>
      </c>
      <c r="O641" s="130">
        <f t="shared" si="53"/>
        <v>815.11155080228036</v>
      </c>
      <c r="P641" s="132">
        <f t="shared" si="54"/>
        <v>746.79554662922737</v>
      </c>
      <c r="Q641" s="262">
        <v>1</v>
      </c>
      <c r="R641" s="92"/>
    </row>
    <row r="642" spans="1:18" x14ac:dyDescent="0.25">
      <c r="A642" s="326">
        <v>40497</v>
      </c>
      <c r="B642" s="326" t="s">
        <v>806</v>
      </c>
      <c r="C642" s="264" t="s">
        <v>467</v>
      </c>
      <c r="D642" s="157" t="s">
        <v>475</v>
      </c>
      <c r="E642" s="44">
        <f t="shared" si="56"/>
        <v>40497</v>
      </c>
      <c r="F642" s="146" t="str">
        <f t="shared" si="57"/>
        <v>2010-11</v>
      </c>
      <c r="G642" s="1"/>
      <c r="H642" s="161"/>
      <c r="I642" s="37"/>
      <c r="J642" s="135">
        <f t="shared" si="55"/>
        <v>0.9161881535038825</v>
      </c>
      <c r="K642" s="112"/>
      <c r="L642" s="37">
        <v>30.244860621299999</v>
      </c>
      <c r="M642" s="37" t="s">
        <v>509</v>
      </c>
      <c r="N642" s="37">
        <v>1338.5980487804875</v>
      </c>
      <c r="O642" s="130">
        <f t="shared" si="53"/>
        <v>40485.711413309982</v>
      </c>
      <c r="P642" s="132">
        <f t="shared" si="54"/>
        <v>11544.399732865608</v>
      </c>
      <c r="Q642" s="262">
        <v>0.31123247691992167</v>
      </c>
      <c r="R642" s="92"/>
    </row>
    <row r="643" spans="1:18" x14ac:dyDescent="0.25">
      <c r="A643" s="326">
        <v>40497</v>
      </c>
      <c r="B643" s="326" t="s">
        <v>806</v>
      </c>
      <c r="C643" s="264" t="s">
        <v>467</v>
      </c>
      <c r="D643" s="157" t="s">
        <v>475</v>
      </c>
      <c r="E643" s="44">
        <f t="shared" si="56"/>
        <v>40497</v>
      </c>
      <c r="F643" s="146" t="str">
        <f t="shared" si="57"/>
        <v>2010-11</v>
      </c>
      <c r="G643" s="1"/>
      <c r="H643" s="161"/>
      <c r="I643" s="37"/>
      <c r="J643" s="135">
        <f t="shared" si="55"/>
        <v>0.9161881535038825</v>
      </c>
      <c r="K643" s="112"/>
      <c r="L643" s="37">
        <v>2.6889486793200001</v>
      </c>
      <c r="M643" s="37" t="s">
        <v>509</v>
      </c>
      <c r="N643" s="37">
        <v>1338.5980487804875</v>
      </c>
      <c r="O643" s="130">
        <f t="shared" si="53"/>
        <v>3599.4214554086211</v>
      </c>
      <c r="P643" s="132">
        <f t="shared" si="54"/>
        <v>1026.3660594742348</v>
      </c>
      <c r="Q643" s="262">
        <v>0.31123247691992167</v>
      </c>
      <c r="R643" s="92"/>
    </row>
    <row r="644" spans="1:18" x14ac:dyDescent="0.25">
      <c r="A644" s="326">
        <v>40497</v>
      </c>
      <c r="B644" s="326" t="s">
        <v>806</v>
      </c>
      <c r="C644" s="264" t="s">
        <v>467</v>
      </c>
      <c r="D644" s="157" t="s">
        <v>475</v>
      </c>
      <c r="E644" s="44">
        <f t="shared" si="56"/>
        <v>40497</v>
      </c>
      <c r="F644" s="146" t="str">
        <f t="shared" si="57"/>
        <v>2010-11</v>
      </c>
      <c r="G644" s="1"/>
      <c r="H644" s="161"/>
      <c r="I644" s="37"/>
      <c r="J644" s="135">
        <f t="shared" si="55"/>
        <v>0.9161881535038825</v>
      </c>
      <c r="K644" s="112"/>
      <c r="L644" s="37">
        <v>2.20708042445</v>
      </c>
      <c r="M644" s="37" t="s">
        <v>509</v>
      </c>
      <c r="N644" s="37">
        <v>1338.5980487804875</v>
      </c>
      <c r="O644" s="130">
        <f t="shared" si="53"/>
        <v>2954.3935496703803</v>
      </c>
      <c r="P644" s="132">
        <f t="shared" si="54"/>
        <v>842.43795934339892</v>
      </c>
      <c r="Q644" s="262">
        <v>0.31123247691992167</v>
      </c>
      <c r="R644" s="92"/>
    </row>
    <row r="645" spans="1:18" x14ac:dyDescent="0.25">
      <c r="A645" s="326">
        <v>40497</v>
      </c>
      <c r="B645" s="326" t="s">
        <v>806</v>
      </c>
      <c r="C645" s="264" t="s">
        <v>467</v>
      </c>
      <c r="D645" s="157" t="s">
        <v>475</v>
      </c>
      <c r="E645" s="44">
        <f t="shared" si="56"/>
        <v>40497</v>
      </c>
      <c r="F645" s="146" t="str">
        <f t="shared" si="57"/>
        <v>2010-11</v>
      </c>
      <c r="G645" s="1"/>
      <c r="H645" s="161"/>
      <c r="I645" s="37"/>
      <c r="J645" s="135">
        <f t="shared" si="55"/>
        <v>0.9161881535038825</v>
      </c>
      <c r="K645" s="112"/>
      <c r="L645" s="37">
        <v>27.392163063999998</v>
      </c>
      <c r="M645" s="37" t="s">
        <v>509</v>
      </c>
      <c r="N645" s="37">
        <v>4416.6341463414628</v>
      </c>
      <c r="O645" s="130">
        <f t="shared" si="53"/>
        <v>120981.16273061578</v>
      </c>
      <c r="P645" s="132">
        <f t="shared" si="54"/>
        <v>34497.477108675201</v>
      </c>
      <c r="Q645" s="262">
        <v>0.31123247691992167</v>
      </c>
      <c r="R645" s="92"/>
    </row>
    <row r="646" spans="1:18" x14ac:dyDescent="0.25">
      <c r="A646" s="326">
        <v>40497</v>
      </c>
      <c r="B646" s="326" t="s">
        <v>806</v>
      </c>
      <c r="C646" s="264" t="s">
        <v>467</v>
      </c>
      <c r="D646" s="157" t="s">
        <v>475</v>
      </c>
      <c r="E646" s="44">
        <f t="shared" si="56"/>
        <v>40497</v>
      </c>
      <c r="F646" s="146" t="str">
        <f t="shared" si="57"/>
        <v>2010-11</v>
      </c>
      <c r="G646" s="1"/>
      <c r="H646" s="161"/>
      <c r="I646" s="37"/>
      <c r="J646" s="135">
        <f t="shared" si="55"/>
        <v>0.9161881535038825</v>
      </c>
      <c r="K646" s="112"/>
      <c r="L646" s="37">
        <v>8.1997539024900004</v>
      </c>
      <c r="M646" s="37" t="s">
        <v>509</v>
      </c>
      <c r="N646" s="37">
        <v>404.93951219512189</v>
      </c>
      <c r="O646" s="130">
        <f t="shared" si="53"/>
        <v>3320.4043453943477</v>
      </c>
      <c r="P646" s="132">
        <f t="shared" si="54"/>
        <v>946.80502576952006</v>
      </c>
      <c r="Q646" s="262">
        <v>0.31123247691992167</v>
      </c>
      <c r="R646" s="92"/>
    </row>
    <row r="647" spans="1:18" x14ac:dyDescent="0.25">
      <c r="A647" s="326">
        <v>40497</v>
      </c>
      <c r="B647" s="326" t="s">
        <v>806</v>
      </c>
      <c r="C647" s="264" t="s">
        <v>467</v>
      </c>
      <c r="D647" s="157" t="s">
        <v>475</v>
      </c>
      <c r="E647" s="44">
        <f t="shared" si="56"/>
        <v>40497</v>
      </c>
      <c r="F647" s="146" t="str">
        <f t="shared" si="57"/>
        <v>2010-11</v>
      </c>
      <c r="G647" s="1"/>
      <c r="H647" s="161"/>
      <c r="I647" s="37"/>
      <c r="J647" s="135">
        <f t="shared" si="55"/>
        <v>0.9161881535038825</v>
      </c>
      <c r="K647" s="112"/>
      <c r="L647" s="37">
        <v>0.19949185447000001</v>
      </c>
      <c r="M647" s="37" t="s">
        <v>509</v>
      </c>
      <c r="N647" s="37">
        <v>479.79317073170722</v>
      </c>
      <c r="O647" s="130">
        <f t="shared" si="53"/>
        <v>95.714829391309607</v>
      </c>
      <c r="P647" s="132">
        <f t="shared" si="54"/>
        <v>27.29284511209168</v>
      </c>
      <c r="Q647" s="262">
        <v>0.31123247691992167</v>
      </c>
      <c r="R647" s="92"/>
    </row>
    <row r="648" spans="1:18" x14ac:dyDescent="0.25">
      <c r="A648" s="326">
        <v>40497</v>
      </c>
      <c r="B648" s="326" t="s">
        <v>806</v>
      </c>
      <c r="C648" s="264" t="s">
        <v>467</v>
      </c>
      <c r="D648" s="157" t="s">
        <v>475</v>
      </c>
      <c r="E648" s="44">
        <f t="shared" si="56"/>
        <v>40497</v>
      </c>
      <c r="F648" s="146" t="str">
        <f t="shared" si="57"/>
        <v>2010-11</v>
      </c>
      <c r="G648" s="1"/>
      <c r="H648" s="161"/>
      <c r="I648" s="37"/>
      <c r="J648" s="135">
        <f t="shared" si="55"/>
        <v>0.9161881535038825</v>
      </c>
      <c r="K648" s="112"/>
      <c r="L648" s="37">
        <v>2.3341628918500001</v>
      </c>
      <c r="M648" s="37" t="s">
        <v>509</v>
      </c>
      <c r="N648" s="37">
        <v>404.93951219512189</v>
      </c>
      <c r="O648" s="130">
        <f t="shared" si="53"/>
        <v>945.19478280969406</v>
      </c>
      <c r="P648" s="132">
        <f t="shared" si="54"/>
        <v>269.51993721387078</v>
      </c>
      <c r="Q648" s="262">
        <v>0.31123247691992167</v>
      </c>
      <c r="R648" s="92"/>
    </row>
    <row r="649" spans="1:18" x14ac:dyDescent="0.25">
      <c r="A649" s="326">
        <v>40497</v>
      </c>
      <c r="B649" s="326" t="s">
        <v>806</v>
      </c>
      <c r="C649" s="264" t="s">
        <v>467</v>
      </c>
      <c r="D649" s="157" t="s">
        <v>475</v>
      </c>
      <c r="E649" s="44">
        <f t="shared" si="56"/>
        <v>40497</v>
      </c>
      <c r="F649" s="146" t="str">
        <f t="shared" si="57"/>
        <v>2010-11</v>
      </c>
      <c r="G649" s="1"/>
      <c r="H649" s="161"/>
      <c r="I649" s="37"/>
      <c r="J649" s="135">
        <f t="shared" si="55"/>
        <v>0.9161881535038825</v>
      </c>
      <c r="K649" s="112"/>
      <c r="L649" s="37">
        <v>2.0802144950099999</v>
      </c>
      <c r="M649" s="37" t="s">
        <v>509</v>
      </c>
      <c r="N649" s="37">
        <v>479.79317073170722</v>
      </c>
      <c r="O649" s="130">
        <f t="shared" si="53"/>
        <v>998.07270836290502</v>
      </c>
      <c r="P649" s="132">
        <f t="shared" si="54"/>
        <v>284.59794593154118</v>
      </c>
      <c r="Q649" s="262">
        <v>0.31123247691992167</v>
      </c>
      <c r="R649" s="92"/>
    </row>
    <row r="650" spans="1:18" x14ac:dyDescent="0.25">
      <c r="A650" s="326">
        <v>40497</v>
      </c>
      <c r="B650" s="326" t="s">
        <v>806</v>
      </c>
      <c r="C650" s="264" t="s">
        <v>467</v>
      </c>
      <c r="D650" s="157" t="s">
        <v>475</v>
      </c>
      <c r="E650" s="44">
        <f t="shared" si="56"/>
        <v>40497</v>
      </c>
      <c r="F650" s="146" t="str">
        <f t="shared" si="57"/>
        <v>2010-11</v>
      </c>
      <c r="G650" s="1"/>
      <c r="H650" s="161"/>
      <c r="I650" s="37"/>
      <c r="J650" s="135">
        <f t="shared" si="55"/>
        <v>0.9161881535038825</v>
      </c>
      <c r="K650" s="112"/>
      <c r="L650" s="37">
        <v>4.5463350074499997</v>
      </c>
      <c r="M650" s="37" t="s">
        <v>509</v>
      </c>
      <c r="N650" s="37">
        <v>404.93951219512189</v>
      </c>
      <c r="O650" s="130">
        <f t="shared" si="53"/>
        <v>1840.9906801924087</v>
      </c>
      <c r="P650" s="132">
        <f t="shared" si="54"/>
        <v>524.95390533347995</v>
      </c>
      <c r="Q650" s="262">
        <v>0.31123247691992167</v>
      </c>
      <c r="R650" s="92"/>
    </row>
    <row r="651" spans="1:18" x14ac:dyDescent="0.25">
      <c r="A651" s="326">
        <v>40497</v>
      </c>
      <c r="B651" s="326" t="s">
        <v>806</v>
      </c>
      <c r="C651" s="264" t="s">
        <v>467</v>
      </c>
      <c r="D651" s="157" t="s">
        <v>475</v>
      </c>
      <c r="E651" s="44">
        <f t="shared" si="56"/>
        <v>40497</v>
      </c>
      <c r="F651" s="146" t="str">
        <f t="shared" si="57"/>
        <v>2010-11</v>
      </c>
      <c r="G651" s="1"/>
      <c r="H651" s="161"/>
      <c r="I651" s="37"/>
      <c r="J651" s="135">
        <f t="shared" si="55"/>
        <v>0.9161881535038825</v>
      </c>
      <c r="K651" s="112"/>
      <c r="L651" s="37">
        <v>1.8084391934299999</v>
      </c>
      <c r="M651" s="37" t="s">
        <v>509</v>
      </c>
      <c r="N651" s="37">
        <v>404.93951219512189</v>
      </c>
      <c r="O651" s="130">
        <f t="shared" si="53"/>
        <v>732.30848482208387</v>
      </c>
      <c r="P651" s="132">
        <f t="shared" si="54"/>
        <v>208.81593978304025</v>
      </c>
      <c r="Q651" s="262">
        <v>0.31123247691992167</v>
      </c>
      <c r="R651" s="92"/>
    </row>
    <row r="652" spans="1:18" x14ac:dyDescent="0.25">
      <c r="A652" s="326">
        <v>40497</v>
      </c>
      <c r="B652" s="326" t="s">
        <v>806</v>
      </c>
      <c r="C652" s="264" t="s">
        <v>467</v>
      </c>
      <c r="D652" s="157" t="s">
        <v>475</v>
      </c>
      <c r="E652" s="44">
        <f t="shared" si="56"/>
        <v>40497</v>
      </c>
      <c r="F652" s="146" t="str">
        <f t="shared" si="57"/>
        <v>2010-11</v>
      </c>
      <c r="G652" s="1"/>
      <c r="H652" s="161"/>
      <c r="I652" s="37"/>
      <c r="J652" s="135">
        <f t="shared" si="55"/>
        <v>0.9161881535038825</v>
      </c>
      <c r="K652" s="112"/>
      <c r="L652" s="37">
        <v>66.449971558599998</v>
      </c>
      <c r="M652" s="37" t="s">
        <v>509</v>
      </c>
      <c r="N652" s="37">
        <v>4416.6341463414628</v>
      </c>
      <c r="O652" s="130">
        <f t="shared" si="53"/>
        <v>293485.2134091318</v>
      </c>
      <c r="P652" s="132">
        <f t="shared" si="54"/>
        <v>83686.577338159856</v>
      </c>
      <c r="Q652" s="262">
        <v>0.31123247691992167</v>
      </c>
      <c r="R652" s="92"/>
    </row>
    <row r="653" spans="1:18" x14ac:dyDescent="0.25">
      <c r="A653" s="326">
        <v>40497</v>
      </c>
      <c r="B653" s="326" t="s">
        <v>806</v>
      </c>
      <c r="C653" s="264" t="s">
        <v>467</v>
      </c>
      <c r="D653" s="157" t="s">
        <v>475</v>
      </c>
      <c r="E653" s="44">
        <f t="shared" si="56"/>
        <v>40497</v>
      </c>
      <c r="F653" s="146" t="str">
        <f t="shared" si="57"/>
        <v>2010-11</v>
      </c>
      <c r="G653" s="1"/>
      <c r="H653" s="161"/>
      <c r="I653" s="37"/>
      <c r="J653" s="135">
        <f t="shared" si="55"/>
        <v>0.9161881535038825</v>
      </c>
      <c r="K653" s="112"/>
      <c r="L653" s="37">
        <v>60.554744341000003</v>
      </c>
      <c r="M653" s="37" t="s">
        <v>509</v>
      </c>
      <c r="N653" s="37">
        <v>4416.6341463414628</v>
      </c>
      <c r="O653" s="130">
        <f t="shared" si="53"/>
        <v>267448.15157943807</v>
      </c>
      <c r="P653" s="132">
        <f t="shared" si="54"/>
        <v>76262.174032935902</v>
      </c>
      <c r="Q653" s="262">
        <v>0.31123247691992167</v>
      </c>
      <c r="R653" s="92"/>
    </row>
    <row r="654" spans="1:18" x14ac:dyDescent="0.25">
      <c r="A654" s="326">
        <v>40497</v>
      </c>
      <c r="B654" s="326" t="s">
        <v>806</v>
      </c>
      <c r="C654" s="264" t="s">
        <v>467</v>
      </c>
      <c r="D654" s="157" t="s">
        <v>475</v>
      </c>
      <c r="E654" s="44">
        <f t="shared" si="56"/>
        <v>40497</v>
      </c>
      <c r="F654" s="146" t="str">
        <f t="shared" si="57"/>
        <v>2010-11</v>
      </c>
      <c r="G654" s="1"/>
      <c r="H654" s="161"/>
      <c r="I654" s="37"/>
      <c r="J654" s="135">
        <f t="shared" si="55"/>
        <v>0.9161881535038825</v>
      </c>
      <c r="K654" s="112"/>
      <c r="L654" s="37">
        <v>2.0751050575800001</v>
      </c>
      <c r="M654" s="37" t="s">
        <v>509</v>
      </c>
      <c r="N654" s="37">
        <v>1338.5980487804875</v>
      </c>
      <c r="O654" s="130">
        <f t="shared" si="53"/>
        <v>2777.7315810911091</v>
      </c>
      <c r="P654" s="132">
        <f t="shared" si="54"/>
        <v>792.06323918463272</v>
      </c>
      <c r="Q654" s="262">
        <v>0.31123247691992167</v>
      </c>
      <c r="R654" s="92"/>
    </row>
    <row r="655" spans="1:18" x14ac:dyDescent="0.25">
      <c r="A655" s="326">
        <v>40497</v>
      </c>
      <c r="B655" s="326" t="s">
        <v>806</v>
      </c>
      <c r="C655" s="264" t="s">
        <v>467</v>
      </c>
      <c r="D655" s="157" t="s">
        <v>475</v>
      </c>
      <c r="E655" s="44">
        <f t="shared" si="56"/>
        <v>40497</v>
      </c>
      <c r="F655" s="146" t="str">
        <f t="shared" si="57"/>
        <v>2010-11</v>
      </c>
      <c r="G655" s="1"/>
      <c r="H655" s="161"/>
      <c r="I655" s="37"/>
      <c r="J655" s="135">
        <f t="shared" si="55"/>
        <v>0.9161881535038825</v>
      </c>
      <c r="K655" s="112"/>
      <c r="L655" s="37">
        <v>2.11661167908</v>
      </c>
      <c r="M655" s="37" t="s">
        <v>509</v>
      </c>
      <c r="N655" s="37">
        <v>4416.6341463414628</v>
      </c>
      <c r="O655" s="130">
        <f t="shared" si="53"/>
        <v>9348.2994163698659</v>
      </c>
      <c r="P655" s="132">
        <f t="shared" si="54"/>
        <v>2665.6442857913648</v>
      </c>
      <c r="Q655" s="262">
        <v>0.31123247691992167</v>
      </c>
      <c r="R655" s="92"/>
    </row>
    <row r="656" spans="1:18" x14ac:dyDescent="0.25">
      <c r="A656" s="326">
        <v>40057</v>
      </c>
      <c r="B656" s="326" t="s">
        <v>806</v>
      </c>
      <c r="C656" s="264" t="s">
        <v>289</v>
      </c>
      <c r="D656" s="157" t="s">
        <v>472</v>
      </c>
      <c r="E656" s="44">
        <f t="shared" si="56"/>
        <v>40057</v>
      </c>
      <c r="F656" s="146" t="str">
        <f t="shared" si="57"/>
        <v>2009-10</v>
      </c>
      <c r="G656" s="1"/>
      <c r="H656" s="161"/>
      <c r="I656" s="37"/>
      <c r="J656" s="135">
        <f t="shared" si="55"/>
        <v>0.9161881535038825</v>
      </c>
      <c r="K656" s="112"/>
      <c r="L656" s="37">
        <v>59.959245258800003</v>
      </c>
      <c r="M656" s="37" t="s">
        <v>509</v>
      </c>
      <c r="N656" s="37">
        <v>1338.5980487804875</v>
      </c>
      <c r="O656" s="130">
        <f t="shared" si="53"/>
        <v>80261.328709780384</v>
      </c>
      <c r="P656" s="132">
        <f t="shared" si="54"/>
        <v>73534.478548381841</v>
      </c>
      <c r="Q656" s="262">
        <v>1</v>
      </c>
      <c r="R656" s="92"/>
    </row>
    <row r="657" spans="1:18" x14ac:dyDescent="0.25">
      <c r="A657" s="326">
        <v>40057</v>
      </c>
      <c r="B657" s="326" t="s">
        <v>806</v>
      </c>
      <c r="C657" s="264" t="s">
        <v>289</v>
      </c>
      <c r="D657" s="157" t="s">
        <v>472</v>
      </c>
      <c r="E657" s="44">
        <f t="shared" si="56"/>
        <v>40057</v>
      </c>
      <c r="F657" s="146" t="str">
        <f t="shared" si="57"/>
        <v>2009-10</v>
      </c>
      <c r="G657" s="1"/>
      <c r="H657" s="161"/>
      <c r="I657" s="37"/>
      <c r="J657" s="135">
        <f t="shared" si="55"/>
        <v>0.9161881535038825</v>
      </c>
      <c r="K657" s="112"/>
      <c r="L657" s="37">
        <v>9.6933977531100002</v>
      </c>
      <c r="M657" s="37" t="s">
        <v>509</v>
      </c>
      <c r="N657" s="37">
        <v>1338.5980487804875</v>
      </c>
      <c r="O657" s="130">
        <f t="shared" si="53"/>
        <v>12975.563318366208</v>
      </c>
      <c r="P657" s="132">
        <f t="shared" si="54"/>
        <v>11888.057397326647</v>
      </c>
      <c r="Q657" s="262">
        <v>1</v>
      </c>
      <c r="R657" s="92"/>
    </row>
    <row r="658" spans="1:18" x14ac:dyDescent="0.25">
      <c r="A658" s="326">
        <v>40057</v>
      </c>
      <c r="B658" s="326" t="s">
        <v>806</v>
      </c>
      <c r="C658" s="264" t="s">
        <v>289</v>
      </c>
      <c r="D658" s="157" t="s">
        <v>472</v>
      </c>
      <c r="E658" s="44">
        <f t="shared" si="56"/>
        <v>40057</v>
      </c>
      <c r="F658" s="146" t="str">
        <f t="shared" si="57"/>
        <v>2009-10</v>
      </c>
      <c r="G658" s="1"/>
      <c r="H658" s="161"/>
      <c r="I658" s="37"/>
      <c r="J658" s="135">
        <f t="shared" si="55"/>
        <v>0.9161881535038825</v>
      </c>
      <c r="K658" s="112"/>
      <c r="L658" s="37">
        <v>43.215907035699999</v>
      </c>
      <c r="M658" s="37" t="s">
        <v>509</v>
      </c>
      <c r="N658" s="37">
        <v>1338.5980487804875</v>
      </c>
      <c r="O658" s="130">
        <f t="shared" si="53"/>
        <v>57848.728834266956</v>
      </c>
      <c r="P658" s="132">
        <f t="shared" si="54"/>
        <v>53000.320053213851</v>
      </c>
      <c r="Q658" s="262">
        <v>1</v>
      </c>
      <c r="R658" s="92"/>
    </row>
    <row r="659" spans="1:18" x14ac:dyDescent="0.25">
      <c r="A659" s="326">
        <v>40057</v>
      </c>
      <c r="B659" s="326" t="s">
        <v>806</v>
      </c>
      <c r="C659" s="264" t="s">
        <v>289</v>
      </c>
      <c r="D659" s="157" t="s">
        <v>472</v>
      </c>
      <c r="E659" s="44">
        <f t="shared" si="56"/>
        <v>40057</v>
      </c>
      <c r="F659" s="146" t="str">
        <f t="shared" si="57"/>
        <v>2009-10</v>
      </c>
      <c r="G659" s="1"/>
      <c r="H659" s="161"/>
      <c r="I659" s="37"/>
      <c r="J659" s="135">
        <f t="shared" si="55"/>
        <v>0.9161881535038825</v>
      </c>
      <c r="K659" s="112"/>
      <c r="L659" s="37">
        <v>19.995080967700002</v>
      </c>
      <c r="M659" s="37" t="s">
        <v>509</v>
      </c>
      <c r="N659" s="37">
        <v>1338.5980487804875</v>
      </c>
      <c r="O659" s="130">
        <f t="shared" si="53"/>
        <v>26765.376368571084</v>
      </c>
      <c r="P659" s="132">
        <f t="shared" si="54"/>
        <v>24522.120752957591</v>
      </c>
      <c r="Q659" s="262">
        <v>1</v>
      </c>
      <c r="R659" s="92"/>
    </row>
    <row r="660" spans="1:18" x14ac:dyDescent="0.25">
      <c r="A660" s="326">
        <v>40057</v>
      </c>
      <c r="B660" s="326" t="s">
        <v>806</v>
      </c>
      <c r="C660" s="264" t="s">
        <v>289</v>
      </c>
      <c r="D660" s="157" t="s">
        <v>472</v>
      </c>
      <c r="E660" s="44">
        <f t="shared" si="56"/>
        <v>40057</v>
      </c>
      <c r="F660" s="146" t="str">
        <f t="shared" si="57"/>
        <v>2009-10</v>
      </c>
      <c r="G660" s="1"/>
      <c r="H660" s="161"/>
      <c r="I660" s="37"/>
      <c r="J660" s="135">
        <f t="shared" si="55"/>
        <v>0.9161881535038825</v>
      </c>
      <c r="K660" s="112"/>
      <c r="L660" s="37">
        <v>13.8911804927</v>
      </c>
      <c r="M660" s="37" t="s">
        <v>509</v>
      </c>
      <c r="N660" s="37">
        <v>1338.5980487804875</v>
      </c>
      <c r="O660" s="130">
        <f t="shared" si="53"/>
        <v>18594.707102785793</v>
      </c>
      <c r="P660" s="132">
        <f t="shared" si="54"/>
        <v>17036.250365446846</v>
      </c>
      <c r="Q660" s="262">
        <v>1</v>
      </c>
      <c r="R660" s="92"/>
    </row>
    <row r="661" spans="1:18" x14ac:dyDescent="0.25">
      <c r="A661" s="326">
        <v>40057</v>
      </c>
      <c r="B661" s="326" t="s">
        <v>806</v>
      </c>
      <c r="C661" s="264" t="s">
        <v>289</v>
      </c>
      <c r="D661" s="157" t="s">
        <v>472</v>
      </c>
      <c r="E661" s="44">
        <f t="shared" si="56"/>
        <v>40057</v>
      </c>
      <c r="F661" s="146" t="str">
        <f t="shared" si="57"/>
        <v>2009-10</v>
      </c>
      <c r="G661" s="1"/>
      <c r="H661" s="161"/>
      <c r="I661" s="37"/>
      <c r="J661" s="135">
        <f t="shared" si="55"/>
        <v>0.9161881535038825</v>
      </c>
      <c r="K661" s="112"/>
      <c r="L661" s="37">
        <v>99.932075431300007</v>
      </c>
      <c r="M661" s="37" t="s">
        <v>509</v>
      </c>
      <c r="N661" s="37">
        <v>1338.5980487804875</v>
      </c>
      <c r="O661" s="130">
        <f t="shared" si="53"/>
        <v>133768.88118292269</v>
      </c>
      <c r="P661" s="132">
        <f t="shared" si="54"/>
        <v>122557.46424726219</v>
      </c>
      <c r="Q661" s="262">
        <v>1</v>
      </c>
      <c r="R661" s="92"/>
    </row>
    <row r="662" spans="1:18" x14ac:dyDescent="0.25">
      <c r="A662" s="326">
        <v>40057</v>
      </c>
      <c r="B662" s="326" t="s">
        <v>806</v>
      </c>
      <c r="C662" s="264" t="s">
        <v>289</v>
      </c>
      <c r="D662" s="157" t="s">
        <v>472</v>
      </c>
      <c r="E662" s="44">
        <f t="shared" si="56"/>
        <v>40057</v>
      </c>
      <c r="F662" s="146" t="str">
        <f t="shared" si="57"/>
        <v>2009-10</v>
      </c>
      <c r="G662" s="1"/>
      <c r="H662" s="161"/>
      <c r="I662" s="37"/>
      <c r="J662" s="135">
        <f t="shared" si="55"/>
        <v>0.9161881535038825</v>
      </c>
      <c r="K662" s="112"/>
      <c r="L662" s="37">
        <v>49.966037715600002</v>
      </c>
      <c r="M662" s="37" t="s">
        <v>509</v>
      </c>
      <c r="N662" s="37">
        <v>1338.5980487804875</v>
      </c>
      <c r="O662" s="130">
        <f t="shared" si="53"/>
        <v>66884.440591394407</v>
      </c>
      <c r="P662" s="132">
        <f t="shared" si="54"/>
        <v>61278.732123569767</v>
      </c>
      <c r="Q662" s="262">
        <v>1</v>
      </c>
      <c r="R662" s="92"/>
    </row>
    <row r="663" spans="1:18" x14ac:dyDescent="0.25">
      <c r="A663" s="326">
        <v>40057</v>
      </c>
      <c r="B663" s="326" t="s">
        <v>806</v>
      </c>
      <c r="C663" s="264" t="s">
        <v>289</v>
      </c>
      <c r="D663" s="157" t="s">
        <v>472</v>
      </c>
      <c r="E663" s="44">
        <f t="shared" si="56"/>
        <v>40057</v>
      </c>
      <c r="F663" s="146" t="str">
        <f t="shared" si="57"/>
        <v>2009-10</v>
      </c>
      <c r="G663" s="1"/>
      <c r="H663" s="161"/>
      <c r="I663" s="37"/>
      <c r="J663" s="135">
        <f t="shared" si="55"/>
        <v>0.9161881535038825</v>
      </c>
      <c r="K663" s="112"/>
      <c r="L663" s="37">
        <v>49.966037715600002</v>
      </c>
      <c r="M663" s="37" t="s">
        <v>509</v>
      </c>
      <c r="N663" s="37">
        <v>1338.5980487804875</v>
      </c>
      <c r="O663" s="130">
        <f t="shared" si="53"/>
        <v>66884.440591394407</v>
      </c>
      <c r="P663" s="132">
        <f t="shared" si="54"/>
        <v>61278.732123569767</v>
      </c>
      <c r="Q663" s="262">
        <v>1</v>
      </c>
      <c r="R663" s="92"/>
    </row>
    <row r="664" spans="1:18" x14ac:dyDescent="0.25">
      <c r="A664" s="326">
        <v>40057</v>
      </c>
      <c r="B664" s="326" t="s">
        <v>806</v>
      </c>
      <c r="C664" s="264" t="s">
        <v>289</v>
      </c>
      <c r="D664" s="157" t="s">
        <v>472</v>
      </c>
      <c r="E664" s="44">
        <f t="shared" si="56"/>
        <v>40057</v>
      </c>
      <c r="F664" s="146" t="str">
        <f t="shared" si="57"/>
        <v>2009-10</v>
      </c>
      <c r="G664" s="1"/>
      <c r="H664" s="161"/>
      <c r="I664" s="37"/>
      <c r="J664" s="135">
        <f t="shared" si="55"/>
        <v>0.9161881535038825</v>
      </c>
      <c r="K664" s="112"/>
      <c r="L664" s="37">
        <v>36.974606542899998</v>
      </c>
      <c r="M664" s="37" t="s">
        <v>509</v>
      </c>
      <c r="N664" s="37">
        <v>1338.5980487804875</v>
      </c>
      <c r="O664" s="130">
        <f t="shared" si="53"/>
        <v>49494.136172752187</v>
      </c>
      <c r="P664" s="132">
        <f t="shared" si="54"/>
        <v>45345.941229383541</v>
      </c>
      <c r="Q664" s="262">
        <v>1</v>
      </c>
      <c r="R664" s="92"/>
    </row>
    <row r="665" spans="1:18" x14ac:dyDescent="0.25">
      <c r="A665" s="326">
        <v>40057</v>
      </c>
      <c r="B665" s="326" t="s">
        <v>806</v>
      </c>
      <c r="C665" s="264" t="s">
        <v>289</v>
      </c>
      <c r="D665" s="157" t="s">
        <v>472</v>
      </c>
      <c r="E665" s="44">
        <f t="shared" si="56"/>
        <v>40057</v>
      </c>
      <c r="F665" s="146" t="str">
        <f t="shared" si="57"/>
        <v>2009-10</v>
      </c>
      <c r="G665" s="1"/>
      <c r="H665" s="161"/>
      <c r="I665" s="37"/>
      <c r="J665" s="135">
        <f t="shared" si="55"/>
        <v>0.9161881535038825</v>
      </c>
      <c r="K665" s="112"/>
      <c r="L665" s="37">
        <v>94.831996525400001</v>
      </c>
      <c r="M665" s="37" t="s">
        <v>509</v>
      </c>
      <c r="N665" s="37">
        <v>1338.5980487804875</v>
      </c>
      <c r="O665" s="130">
        <f t="shared" ref="O665:O728" si="58">IF(N665="","-",L665*N665)</f>
        <v>126941.9255108584</v>
      </c>
      <c r="P665" s="132">
        <f t="shared" si="54"/>
        <v>116302.68833602076</v>
      </c>
      <c r="Q665" s="262">
        <v>1</v>
      </c>
      <c r="R665" s="92"/>
    </row>
    <row r="666" spans="1:18" x14ac:dyDescent="0.25">
      <c r="A666" s="326">
        <v>40057</v>
      </c>
      <c r="B666" s="326" t="s">
        <v>806</v>
      </c>
      <c r="C666" s="264" t="s">
        <v>289</v>
      </c>
      <c r="D666" s="157" t="s">
        <v>472</v>
      </c>
      <c r="E666" s="44">
        <f t="shared" si="56"/>
        <v>40057</v>
      </c>
      <c r="F666" s="146" t="str">
        <f t="shared" si="57"/>
        <v>2009-10</v>
      </c>
      <c r="G666" s="1"/>
      <c r="H666" s="161"/>
      <c r="I666" s="37"/>
      <c r="J666" s="135">
        <f t="shared" si="55"/>
        <v>0.9161881535038825</v>
      </c>
      <c r="K666" s="112"/>
      <c r="L666" s="37">
        <v>7.8004570378900002</v>
      </c>
      <c r="M666" s="37" t="s">
        <v>509</v>
      </c>
      <c r="N666" s="37">
        <v>1338.5980487804875</v>
      </c>
      <c r="O666" s="130">
        <f t="shared" si="58"/>
        <v>10441.676570515576</v>
      </c>
      <c r="P666" s="132">
        <f t="shared" si="54"/>
        <v>9566.5403766254185</v>
      </c>
      <c r="Q666" s="262">
        <v>1</v>
      </c>
      <c r="R666" s="92"/>
    </row>
    <row r="667" spans="1:18" x14ac:dyDescent="0.25">
      <c r="A667" s="326">
        <v>40057</v>
      </c>
      <c r="B667" s="326" t="s">
        <v>806</v>
      </c>
      <c r="C667" s="264" t="s">
        <v>289</v>
      </c>
      <c r="D667" s="157" t="s">
        <v>472</v>
      </c>
      <c r="E667" s="44">
        <f t="shared" si="56"/>
        <v>40057</v>
      </c>
      <c r="F667" s="146" t="str">
        <f t="shared" si="57"/>
        <v>2009-10</v>
      </c>
      <c r="G667" s="1"/>
      <c r="H667" s="161"/>
      <c r="I667" s="37"/>
      <c r="J667" s="135">
        <f t="shared" si="55"/>
        <v>0.9161881535038825</v>
      </c>
      <c r="K667" s="112"/>
      <c r="L667" s="37">
        <v>6.99510142886</v>
      </c>
      <c r="M667" s="37" t="s">
        <v>509</v>
      </c>
      <c r="N667" s="37">
        <v>1338.5980487804875</v>
      </c>
      <c r="O667" s="130">
        <f t="shared" si="58"/>
        <v>9363.6291236935958</v>
      </c>
      <c r="P667" s="132">
        <f t="shared" ref="P667:P730" si="59">IF(O667="-","-",IF(OR(E667&lt;$E$15,E667&gt;$E$16),0,O667*J667))*Q667</f>
        <v>8578.8460769320136</v>
      </c>
      <c r="Q667" s="262">
        <v>1</v>
      </c>
      <c r="R667" s="92"/>
    </row>
    <row r="668" spans="1:18" x14ac:dyDescent="0.25">
      <c r="A668" s="326">
        <v>40057</v>
      </c>
      <c r="B668" s="326" t="s">
        <v>806</v>
      </c>
      <c r="C668" s="264" t="s">
        <v>289</v>
      </c>
      <c r="D668" s="157" t="s">
        <v>472</v>
      </c>
      <c r="E668" s="44">
        <f t="shared" si="56"/>
        <v>40057</v>
      </c>
      <c r="F668" s="146" t="str">
        <f t="shared" si="57"/>
        <v>2009-10</v>
      </c>
      <c r="G668" s="1"/>
      <c r="H668" s="161"/>
      <c r="I668" s="37"/>
      <c r="J668" s="135">
        <f t="shared" si="55"/>
        <v>0.9161881535038825</v>
      </c>
      <c r="K668" s="112"/>
      <c r="L668" s="37">
        <v>67.192026697200006</v>
      </c>
      <c r="M668" s="37" t="s">
        <v>509</v>
      </c>
      <c r="N668" s="37">
        <v>1338.5980487804875</v>
      </c>
      <c r="O668" s="130">
        <f t="shared" si="58"/>
        <v>89943.115830478346</v>
      </c>
      <c r="P668" s="132">
        <f t="shared" si="59"/>
        <v>82404.817213111775</v>
      </c>
      <c r="Q668" s="262">
        <v>1</v>
      </c>
      <c r="R668" s="92"/>
    </row>
    <row r="669" spans="1:18" x14ac:dyDescent="0.25">
      <c r="A669" s="326">
        <v>40057</v>
      </c>
      <c r="B669" s="326" t="s">
        <v>806</v>
      </c>
      <c r="C669" s="264" t="s">
        <v>289</v>
      </c>
      <c r="D669" s="157" t="s">
        <v>472</v>
      </c>
      <c r="E669" s="44">
        <f t="shared" si="56"/>
        <v>40057</v>
      </c>
      <c r="F669" s="146" t="str">
        <f t="shared" si="57"/>
        <v>2009-10</v>
      </c>
      <c r="G669" s="1"/>
      <c r="H669" s="161"/>
      <c r="I669" s="37"/>
      <c r="J669" s="135">
        <f t="shared" ref="J669:J732" si="60">J668</f>
        <v>0.9161881535038825</v>
      </c>
      <c r="K669" s="112"/>
      <c r="L669" s="37">
        <v>115.219650292</v>
      </c>
      <c r="M669" s="37" t="s">
        <v>509</v>
      </c>
      <c r="N669" s="37">
        <v>1338.5980487804875</v>
      </c>
      <c r="O669" s="130">
        <f t="shared" si="58"/>
        <v>154232.79906204133</v>
      </c>
      <c r="P669" s="132">
        <f t="shared" si="59"/>
        <v>141306.263382387</v>
      </c>
      <c r="Q669" s="262">
        <v>1</v>
      </c>
      <c r="R669" s="92"/>
    </row>
    <row r="670" spans="1:18" x14ac:dyDescent="0.25">
      <c r="A670" s="326">
        <v>40057</v>
      </c>
      <c r="B670" s="326" t="s">
        <v>806</v>
      </c>
      <c r="C670" s="264" t="s">
        <v>289</v>
      </c>
      <c r="D670" s="157" t="s">
        <v>472</v>
      </c>
      <c r="E670" s="44">
        <f t="shared" si="56"/>
        <v>40057</v>
      </c>
      <c r="F670" s="146" t="str">
        <f t="shared" si="57"/>
        <v>2009-10</v>
      </c>
      <c r="G670" s="1"/>
      <c r="H670" s="161"/>
      <c r="I670" s="37"/>
      <c r="J670" s="135">
        <f t="shared" si="60"/>
        <v>0.9161881535038825</v>
      </c>
      <c r="K670" s="112"/>
      <c r="L670" s="37">
        <v>32.977972800000003</v>
      </c>
      <c r="M670" s="37" t="s">
        <v>509</v>
      </c>
      <c r="N670" s="37">
        <v>1338.5980487804875</v>
      </c>
      <c r="O670" s="130">
        <f t="shared" si="58"/>
        <v>44144.250042815991</v>
      </c>
      <c r="P670" s="132">
        <f t="shared" si="59"/>
        <v>40444.438934541271</v>
      </c>
      <c r="Q670" s="262">
        <v>1</v>
      </c>
      <c r="R670" s="92"/>
    </row>
    <row r="671" spans="1:18" x14ac:dyDescent="0.25">
      <c r="A671" s="326">
        <v>40057</v>
      </c>
      <c r="B671" s="326" t="s">
        <v>806</v>
      </c>
      <c r="C671" s="264" t="s">
        <v>289</v>
      </c>
      <c r="D671" s="157" t="s">
        <v>472</v>
      </c>
      <c r="E671" s="44">
        <f t="shared" si="56"/>
        <v>40057</v>
      </c>
      <c r="F671" s="146" t="str">
        <f t="shared" si="57"/>
        <v>2009-10</v>
      </c>
      <c r="G671" s="1"/>
      <c r="H671" s="161"/>
      <c r="I671" s="37"/>
      <c r="J671" s="135">
        <f t="shared" si="60"/>
        <v>0.9161881535038825</v>
      </c>
      <c r="K671" s="112"/>
      <c r="L671" s="37">
        <v>50.014014788099999</v>
      </c>
      <c r="M671" s="37" t="s">
        <v>509</v>
      </c>
      <c r="N671" s="37">
        <v>1338.5980487804875</v>
      </c>
      <c r="O671" s="130">
        <f t="shared" si="58"/>
        <v>66948.662607029109</v>
      </c>
      <c r="P671" s="132">
        <f t="shared" si="59"/>
        <v>61337.571573488422</v>
      </c>
      <c r="Q671" s="262">
        <v>1</v>
      </c>
      <c r="R671" s="92"/>
    </row>
    <row r="672" spans="1:18" x14ac:dyDescent="0.25">
      <c r="A672" s="326">
        <v>40057</v>
      </c>
      <c r="B672" s="326" t="s">
        <v>806</v>
      </c>
      <c r="C672" s="264" t="s">
        <v>289</v>
      </c>
      <c r="D672" s="157" t="s">
        <v>472</v>
      </c>
      <c r="E672" s="44">
        <f t="shared" si="56"/>
        <v>40057</v>
      </c>
      <c r="F672" s="146" t="str">
        <f t="shared" si="57"/>
        <v>2009-10</v>
      </c>
      <c r="G672" s="1"/>
      <c r="H672" s="161"/>
      <c r="I672" s="37"/>
      <c r="J672" s="135">
        <f t="shared" si="60"/>
        <v>0.9161881535038825</v>
      </c>
      <c r="K672" s="112"/>
      <c r="L672" s="37">
        <v>49.982927172499998</v>
      </c>
      <c r="M672" s="37" t="s">
        <v>509</v>
      </c>
      <c r="N672" s="37">
        <v>1338.5980487804875</v>
      </c>
      <c r="O672" s="130">
        <f t="shared" si="58"/>
        <v>66907.048785445702</v>
      </c>
      <c r="P672" s="132">
        <f t="shared" si="59"/>
        <v>61299.445483131683</v>
      </c>
      <c r="Q672" s="262">
        <v>1</v>
      </c>
      <c r="R672" s="92"/>
    </row>
    <row r="673" spans="1:18" x14ac:dyDescent="0.25">
      <c r="A673" s="326">
        <v>40057</v>
      </c>
      <c r="B673" s="326" t="s">
        <v>806</v>
      </c>
      <c r="C673" s="264" t="s">
        <v>289</v>
      </c>
      <c r="D673" s="157" t="s">
        <v>472</v>
      </c>
      <c r="E673" s="44">
        <f t="shared" si="56"/>
        <v>40057</v>
      </c>
      <c r="F673" s="146" t="str">
        <f t="shared" si="57"/>
        <v>2009-10</v>
      </c>
      <c r="G673" s="1"/>
      <c r="H673" s="161"/>
      <c r="I673" s="37"/>
      <c r="J673" s="135">
        <f t="shared" si="60"/>
        <v>0.9161881535038825</v>
      </c>
      <c r="K673" s="112"/>
      <c r="L673" s="37">
        <v>49.966426257999998</v>
      </c>
      <c r="M673" s="37" t="s">
        <v>509</v>
      </c>
      <c r="N673" s="37">
        <v>1338.5980487804875</v>
      </c>
      <c r="O673" s="130">
        <f t="shared" si="58"/>
        <v>66884.960693492918</v>
      </c>
      <c r="P673" s="132">
        <f t="shared" si="59"/>
        <v>61279.208634951035</v>
      </c>
      <c r="Q673" s="262">
        <v>1</v>
      </c>
      <c r="R673" s="92"/>
    </row>
    <row r="674" spans="1:18" x14ac:dyDescent="0.25">
      <c r="A674" s="326">
        <v>40057</v>
      </c>
      <c r="B674" s="326" t="s">
        <v>806</v>
      </c>
      <c r="C674" s="264" t="s">
        <v>289</v>
      </c>
      <c r="D674" s="157" t="s">
        <v>472</v>
      </c>
      <c r="E674" s="44">
        <f t="shared" si="56"/>
        <v>40057</v>
      </c>
      <c r="F674" s="146" t="str">
        <f t="shared" si="57"/>
        <v>2009-10</v>
      </c>
      <c r="G674" s="1"/>
      <c r="H674" s="161"/>
      <c r="I674" s="37"/>
      <c r="J674" s="135">
        <f t="shared" si="60"/>
        <v>0.9161881535038825</v>
      </c>
      <c r="K674" s="112"/>
      <c r="L674" s="37">
        <v>36.974645821800003</v>
      </c>
      <c r="M674" s="37" t="s">
        <v>509</v>
      </c>
      <c r="N674" s="37">
        <v>4416.6341463414628</v>
      </c>
      <c r="O674" s="130">
        <f t="shared" si="58"/>
        <v>163303.4832854436</v>
      </c>
      <c r="P674" s="132">
        <f t="shared" si="59"/>
        <v>149616.71681204269</v>
      </c>
      <c r="Q674" s="262">
        <v>1</v>
      </c>
      <c r="R674" s="92"/>
    </row>
    <row r="675" spans="1:18" x14ac:dyDescent="0.25">
      <c r="A675" s="326">
        <v>40057</v>
      </c>
      <c r="B675" s="326" t="s">
        <v>806</v>
      </c>
      <c r="C675" s="264" t="s">
        <v>289</v>
      </c>
      <c r="D675" s="157" t="s">
        <v>472</v>
      </c>
      <c r="E675" s="44">
        <f t="shared" si="56"/>
        <v>40057</v>
      </c>
      <c r="F675" s="146" t="str">
        <f t="shared" si="57"/>
        <v>2009-10</v>
      </c>
      <c r="G675" s="1"/>
      <c r="H675" s="161"/>
      <c r="I675" s="37"/>
      <c r="J675" s="135">
        <f t="shared" si="60"/>
        <v>0.9161881535038825</v>
      </c>
      <c r="K675" s="112"/>
      <c r="L675" s="37">
        <v>2.2906287346499998</v>
      </c>
      <c r="M675" s="37" t="s">
        <v>509</v>
      </c>
      <c r="N675" s="37">
        <v>479.79317073170722</v>
      </c>
      <c r="O675" s="130">
        <f t="shared" si="58"/>
        <v>1099.0280235668818</v>
      </c>
      <c r="P675" s="132">
        <f t="shared" si="59"/>
        <v>1006.9164555607629</v>
      </c>
      <c r="Q675" s="262">
        <v>1</v>
      </c>
      <c r="R675" s="92"/>
    </row>
    <row r="676" spans="1:18" x14ac:dyDescent="0.25">
      <c r="A676" s="326">
        <v>40057</v>
      </c>
      <c r="B676" s="326" t="s">
        <v>806</v>
      </c>
      <c r="C676" s="264" t="s">
        <v>289</v>
      </c>
      <c r="D676" s="157" t="s">
        <v>472</v>
      </c>
      <c r="E676" s="44">
        <f t="shared" si="56"/>
        <v>40057</v>
      </c>
      <c r="F676" s="146" t="str">
        <f t="shared" si="57"/>
        <v>2009-10</v>
      </c>
      <c r="G676" s="1"/>
      <c r="H676" s="161"/>
      <c r="I676" s="37"/>
      <c r="J676" s="135">
        <f t="shared" si="60"/>
        <v>0.9161881535038825</v>
      </c>
      <c r="K676" s="112"/>
      <c r="L676" s="37">
        <v>49.961525686999998</v>
      </c>
      <c r="M676" s="37" t="s">
        <v>509</v>
      </c>
      <c r="N676" s="37">
        <v>1338.5980487804875</v>
      </c>
      <c r="O676" s="130">
        <f t="shared" si="58"/>
        <v>66878.4007987144</v>
      </c>
      <c r="P676" s="132">
        <f t="shared" si="59"/>
        <v>61273.198537066724</v>
      </c>
      <c r="Q676" s="262">
        <v>1</v>
      </c>
      <c r="R676" s="92"/>
    </row>
    <row r="677" spans="1:18" x14ac:dyDescent="0.25">
      <c r="A677" s="326">
        <v>40057</v>
      </c>
      <c r="B677" s="326" t="s">
        <v>806</v>
      </c>
      <c r="C677" s="264" t="s">
        <v>289</v>
      </c>
      <c r="D677" s="157" t="s">
        <v>472</v>
      </c>
      <c r="E677" s="44">
        <f t="shared" si="56"/>
        <v>40057</v>
      </c>
      <c r="F677" s="146" t="str">
        <f t="shared" si="57"/>
        <v>2009-10</v>
      </c>
      <c r="G677" s="1"/>
      <c r="H677" s="161"/>
      <c r="I677" s="37"/>
      <c r="J677" s="135">
        <f t="shared" si="60"/>
        <v>0.9161881535038825</v>
      </c>
      <c r="K677" s="112"/>
      <c r="L677" s="37">
        <v>167.91175413600001</v>
      </c>
      <c r="M677" s="37" t="s">
        <v>509</v>
      </c>
      <c r="N677" s="37">
        <v>1338.5980487804875</v>
      </c>
      <c r="O677" s="130">
        <f t="shared" si="58"/>
        <v>224766.34645375857</v>
      </c>
      <c r="P677" s="132">
        <f t="shared" si="59"/>
        <v>205928.263927283</v>
      </c>
      <c r="Q677" s="262">
        <v>1</v>
      </c>
      <c r="R677" s="92"/>
    </row>
    <row r="678" spans="1:18" x14ac:dyDescent="0.25">
      <c r="A678" s="326">
        <v>40057</v>
      </c>
      <c r="B678" s="326" t="s">
        <v>806</v>
      </c>
      <c r="C678" s="264" t="s">
        <v>289</v>
      </c>
      <c r="D678" s="157" t="s">
        <v>472</v>
      </c>
      <c r="E678" s="44">
        <f t="shared" si="56"/>
        <v>40057</v>
      </c>
      <c r="F678" s="146" t="str">
        <f t="shared" si="57"/>
        <v>2009-10</v>
      </c>
      <c r="G678" s="1"/>
      <c r="H678" s="161"/>
      <c r="I678" s="37"/>
      <c r="J678" s="135">
        <f t="shared" si="60"/>
        <v>0.9161881535038825</v>
      </c>
      <c r="K678" s="112"/>
      <c r="L678" s="37">
        <v>39.434133666199997</v>
      </c>
      <c r="M678" s="37" t="s">
        <v>509</v>
      </c>
      <c r="N678" s="37">
        <v>1338.5980487804875</v>
      </c>
      <c r="O678" s="130">
        <f t="shared" si="58"/>
        <v>52786.454380924246</v>
      </c>
      <c r="P678" s="132">
        <f t="shared" si="59"/>
        <v>48362.324169275911</v>
      </c>
      <c r="Q678" s="262">
        <v>1</v>
      </c>
      <c r="R678" s="92"/>
    </row>
    <row r="679" spans="1:18" x14ac:dyDescent="0.25">
      <c r="A679" s="326">
        <v>40057</v>
      </c>
      <c r="B679" s="326" t="s">
        <v>806</v>
      </c>
      <c r="C679" s="264" t="s">
        <v>289</v>
      </c>
      <c r="D679" s="157" t="s">
        <v>472</v>
      </c>
      <c r="E679" s="44">
        <f t="shared" si="56"/>
        <v>40057</v>
      </c>
      <c r="F679" s="146" t="str">
        <f t="shared" si="57"/>
        <v>2009-10</v>
      </c>
      <c r="G679" s="1"/>
      <c r="H679" s="161"/>
      <c r="I679" s="37"/>
      <c r="J679" s="135">
        <f t="shared" si="60"/>
        <v>0.9161881535038825</v>
      </c>
      <c r="K679" s="112"/>
      <c r="L679" s="37">
        <v>68.791917759300006</v>
      </c>
      <c r="M679" s="37" t="s">
        <v>509</v>
      </c>
      <c r="N679" s="37">
        <v>1338.5980487804875</v>
      </c>
      <c r="O679" s="130">
        <f t="shared" si="58"/>
        <v>92084.726884466756</v>
      </c>
      <c r="P679" s="132">
        <f t="shared" si="59"/>
        <v>84366.935890188921</v>
      </c>
      <c r="Q679" s="262">
        <v>1</v>
      </c>
      <c r="R679" s="92"/>
    </row>
    <row r="680" spans="1:18" x14ac:dyDescent="0.25">
      <c r="A680" s="326">
        <v>40057</v>
      </c>
      <c r="B680" s="326" t="s">
        <v>806</v>
      </c>
      <c r="C680" s="264" t="s">
        <v>289</v>
      </c>
      <c r="D680" s="157" t="s">
        <v>472</v>
      </c>
      <c r="E680" s="44">
        <f t="shared" ref="E680:E743" si="61">A680</f>
        <v>40057</v>
      </c>
      <c r="F680" s="146" t="str">
        <f t="shared" si="57"/>
        <v>2009-10</v>
      </c>
      <c r="G680" s="1"/>
      <c r="H680" s="161"/>
      <c r="I680" s="37"/>
      <c r="J680" s="135">
        <f t="shared" si="60"/>
        <v>0.9161881535038825</v>
      </c>
      <c r="K680" s="112"/>
      <c r="L680" s="37">
        <v>7.4516374039500004</v>
      </c>
      <c r="M680" s="37" t="s">
        <v>509</v>
      </c>
      <c r="N680" s="37">
        <v>1338.5980487804875</v>
      </c>
      <c r="O680" s="130">
        <f t="shared" si="58"/>
        <v>9974.747289147168</v>
      </c>
      <c r="P680" s="132">
        <f t="shared" si="59"/>
        <v>9138.7453005116022</v>
      </c>
      <c r="Q680" s="262">
        <v>1</v>
      </c>
      <c r="R680" s="92"/>
    </row>
    <row r="681" spans="1:18" x14ac:dyDescent="0.25">
      <c r="A681" s="326">
        <v>40057</v>
      </c>
      <c r="B681" s="326" t="s">
        <v>806</v>
      </c>
      <c r="C681" s="264" t="s">
        <v>289</v>
      </c>
      <c r="D681" s="157" t="s">
        <v>472</v>
      </c>
      <c r="E681" s="44">
        <f t="shared" si="61"/>
        <v>40057</v>
      </c>
      <c r="F681" s="146" t="str">
        <f t="shared" si="57"/>
        <v>2009-10</v>
      </c>
      <c r="G681" s="1"/>
      <c r="H681" s="161"/>
      <c r="I681" s="37"/>
      <c r="J681" s="135">
        <f t="shared" si="60"/>
        <v>0.9161881535038825</v>
      </c>
      <c r="K681" s="112"/>
      <c r="L681" s="37">
        <v>58.672030065400001</v>
      </c>
      <c r="M681" s="37" t="s">
        <v>509</v>
      </c>
      <c r="N681" s="37">
        <v>1338.5980487804875</v>
      </c>
      <c r="O681" s="130">
        <f t="shared" si="58"/>
        <v>78538.264963534544</v>
      </c>
      <c r="P681" s="132">
        <f t="shared" si="59"/>
        <v>71955.827956339388</v>
      </c>
      <c r="Q681" s="262">
        <v>1</v>
      </c>
      <c r="R681" s="92"/>
    </row>
    <row r="682" spans="1:18" x14ac:dyDescent="0.25">
      <c r="A682" s="326">
        <v>40057</v>
      </c>
      <c r="B682" s="326" t="s">
        <v>806</v>
      </c>
      <c r="C682" s="264" t="s">
        <v>289</v>
      </c>
      <c r="D682" s="157" t="s">
        <v>472</v>
      </c>
      <c r="E682" s="44">
        <f t="shared" si="61"/>
        <v>40057</v>
      </c>
      <c r="F682" s="146" t="str">
        <f t="shared" si="57"/>
        <v>2009-10</v>
      </c>
      <c r="G682" s="1"/>
      <c r="H682" s="161"/>
      <c r="I682" s="37"/>
      <c r="J682" s="135">
        <f t="shared" si="60"/>
        <v>0.9161881535038825</v>
      </c>
      <c r="K682" s="112"/>
      <c r="L682" s="37">
        <v>23.040390838699999</v>
      </c>
      <c r="M682" s="37" t="s">
        <v>509</v>
      </c>
      <c r="N682" s="37">
        <v>1338.5980487804875</v>
      </c>
      <c r="O682" s="130">
        <f t="shared" si="58"/>
        <v>30841.822219823636</v>
      </c>
      <c r="P682" s="132">
        <f t="shared" si="59"/>
        <v>28256.912150275231</v>
      </c>
      <c r="Q682" s="262">
        <v>1</v>
      </c>
      <c r="R682" s="92"/>
    </row>
    <row r="683" spans="1:18" x14ac:dyDescent="0.25">
      <c r="A683" s="326">
        <v>40057</v>
      </c>
      <c r="B683" s="326" t="s">
        <v>806</v>
      </c>
      <c r="C683" s="264" t="s">
        <v>289</v>
      </c>
      <c r="D683" s="157" t="s">
        <v>472</v>
      </c>
      <c r="E683" s="44">
        <f t="shared" si="61"/>
        <v>40057</v>
      </c>
      <c r="F683" s="146" t="str">
        <f t="shared" si="57"/>
        <v>2009-10</v>
      </c>
      <c r="G683" s="1"/>
      <c r="H683" s="161"/>
      <c r="I683" s="37"/>
      <c r="J683" s="135">
        <f t="shared" si="60"/>
        <v>0.9161881535038825</v>
      </c>
      <c r="K683" s="112"/>
      <c r="L683" s="37">
        <v>41.4932162287</v>
      </c>
      <c r="M683" s="37" t="s">
        <v>509</v>
      </c>
      <c r="N683" s="37">
        <v>1338.5980487804875</v>
      </c>
      <c r="O683" s="130">
        <f t="shared" si="58"/>
        <v>55542.738281364676</v>
      </c>
      <c r="P683" s="132">
        <f t="shared" si="59"/>
        <v>50887.598826552909</v>
      </c>
      <c r="Q683" s="262">
        <v>1</v>
      </c>
      <c r="R683" s="92"/>
    </row>
    <row r="684" spans="1:18" x14ac:dyDescent="0.25">
      <c r="A684" s="326">
        <v>40057</v>
      </c>
      <c r="B684" s="326" t="s">
        <v>806</v>
      </c>
      <c r="C684" s="264" t="s">
        <v>289</v>
      </c>
      <c r="D684" s="157" t="s">
        <v>472</v>
      </c>
      <c r="E684" s="44">
        <f t="shared" si="61"/>
        <v>40057</v>
      </c>
      <c r="F684" s="146" t="str">
        <f t="shared" si="57"/>
        <v>2009-10</v>
      </c>
      <c r="G684" s="1"/>
      <c r="H684" s="161"/>
      <c r="I684" s="37"/>
      <c r="J684" s="135">
        <f t="shared" si="60"/>
        <v>0.9161881535038825</v>
      </c>
      <c r="K684" s="112"/>
      <c r="L684" s="37">
        <v>49.967135329100003</v>
      </c>
      <c r="M684" s="37" t="s">
        <v>509</v>
      </c>
      <c r="N684" s="37">
        <v>1338.5980487804875</v>
      </c>
      <c r="O684" s="130">
        <f t="shared" si="58"/>
        <v>66885.909854683821</v>
      </c>
      <c r="P684" s="132">
        <f t="shared" si="59"/>
        <v>61280.078245189907</v>
      </c>
      <c r="Q684" s="262">
        <v>1</v>
      </c>
      <c r="R684" s="92"/>
    </row>
    <row r="685" spans="1:18" x14ac:dyDescent="0.25">
      <c r="A685" s="326">
        <v>40057</v>
      </c>
      <c r="B685" s="326" t="s">
        <v>806</v>
      </c>
      <c r="C685" s="264" t="s">
        <v>289</v>
      </c>
      <c r="D685" s="157" t="s">
        <v>472</v>
      </c>
      <c r="E685" s="44">
        <f t="shared" si="61"/>
        <v>40057</v>
      </c>
      <c r="F685" s="146" t="str">
        <f t="shared" si="57"/>
        <v>2009-10</v>
      </c>
      <c r="G685" s="1"/>
      <c r="H685" s="161"/>
      <c r="I685" s="37"/>
      <c r="J685" s="135">
        <f t="shared" si="60"/>
        <v>0.9161881535038825</v>
      </c>
      <c r="K685" s="112"/>
      <c r="L685" s="37">
        <v>45.168134442300001</v>
      </c>
      <c r="M685" s="37" t="s">
        <v>509</v>
      </c>
      <c r="N685" s="37">
        <v>1338.5980487804875</v>
      </c>
      <c r="O685" s="130">
        <f t="shared" si="58"/>
        <v>60461.976631517515</v>
      </c>
      <c r="P685" s="132">
        <f t="shared" si="59"/>
        <v>55394.546727224923</v>
      </c>
      <c r="Q685" s="262">
        <v>1</v>
      </c>
      <c r="R685" s="92"/>
    </row>
    <row r="686" spans="1:18" x14ac:dyDescent="0.25">
      <c r="A686" s="326">
        <v>40057</v>
      </c>
      <c r="B686" s="326" t="s">
        <v>806</v>
      </c>
      <c r="C686" s="264" t="s">
        <v>289</v>
      </c>
      <c r="D686" s="157" t="s">
        <v>472</v>
      </c>
      <c r="E686" s="44">
        <f t="shared" si="61"/>
        <v>40057</v>
      </c>
      <c r="F686" s="146" t="str">
        <f t="shared" si="57"/>
        <v>2009-10</v>
      </c>
      <c r="G686" s="1"/>
      <c r="H686" s="161"/>
      <c r="I686" s="37"/>
      <c r="J686" s="135">
        <f t="shared" si="60"/>
        <v>0.9161881535038825</v>
      </c>
      <c r="K686" s="112"/>
      <c r="L686" s="37">
        <v>15.7512251798</v>
      </c>
      <c r="M686" s="37" t="s">
        <v>509</v>
      </c>
      <c r="N686" s="37">
        <v>1338.5980487804875</v>
      </c>
      <c r="O686" s="130">
        <f t="shared" si="58"/>
        <v>21084.559291582365</v>
      </c>
      <c r="P686" s="132">
        <f t="shared" si="59"/>
        <v>19317.423444797976</v>
      </c>
      <c r="Q686" s="262">
        <v>1</v>
      </c>
      <c r="R686" s="92"/>
    </row>
    <row r="687" spans="1:18" x14ac:dyDescent="0.25">
      <c r="A687" s="326">
        <v>40057</v>
      </c>
      <c r="B687" s="326" t="s">
        <v>806</v>
      </c>
      <c r="C687" s="264" t="s">
        <v>289</v>
      </c>
      <c r="D687" s="157" t="s">
        <v>472</v>
      </c>
      <c r="E687" s="44">
        <f t="shared" si="61"/>
        <v>40057</v>
      </c>
      <c r="F687" s="146" t="str">
        <f t="shared" si="57"/>
        <v>2009-10</v>
      </c>
      <c r="G687" s="1"/>
      <c r="H687" s="161"/>
      <c r="I687" s="37"/>
      <c r="J687" s="135">
        <f t="shared" si="60"/>
        <v>0.9161881535038825</v>
      </c>
      <c r="K687" s="112"/>
      <c r="L687" s="37">
        <v>49.967130285800003</v>
      </c>
      <c r="M687" s="37" t="s">
        <v>509</v>
      </c>
      <c r="N687" s="37">
        <v>1338.5980487804875</v>
      </c>
      <c r="O687" s="130">
        <f t="shared" si="58"/>
        <v>66885.903103732286</v>
      </c>
      <c r="P687" s="132">
        <f t="shared" si="59"/>
        <v>61280.072060048085</v>
      </c>
      <c r="Q687" s="262">
        <v>1</v>
      </c>
      <c r="R687" s="92"/>
    </row>
    <row r="688" spans="1:18" x14ac:dyDescent="0.25">
      <c r="A688" s="326">
        <v>40057</v>
      </c>
      <c r="B688" s="326" t="s">
        <v>806</v>
      </c>
      <c r="C688" s="264" t="s">
        <v>289</v>
      </c>
      <c r="D688" s="157" t="s">
        <v>472</v>
      </c>
      <c r="E688" s="44">
        <f t="shared" si="61"/>
        <v>40057</v>
      </c>
      <c r="F688" s="146" t="str">
        <f t="shared" si="57"/>
        <v>2009-10</v>
      </c>
      <c r="G688" s="1"/>
      <c r="H688" s="161"/>
      <c r="I688" s="37"/>
      <c r="J688" s="135">
        <f t="shared" si="60"/>
        <v>0.9161881535038825</v>
      </c>
      <c r="K688" s="112"/>
      <c r="L688" s="37">
        <v>33.508070505500001</v>
      </c>
      <c r="M688" s="37" t="s">
        <v>509</v>
      </c>
      <c r="N688" s="37">
        <v>1338.5980487804875</v>
      </c>
      <c r="O688" s="130">
        <f t="shared" si="58"/>
        <v>44853.837797061307</v>
      </c>
      <c r="P688" s="132">
        <f t="shared" si="59"/>
        <v>41094.554828852255</v>
      </c>
      <c r="Q688" s="262">
        <v>1</v>
      </c>
      <c r="R688" s="92"/>
    </row>
    <row r="689" spans="1:18" x14ac:dyDescent="0.25">
      <c r="A689" s="326">
        <v>40057</v>
      </c>
      <c r="B689" s="326" t="s">
        <v>806</v>
      </c>
      <c r="C689" s="264" t="s">
        <v>289</v>
      </c>
      <c r="D689" s="157" t="s">
        <v>472</v>
      </c>
      <c r="E689" s="44">
        <f t="shared" si="61"/>
        <v>40057</v>
      </c>
      <c r="F689" s="146" t="str">
        <f t="shared" si="57"/>
        <v>2009-10</v>
      </c>
      <c r="G689" s="1"/>
      <c r="H689" s="161"/>
      <c r="I689" s="37"/>
      <c r="J689" s="135">
        <f t="shared" si="60"/>
        <v>0.9161881535038825</v>
      </c>
      <c r="K689" s="112"/>
      <c r="L689" s="37">
        <v>52.801541285900001</v>
      </c>
      <c r="M689" s="37" t="s">
        <v>509</v>
      </c>
      <c r="N689" s="37">
        <v>1338.5980487804875</v>
      </c>
      <c r="O689" s="130">
        <f t="shared" si="58"/>
        <v>70680.040137908087</v>
      </c>
      <c r="P689" s="132">
        <f t="shared" si="59"/>
        <v>64756.215463530309</v>
      </c>
      <c r="Q689" s="262">
        <v>1</v>
      </c>
      <c r="R689" s="92"/>
    </row>
    <row r="690" spans="1:18" x14ac:dyDescent="0.25">
      <c r="A690" s="326">
        <v>40057</v>
      </c>
      <c r="B690" s="326" t="s">
        <v>806</v>
      </c>
      <c r="C690" s="264" t="s">
        <v>289</v>
      </c>
      <c r="D690" s="157" t="s">
        <v>472</v>
      </c>
      <c r="E690" s="44">
        <f t="shared" si="61"/>
        <v>40057</v>
      </c>
      <c r="F690" s="146" t="str">
        <f t="shared" si="57"/>
        <v>2009-10</v>
      </c>
      <c r="G690" s="1"/>
      <c r="H690" s="161"/>
      <c r="I690" s="37"/>
      <c r="J690" s="135">
        <f t="shared" si="60"/>
        <v>0.9161881535038825</v>
      </c>
      <c r="K690" s="112"/>
      <c r="L690" s="37">
        <v>5.0605685451299998</v>
      </c>
      <c r="M690" s="37" t="s">
        <v>509</v>
      </c>
      <c r="N690" s="37">
        <v>1338.5980487804875</v>
      </c>
      <c r="O690" s="130">
        <f t="shared" si="58"/>
        <v>6774.067180230928</v>
      </c>
      <c r="P690" s="132">
        <f t="shared" si="59"/>
        <v>6206.3201015670256</v>
      </c>
      <c r="Q690" s="262">
        <v>1</v>
      </c>
      <c r="R690" s="92"/>
    </row>
    <row r="691" spans="1:18" x14ac:dyDescent="0.25">
      <c r="A691" s="326">
        <v>40057</v>
      </c>
      <c r="B691" s="326" t="s">
        <v>806</v>
      </c>
      <c r="C691" s="264" t="s">
        <v>289</v>
      </c>
      <c r="D691" s="157" t="s">
        <v>472</v>
      </c>
      <c r="E691" s="44">
        <f t="shared" si="61"/>
        <v>40057</v>
      </c>
      <c r="F691" s="146" t="str">
        <f t="shared" si="57"/>
        <v>2009-10</v>
      </c>
      <c r="G691" s="1"/>
      <c r="H691" s="161"/>
      <c r="I691" s="37"/>
      <c r="J691" s="135">
        <f t="shared" si="60"/>
        <v>0.9161881535038825</v>
      </c>
      <c r="K691" s="112"/>
      <c r="L691" s="37">
        <v>22.107625201899999</v>
      </c>
      <c r="M691" s="37" t="s">
        <v>509</v>
      </c>
      <c r="N691" s="37">
        <v>1338.5980487804875</v>
      </c>
      <c r="O691" s="130">
        <f t="shared" si="58"/>
        <v>29593.223958433671</v>
      </c>
      <c r="P691" s="132">
        <f t="shared" si="59"/>
        <v>27112.961214704203</v>
      </c>
      <c r="Q691" s="262">
        <v>1</v>
      </c>
      <c r="R691" s="92"/>
    </row>
    <row r="692" spans="1:18" x14ac:dyDescent="0.25">
      <c r="A692" s="326">
        <v>40057</v>
      </c>
      <c r="B692" s="326" t="s">
        <v>806</v>
      </c>
      <c r="C692" s="264" t="s">
        <v>289</v>
      </c>
      <c r="D692" s="157" t="s">
        <v>472</v>
      </c>
      <c r="E692" s="44">
        <f t="shared" si="61"/>
        <v>40057</v>
      </c>
      <c r="F692" s="146" t="str">
        <f t="shared" si="57"/>
        <v>2009-10</v>
      </c>
      <c r="G692" s="1"/>
      <c r="H692" s="161"/>
      <c r="I692" s="37"/>
      <c r="J692" s="135">
        <f t="shared" si="60"/>
        <v>0.9161881535038825</v>
      </c>
      <c r="K692" s="112"/>
      <c r="L692" s="37">
        <v>1.7493453061099999</v>
      </c>
      <c r="M692" s="37" t="s">
        <v>509</v>
      </c>
      <c r="N692" s="37">
        <v>479.79317073170722</v>
      </c>
      <c r="O692" s="130">
        <f t="shared" si="58"/>
        <v>839.32393112314583</v>
      </c>
      <c r="P692" s="132">
        <f t="shared" si="59"/>
        <v>768.97864264733482</v>
      </c>
      <c r="Q692" s="262">
        <v>1</v>
      </c>
      <c r="R692" s="92"/>
    </row>
    <row r="693" spans="1:18" x14ac:dyDescent="0.25">
      <c r="A693" s="326">
        <v>40057</v>
      </c>
      <c r="B693" s="326" t="s">
        <v>806</v>
      </c>
      <c r="C693" s="264" t="s">
        <v>289</v>
      </c>
      <c r="D693" s="157" t="s">
        <v>472</v>
      </c>
      <c r="E693" s="44">
        <f t="shared" si="61"/>
        <v>40057</v>
      </c>
      <c r="F693" s="146" t="str">
        <f t="shared" si="57"/>
        <v>2009-10</v>
      </c>
      <c r="G693" s="1"/>
      <c r="H693" s="161"/>
      <c r="I693" s="37"/>
      <c r="J693" s="135">
        <f t="shared" si="60"/>
        <v>0.9161881535038825</v>
      </c>
      <c r="K693" s="112"/>
      <c r="L693" s="37">
        <v>10.110434056200001</v>
      </c>
      <c r="M693" s="37" t="s">
        <v>509</v>
      </c>
      <c r="N693" s="37">
        <v>1338.5980487804875</v>
      </c>
      <c r="O693" s="130">
        <f t="shared" si="58"/>
        <v>13533.80729995311</v>
      </c>
      <c r="P693" s="132">
        <f t="shared" si="59"/>
        <v>12399.513920021405</v>
      </c>
      <c r="Q693" s="262">
        <v>1</v>
      </c>
      <c r="R693" s="92"/>
    </row>
    <row r="694" spans="1:18" x14ac:dyDescent="0.25">
      <c r="A694" s="326">
        <v>40057</v>
      </c>
      <c r="B694" s="326" t="s">
        <v>806</v>
      </c>
      <c r="C694" s="264" t="s">
        <v>289</v>
      </c>
      <c r="D694" s="157" t="s">
        <v>472</v>
      </c>
      <c r="E694" s="44">
        <f t="shared" si="61"/>
        <v>40057</v>
      </c>
      <c r="F694" s="146" t="str">
        <f t="shared" si="57"/>
        <v>2009-10</v>
      </c>
      <c r="G694" s="1"/>
      <c r="H694" s="161"/>
      <c r="I694" s="37"/>
      <c r="J694" s="135">
        <f t="shared" si="60"/>
        <v>0.9161881535038825</v>
      </c>
      <c r="K694" s="112"/>
      <c r="L694" s="37">
        <v>1.69815488104</v>
      </c>
      <c r="M694" s="37" t="s">
        <v>509</v>
      </c>
      <c r="N694" s="37">
        <v>479.79317073170722</v>
      </c>
      <c r="O694" s="130">
        <f t="shared" si="58"/>
        <v>814.76311476770672</v>
      </c>
      <c r="P694" s="132">
        <f t="shared" si="59"/>
        <v>746.47631366209714</v>
      </c>
      <c r="Q694" s="262">
        <v>1</v>
      </c>
      <c r="R694" s="92"/>
    </row>
    <row r="695" spans="1:18" x14ac:dyDescent="0.25">
      <c r="A695" s="326">
        <v>40057</v>
      </c>
      <c r="B695" s="326" t="s">
        <v>806</v>
      </c>
      <c r="C695" s="264" t="s">
        <v>289</v>
      </c>
      <c r="D695" s="157" t="s">
        <v>472</v>
      </c>
      <c r="E695" s="44">
        <f t="shared" si="61"/>
        <v>40057</v>
      </c>
      <c r="F695" s="146" t="str">
        <f t="shared" si="57"/>
        <v>2009-10</v>
      </c>
      <c r="G695" s="1"/>
      <c r="H695" s="161"/>
      <c r="I695" s="37"/>
      <c r="J695" s="135">
        <f t="shared" si="60"/>
        <v>0.9161881535038825</v>
      </c>
      <c r="K695" s="112"/>
      <c r="L695" s="37">
        <v>34.976893087699999</v>
      </c>
      <c r="M695" s="37" t="s">
        <v>509</v>
      </c>
      <c r="N695" s="37">
        <v>1338.5980487804875</v>
      </c>
      <c r="O695" s="130">
        <f t="shared" si="58"/>
        <v>46820.000839598935</v>
      </c>
      <c r="P695" s="132">
        <f t="shared" si="59"/>
        <v>42895.930116282376</v>
      </c>
      <c r="Q695" s="262">
        <v>1</v>
      </c>
      <c r="R695" s="92"/>
    </row>
    <row r="696" spans="1:18" x14ac:dyDescent="0.25">
      <c r="A696" s="326">
        <v>40057</v>
      </c>
      <c r="B696" s="326" t="s">
        <v>806</v>
      </c>
      <c r="C696" s="264" t="s">
        <v>289</v>
      </c>
      <c r="D696" s="157" t="s">
        <v>472</v>
      </c>
      <c r="E696" s="44">
        <f t="shared" si="61"/>
        <v>40057</v>
      </c>
      <c r="F696" s="146" t="str">
        <f t="shared" si="57"/>
        <v>2009-10</v>
      </c>
      <c r="G696" s="1"/>
      <c r="H696" s="161"/>
      <c r="I696" s="37"/>
      <c r="J696" s="135">
        <f t="shared" si="60"/>
        <v>0.9161881535038825</v>
      </c>
      <c r="K696" s="112"/>
      <c r="L696" s="37">
        <v>14.6356176843</v>
      </c>
      <c r="M696" s="37" t="s">
        <v>509</v>
      </c>
      <c r="N696" s="37">
        <v>1338.5980487804875</v>
      </c>
      <c r="O696" s="130">
        <f t="shared" si="58"/>
        <v>19591.209274901175</v>
      </c>
      <c r="P696" s="132">
        <f t="shared" si="59"/>
        <v>17949.233850479846</v>
      </c>
      <c r="Q696" s="262">
        <v>1</v>
      </c>
      <c r="R696" s="92"/>
    </row>
    <row r="697" spans="1:18" x14ac:dyDescent="0.25">
      <c r="A697" s="326">
        <v>40057</v>
      </c>
      <c r="B697" s="326" t="s">
        <v>806</v>
      </c>
      <c r="C697" s="264" t="s">
        <v>289</v>
      </c>
      <c r="D697" s="157" t="s">
        <v>472</v>
      </c>
      <c r="E697" s="44">
        <f t="shared" si="61"/>
        <v>40057</v>
      </c>
      <c r="F697" s="146" t="str">
        <f t="shared" si="57"/>
        <v>2009-10</v>
      </c>
      <c r="G697" s="1"/>
      <c r="H697" s="161"/>
      <c r="I697" s="37"/>
      <c r="J697" s="135">
        <f t="shared" si="60"/>
        <v>0.9161881535038825</v>
      </c>
      <c r="K697" s="112"/>
      <c r="L697" s="37">
        <v>30.558186497200001</v>
      </c>
      <c r="M697" s="37" t="s">
        <v>509</v>
      </c>
      <c r="N697" s="37">
        <v>1338.5980487804875</v>
      </c>
      <c r="O697" s="130">
        <f t="shared" si="58"/>
        <v>40905.128819422163</v>
      </c>
      <c r="P697" s="132">
        <f t="shared" si="59"/>
        <v>37476.794441904844</v>
      </c>
      <c r="Q697" s="262">
        <v>1</v>
      </c>
      <c r="R697" s="92"/>
    </row>
    <row r="698" spans="1:18" x14ac:dyDescent="0.25">
      <c r="A698" s="326">
        <v>40057</v>
      </c>
      <c r="B698" s="326" t="s">
        <v>806</v>
      </c>
      <c r="C698" s="264" t="s">
        <v>289</v>
      </c>
      <c r="D698" s="157" t="s">
        <v>472</v>
      </c>
      <c r="E698" s="44">
        <f t="shared" si="61"/>
        <v>40057</v>
      </c>
      <c r="F698" s="146" t="str">
        <f t="shared" si="57"/>
        <v>2009-10</v>
      </c>
      <c r="G698" s="1"/>
      <c r="H698" s="161"/>
      <c r="I698" s="37"/>
      <c r="J698" s="135">
        <f t="shared" si="60"/>
        <v>0.9161881535038825</v>
      </c>
      <c r="K698" s="112"/>
      <c r="L698" s="37">
        <v>56.876095400399997</v>
      </c>
      <c r="M698" s="37" t="s">
        <v>509</v>
      </c>
      <c r="N698" s="37">
        <v>1338.5980487804875</v>
      </c>
      <c r="O698" s="130">
        <f t="shared" si="58"/>
        <v>76134.230325228302</v>
      </c>
      <c r="P698" s="132">
        <f t="shared" si="59"/>
        <v>69753.27990011021</v>
      </c>
      <c r="Q698" s="262">
        <v>1</v>
      </c>
      <c r="R698" s="92"/>
    </row>
    <row r="699" spans="1:18" x14ac:dyDescent="0.25">
      <c r="A699" s="326">
        <v>40057</v>
      </c>
      <c r="B699" s="326" t="s">
        <v>806</v>
      </c>
      <c r="C699" s="264" t="s">
        <v>289</v>
      </c>
      <c r="D699" s="157" t="s">
        <v>472</v>
      </c>
      <c r="E699" s="44">
        <f t="shared" si="61"/>
        <v>40057</v>
      </c>
      <c r="F699" s="146" t="str">
        <f t="shared" si="57"/>
        <v>2009-10</v>
      </c>
      <c r="G699" s="1"/>
      <c r="H699" s="161"/>
      <c r="I699" s="37"/>
      <c r="J699" s="135">
        <f t="shared" si="60"/>
        <v>0.9161881535038825</v>
      </c>
      <c r="K699" s="112"/>
      <c r="L699" s="37">
        <v>32.7693701038</v>
      </c>
      <c r="M699" s="37" t="s">
        <v>509</v>
      </c>
      <c r="N699" s="37">
        <v>1338.5980487804875</v>
      </c>
      <c r="O699" s="130">
        <f t="shared" si="58"/>
        <v>43865.014880712319</v>
      </c>
      <c r="P699" s="132">
        <f t="shared" si="59"/>
        <v>40188.60698698015</v>
      </c>
      <c r="Q699" s="262">
        <v>1</v>
      </c>
      <c r="R699" s="92"/>
    </row>
    <row r="700" spans="1:18" x14ac:dyDescent="0.25">
      <c r="A700" s="326">
        <v>40057</v>
      </c>
      <c r="B700" s="326" t="s">
        <v>806</v>
      </c>
      <c r="C700" s="264" t="s">
        <v>289</v>
      </c>
      <c r="D700" s="157" t="s">
        <v>472</v>
      </c>
      <c r="E700" s="44">
        <f t="shared" si="61"/>
        <v>40057</v>
      </c>
      <c r="F700" s="146" t="str">
        <f t="shared" si="57"/>
        <v>2009-10</v>
      </c>
      <c r="G700" s="1"/>
      <c r="H700" s="161"/>
      <c r="I700" s="37"/>
      <c r="J700" s="135">
        <f t="shared" si="60"/>
        <v>0.9161881535038825</v>
      </c>
      <c r="K700" s="112"/>
      <c r="L700" s="37">
        <v>4.9963236484399998</v>
      </c>
      <c r="M700" s="37" t="s">
        <v>509</v>
      </c>
      <c r="N700" s="37">
        <v>4416.6341463414628</v>
      </c>
      <c r="O700" s="130">
        <f t="shared" si="58"/>
        <v>22066.93363187346</v>
      </c>
      <c r="P700" s="132">
        <f t="shared" si="59"/>
        <v>20217.46317767887</v>
      </c>
      <c r="Q700" s="262">
        <v>1</v>
      </c>
      <c r="R700" s="92"/>
    </row>
    <row r="701" spans="1:18" x14ac:dyDescent="0.25">
      <c r="A701" s="326">
        <v>40057</v>
      </c>
      <c r="B701" s="326" t="s">
        <v>806</v>
      </c>
      <c r="C701" s="264" t="s">
        <v>289</v>
      </c>
      <c r="D701" s="157" t="s">
        <v>472</v>
      </c>
      <c r="E701" s="44">
        <f t="shared" si="61"/>
        <v>40057</v>
      </c>
      <c r="F701" s="146" t="str">
        <f t="shared" si="57"/>
        <v>2009-10</v>
      </c>
      <c r="G701" s="1"/>
      <c r="H701" s="161"/>
      <c r="I701" s="37"/>
      <c r="J701" s="135">
        <f t="shared" si="60"/>
        <v>0.9161881535038825</v>
      </c>
      <c r="K701" s="112"/>
      <c r="L701" s="37">
        <v>13.7700079884</v>
      </c>
      <c r="M701" s="37" t="s">
        <v>509</v>
      </c>
      <c r="N701" s="37">
        <v>1338.5980487804875</v>
      </c>
      <c r="O701" s="130">
        <f t="shared" si="58"/>
        <v>18432.505824963966</v>
      </c>
      <c r="P701" s="132">
        <f t="shared" si="59"/>
        <v>16887.643476223293</v>
      </c>
      <c r="Q701" s="262">
        <v>1</v>
      </c>
      <c r="R701" s="92"/>
    </row>
    <row r="702" spans="1:18" x14ac:dyDescent="0.25">
      <c r="A702" s="326">
        <v>40057</v>
      </c>
      <c r="B702" s="326" t="s">
        <v>806</v>
      </c>
      <c r="C702" s="264" t="s">
        <v>289</v>
      </c>
      <c r="D702" s="157" t="s">
        <v>472</v>
      </c>
      <c r="E702" s="44">
        <f t="shared" si="61"/>
        <v>40057</v>
      </c>
      <c r="F702" s="146" t="str">
        <f t="shared" si="57"/>
        <v>2009-10</v>
      </c>
      <c r="G702" s="1"/>
      <c r="H702" s="161"/>
      <c r="I702" s="37"/>
      <c r="J702" s="135">
        <f t="shared" si="60"/>
        <v>0.9161881535038825</v>
      </c>
      <c r="K702" s="112"/>
      <c r="L702" s="37">
        <v>13.149041029699999</v>
      </c>
      <c r="M702" s="37" t="s">
        <v>509</v>
      </c>
      <c r="N702" s="37">
        <v>1338.5980487804875</v>
      </c>
      <c r="O702" s="130">
        <f t="shared" si="58"/>
        <v>17601.280665690992</v>
      </c>
      <c r="P702" s="132">
        <f t="shared" si="59"/>
        <v>16126.084832403018</v>
      </c>
      <c r="Q702" s="262">
        <v>1</v>
      </c>
      <c r="R702" s="92"/>
    </row>
    <row r="703" spans="1:18" x14ac:dyDescent="0.25">
      <c r="A703" s="326">
        <v>40057</v>
      </c>
      <c r="B703" s="326" t="s">
        <v>806</v>
      </c>
      <c r="C703" s="264" t="s">
        <v>289</v>
      </c>
      <c r="D703" s="157" t="s">
        <v>472</v>
      </c>
      <c r="E703" s="44">
        <f t="shared" si="61"/>
        <v>40057</v>
      </c>
      <c r="F703" s="146" t="str">
        <f t="shared" si="57"/>
        <v>2009-10</v>
      </c>
      <c r="G703" s="1"/>
      <c r="H703" s="161"/>
      <c r="I703" s="37"/>
      <c r="J703" s="135">
        <f t="shared" si="60"/>
        <v>0.9161881535038825</v>
      </c>
      <c r="K703" s="112"/>
      <c r="L703" s="37">
        <v>7.1178666045399996</v>
      </c>
      <c r="M703" s="37" t="s">
        <v>509</v>
      </c>
      <c r="N703" s="37">
        <v>1338.5980487804875</v>
      </c>
      <c r="O703" s="130">
        <f t="shared" si="58"/>
        <v>9527.962348317038</v>
      </c>
      <c r="P703" s="132">
        <f t="shared" si="59"/>
        <v>8729.4062305591033</v>
      </c>
      <c r="Q703" s="262">
        <v>1</v>
      </c>
      <c r="R703" s="92"/>
    </row>
    <row r="704" spans="1:18" x14ac:dyDescent="0.25">
      <c r="A704" s="326">
        <v>40057</v>
      </c>
      <c r="B704" s="326" t="s">
        <v>806</v>
      </c>
      <c r="C704" s="264" t="s">
        <v>289</v>
      </c>
      <c r="D704" s="157" t="s">
        <v>472</v>
      </c>
      <c r="E704" s="44">
        <f t="shared" si="61"/>
        <v>40057</v>
      </c>
      <c r="F704" s="146" t="str">
        <f t="shared" ref="F704:F767" si="62">IF(E704="","-",IF(OR(E704&lt;$E$15,E704&gt;$E$16),"ERROR - date outside of range",IF(MONTH(E704)&gt;=7,YEAR(E704)&amp;"-"&amp;IF(YEAR(E704)=1999,"00",IF(AND(YEAR(E704)&gt;=2000,YEAR(E704)&lt;2009),"0","")&amp;RIGHT(YEAR(E704),2)+1),RIGHT(YEAR(E704),4)-1&amp;"-"&amp;RIGHT(YEAR(E704),2))))</f>
        <v>2009-10</v>
      </c>
      <c r="G704" s="1"/>
      <c r="H704" s="161"/>
      <c r="I704" s="37"/>
      <c r="J704" s="135">
        <f t="shared" si="60"/>
        <v>0.9161881535038825</v>
      </c>
      <c r="K704" s="112"/>
      <c r="L704" s="37">
        <v>6.7034493359800003</v>
      </c>
      <c r="M704" s="37" t="s">
        <v>509</v>
      </c>
      <c r="N704" s="37">
        <v>1338.5980487804875</v>
      </c>
      <c r="O704" s="130">
        <f t="shared" si="58"/>
        <v>8973.2242012416827</v>
      </c>
      <c r="P704" s="132">
        <f t="shared" si="59"/>
        <v>8221.1617119119674</v>
      </c>
      <c r="Q704" s="262">
        <v>1</v>
      </c>
      <c r="R704" s="92"/>
    </row>
    <row r="705" spans="1:18" x14ac:dyDescent="0.25">
      <c r="A705" s="326">
        <v>40057</v>
      </c>
      <c r="B705" s="326" t="s">
        <v>806</v>
      </c>
      <c r="C705" s="264" t="s">
        <v>289</v>
      </c>
      <c r="D705" s="157" t="s">
        <v>472</v>
      </c>
      <c r="E705" s="44">
        <f t="shared" si="61"/>
        <v>40057</v>
      </c>
      <c r="F705" s="146" t="str">
        <f t="shared" si="62"/>
        <v>2009-10</v>
      </c>
      <c r="G705" s="1"/>
      <c r="H705" s="161"/>
      <c r="I705" s="37"/>
      <c r="J705" s="135">
        <f t="shared" si="60"/>
        <v>0.9161881535038825</v>
      </c>
      <c r="K705" s="112"/>
      <c r="L705" s="37">
        <v>14.910475095900001</v>
      </c>
      <c r="M705" s="37" t="s">
        <v>509</v>
      </c>
      <c r="N705" s="37">
        <v>1338.5980487804875</v>
      </c>
      <c r="O705" s="130">
        <f t="shared" si="58"/>
        <v>19959.132869761794</v>
      </c>
      <c r="P705" s="132">
        <f t="shared" si="59"/>
        <v>18286.321089485704</v>
      </c>
      <c r="Q705" s="262">
        <v>1</v>
      </c>
      <c r="R705" s="92"/>
    </row>
    <row r="706" spans="1:18" x14ac:dyDescent="0.25">
      <c r="A706" s="326">
        <v>40057</v>
      </c>
      <c r="B706" s="326" t="s">
        <v>806</v>
      </c>
      <c r="C706" s="264" t="s">
        <v>289</v>
      </c>
      <c r="D706" s="157" t="s">
        <v>472</v>
      </c>
      <c r="E706" s="44">
        <f t="shared" si="61"/>
        <v>40057</v>
      </c>
      <c r="F706" s="146" t="str">
        <f t="shared" si="62"/>
        <v>2009-10</v>
      </c>
      <c r="G706" s="1"/>
      <c r="H706" s="161"/>
      <c r="I706" s="37"/>
      <c r="J706" s="135">
        <f t="shared" si="60"/>
        <v>0.9161881535038825</v>
      </c>
      <c r="K706" s="112"/>
      <c r="L706" s="37">
        <v>6.4808741694299998</v>
      </c>
      <c r="M706" s="37" t="s">
        <v>509</v>
      </c>
      <c r="N706" s="37">
        <v>1338.5980487804875</v>
      </c>
      <c r="O706" s="130">
        <f t="shared" si="58"/>
        <v>8675.2855175908608</v>
      </c>
      <c r="P706" s="132">
        <f t="shared" si="59"/>
        <v>7948.1938194805443</v>
      </c>
      <c r="Q706" s="262">
        <v>1</v>
      </c>
      <c r="R706" s="92"/>
    </row>
    <row r="707" spans="1:18" x14ac:dyDescent="0.25">
      <c r="A707" s="326">
        <v>40057</v>
      </c>
      <c r="B707" s="326" t="s">
        <v>806</v>
      </c>
      <c r="C707" s="264" t="s">
        <v>289</v>
      </c>
      <c r="D707" s="157" t="s">
        <v>472</v>
      </c>
      <c r="E707" s="44">
        <f t="shared" si="61"/>
        <v>40057</v>
      </c>
      <c r="F707" s="146" t="str">
        <f t="shared" si="62"/>
        <v>2009-10</v>
      </c>
      <c r="G707" s="1"/>
      <c r="H707" s="161"/>
      <c r="I707" s="37"/>
      <c r="J707" s="135">
        <f t="shared" si="60"/>
        <v>0.9161881535038825</v>
      </c>
      <c r="K707" s="112"/>
      <c r="L707" s="37">
        <v>4.9971464857500001</v>
      </c>
      <c r="M707" s="37" t="s">
        <v>509</v>
      </c>
      <c r="N707" s="37">
        <v>1338.5980487804875</v>
      </c>
      <c r="O707" s="130">
        <f t="shared" si="58"/>
        <v>6689.1705352952204</v>
      </c>
      <c r="P707" s="132">
        <f t="shared" si="59"/>
        <v>6128.5388012047051</v>
      </c>
      <c r="Q707" s="262">
        <v>1</v>
      </c>
      <c r="R707" s="92"/>
    </row>
    <row r="708" spans="1:18" x14ac:dyDescent="0.25">
      <c r="A708" s="326">
        <v>40057</v>
      </c>
      <c r="B708" s="326" t="s">
        <v>806</v>
      </c>
      <c r="C708" s="264" t="s">
        <v>289</v>
      </c>
      <c r="D708" s="157" t="s">
        <v>472</v>
      </c>
      <c r="E708" s="44">
        <f t="shared" si="61"/>
        <v>40057</v>
      </c>
      <c r="F708" s="146" t="str">
        <f t="shared" si="62"/>
        <v>2009-10</v>
      </c>
      <c r="G708" s="1"/>
      <c r="H708" s="161"/>
      <c r="I708" s="37"/>
      <c r="J708" s="135">
        <f t="shared" si="60"/>
        <v>0.9161881535038825</v>
      </c>
      <c r="K708" s="112"/>
      <c r="L708" s="37">
        <v>4.9963039339100002</v>
      </c>
      <c r="M708" s="37" t="s">
        <v>509</v>
      </c>
      <c r="N708" s="37">
        <v>1338.5980487804875</v>
      </c>
      <c r="O708" s="130">
        <f t="shared" si="58"/>
        <v>6688.0426970462004</v>
      </c>
      <c r="P708" s="132">
        <f t="shared" si="59"/>
        <v>6127.5054891618847</v>
      </c>
      <c r="Q708" s="262">
        <v>1</v>
      </c>
      <c r="R708" s="92"/>
    </row>
    <row r="709" spans="1:18" x14ac:dyDescent="0.25">
      <c r="A709" s="326">
        <v>40057</v>
      </c>
      <c r="B709" s="326" t="s">
        <v>806</v>
      </c>
      <c r="C709" s="264" t="s">
        <v>289</v>
      </c>
      <c r="D709" s="157" t="s">
        <v>472</v>
      </c>
      <c r="E709" s="44">
        <f t="shared" si="61"/>
        <v>40057</v>
      </c>
      <c r="F709" s="146" t="str">
        <f t="shared" si="62"/>
        <v>2009-10</v>
      </c>
      <c r="G709" s="1"/>
      <c r="H709" s="161"/>
      <c r="I709" s="37"/>
      <c r="J709" s="135">
        <f t="shared" si="60"/>
        <v>0.9161881535038825</v>
      </c>
      <c r="K709" s="112"/>
      <c r="L709" s="37">
        <v>4.9963723840399998</v>
      </c>
      <c r="M709" s="37" t="s">
        <v>509</v>
      </c>
      <c r="N709" s="37">
        <v>1338.5980487804875</v>
      </c>
      <c r="O709" s="130">
        <f t="shared" si="58"/>
        <v>6688.1343242566563</v>
      </c>
      <c r="P709" s="132">
        <f t="shared" si="59"/>
        <v>6127.5894369266425</v>
      </c>
      <c r="Q709" s="262">
        <v>1</v>
      </c>
      <c r="R709" s="92"/>
    </row>
    <row r="710" spans="1:18" x14ac:dyDescent="0.25">
      <c r="A710" s="326">
        <v>40057</v>
      </c>
      <c r="B710" s="326" t="s">
        <v>806</v>
      </c>
      <c r="C710" s="264" t="s">
        <v>289</v>
      </c>
      <c r="D710" s="157" t="s">
        <v>472</v>
      </c>
      <c r="E710" s="44">
        <f t="shared" si="61"/>
        <v>40057</v>
      </c>
      <c r="F710" s="146" t="str">
        <f t="shared" si="62"/>
        <v>2009-10</v>
      </c>
      <c r="G710" s="1"/>
      <c r="H710" s="161"/>
      <c r="I710" s="37"/>
      <c r="J710" s="135">
        <f t="shared" si="60"/>
        <v>0.9161881535038825</v>
      </c>
      <c r="K710" s="112"/>
      <c r="L710" s="37">
        <v>6.7424986466399996</v>
      </c>
      <c r="M710" s="37" t="s">
        <v>509</v>
      </c>
      <c r="N710" s="37">
        <v>1338.5980487804875</v>
      </c>
      <c r="O710" s="130">
        <f t="shared" si="58"/>
        <v>9025.4955322973819</v>
      </c>
      <c r="P710" s="132">
        <f t="shared" si="59"/>
        <v>8269.05208619308</v>
      </c>
      <c r="Q710" s="262">
        <v>1</v>
      </c>
      <c r="R710" s="92"/>
    </row>
    <row r="711" spans="1:18" x14ac:dyDescent="0.25">
      <c r="A711" s="326">
        <v>40057</v>
      </c>
      <c r="B711" s="326" t="s">
        <v>806</v>
      </c>
      <c r="C711" s="264" t="s">
        <v>289</v>
      </c>
      <c r="D711" s="157" t="s">
        <v>472</v>
      </c>
      <c r="E711" s="44">
        <f t="shared" si="61"/>
        <v>40057</v>
      </c>
      <c r="F711" s="146" t="str">
        <f t="shared" si="62"/>
        <v>2009-10</v>
      </c>
      <c r="G711" s="1"/>
      <c r="H711" s="161"/>
      <c r="I711" s="37"/>
      <c r="J711" s="135">
        <f t="shared" si="60"/>
        <v>0.9161881535038825</v>
      </c>
      <c r="K711" s="112"/>
      <c r="L711" s="37">
        <v>20.1625835603</v>
      </c>
      <c r="M711" s="37" t="s">
        <v>509</v>
      </c>
      <c r="N711" s="37">
        <v>1338.5980487804875</v>
      </c>
      <c r="O711" s="130">
        <f t="shared" si="58"/>
        <v>26989.595012191116</v>
      </c>
      <c r="P711" s="132">
        <f t="shared" si="59"/>
        <v>24727.547218036976</v>
      </c>
      <c r="Q711" s="262">
        <v>1</v>
      </c>
      <c r="R711" s="92"/>
    </row>
    <row r="712" spans="1:18" x14ac:dyDescent="0.25">
      <c r="A712" s="326">
        <v>40057</v>
      </c>
      <c r="B712" s="326" t="s">
        <v>806</v>
      </c>
      <c r="C712" s="264" t="s">
        <v>289</v>
      </c>
      <c r="D712" s="157" t="s">
        <v>472</v>
      </c>
      <c r="E712" s="44">
        <f t="shared" si="61"/>
        <v>40057</v>
      </c>
      <c r="F712" s="146" t="str">
        <f t="shared" si="62"/>
        <v>2009-10</v>
      </c>
      <c r="G712" s="1"/>
      <c r="H712" s="161"/>
      <c r="I712" s="37"/>
      <c r="J712" s="135">
        <f t="shared" si="60"/>
        <v>0.9161881535038825</v>
      </c>
      <c r="K712" s="112"/>
      <c r="L712" s="37">
        <v>5.4544096839199998</v>
      </c>
      <c r="M712" s="37" t="s">
        <v>509</v>
      </c>
      <c r="N712" s="37">
        <v>1338.5980487804875</v>
      </c>
      <c r="O712" s="130">
        <f t="shared" si="58"/>
        <v>7301.2621601447072</v>
      </c>
      <c r="P712" s="132">
        <f t="shared" si="59"/>
        <v>6689.329896750748</v>
      </c>
      <c r="Q712" s="262">
        <v>1</v>
      </c>
      <c r="R712" s="92"/>
    </row>
    <row r="713" spans="1:18" x14ac:dyDescent="0.25">
      <c r="A713" s="326">
        <v>40057</v>
      </c>
      <c r="B713" s="326" t="s">
        <v>806</v>
      </c>
      <c r="C713" s="264" t="s">
        <v>289</v>
      </c>
      <c r="D713" s="157" t="s">
        <v>472</v>
      </c>
      <c r="E713" s="44">
        <f t="shared" si="61"/>
        <v>40057</v>
      </c>
      <c r="F713" s="146" t="str">
        <f t="shared" si="62"/>
        <v>2009-10</v>
      </c>
      <c r="G713" s="1"/>
      <c r="H713" s="161"/>
      <c r="I713" s="37"/>
      <c r="J713" s="135">
        <f t="shared" si="60"/>
        <v>0.9161881535038825</v>
      </c>
      <c r="K713" s="112"/>
      <c r="L713" s="37">
        <v>22.606343645100001</v>
      </c>
      <c r="M713" s="37" t="s">
        <v>509</v>
      </c>
      <c r="N713" s="37">
        <v>1338.5980487804875</v>
      </c>
      <c r="O713" s="130">
        <f t="shared" si="58"/>
        <v>30260.807493392032</v>
      </c>
      <c r="P713" s="132">
        <f t="shared" si="59"/>
        <v>27724.593340907297</v>
      </c>
      <c r="Q713" s="262">
        <v>1</v>
      </c>
      <c r="R713" s="92"/>
    </row>
    <row r="714" spans="1:18" x14ac:dyDescent="0.25">
      <c r="A714" s="326">
        <v>40057</v>
      </c>
      <c r="B714" s="326" t="s">
        <v>806</v>
      </c>
      <c r="C714" s="264" t="s">
        <v>289</v>
      </c>
      <c r="D714" s="157" t="s">
        <v>472</v>
      </c>
      <c r="E714" s="44">
        <f t="shared" si="61"/>
        <v>40057</v>
      </c>
      <c r="F714" s="146" t="str">
        <f t="shared" si="62"/>
        <v>2009-10</v>
      </c>
      <c r="G714" s="1"/>
      <c r="H714" s="161"/>
      <c r="I714" s="37"/>
      <c r="J714" s="135">
        <f t="shared" si="60"/>
        <v>0.9161881535038825</v>
      </c>
      <c r="K714" s="112"/>
      <c r="L714" s="37">
        <v>40.973028274500003</v>
      </c>
      <c r="M714" s="37" t="s">
        <v>509</v>
      </c>
      <c r="N714" s="37">
        <v>1338.5980487804875</v>
      </c>
      <c r="O714" s="130">
        <f t="shared" si="58"/>
        <v>54846.415700873447</v>
      </c>
      <c r="P714" s="132">
        <f t="shared" si="59"/>
        <v>50249.636327289591</v>
      </c>
      <c r="Q714" s="262">
        <v>1</v>
      </c>
      <c r="R714" s="92"/>
    </row>
    <row r="715" spans="1:18" x14ac:dyDescent="0.25">
      <c r="A715" s="326">
        <v>40057</v>
      </c>
      <c r="B715" s="326" t="s">
        <v>806</v>
      </c>
      <c r="C715" s="264" t="s">
        <v>289</v>
      </c>
      <c r="D715" s="157" t="s">
        <v>472</v>
      </c>
      <c r="E715" s="44">
        <f t="shared" si="61"/>
        <v>40057</v>
      </c>
      <c r="F715" s="146" t="str">
        <f t="shared" si="62"/>
        <v>2009-10</v>
      </c>
      <c r="G715" s="1"/>
      <c r="H715" s="161"/>
      <c r="I715" s="37"/>
      <c r="J715" s="135">
        <f t="shared" si="60"/>
        <v>0.9161881535038825</v>
      </c>
      <c r="K715" s="112"/>
      <c r="L715" s="37">
        <v>39.363122647600001</v>
      </c>
      <c r="M715" s="37" t="s">
        <v>509</v>
      </c>
      <c r="N715" s="37">
        <v>1338.5980487804875</v>
      </c>
      <c r="O715" s="130">
        <f t="shared" si="58"/>
        <v>52691.399169984375</v>
      </c>
      <c r="P715" s="132">
        <f t="shared" si="59"/>
        <v>48275.235711083995</v>
      </c>
      <c r="Q715" s="262">
        <v>1</v>
      </c>
      <c r="R715" s="92"/>
    </row>
    <row r="716" spans="1:18" x14ac:dyDescent="0.25">
      <c r="A716" s="326">
        <v>40057</v>
      </c>
      <c r="B716" s="326" t="s">
        <v>806</v>
      </c>
      <c r="C716" s="264" t="s">
        <v>289</v>
      </c>
      <c r="D716" s="157" t="s">
        <v>472</v>
      </c>
      <c r="E716" s="44">
        <f t="shared" si="61"/>
        <v>40057</v>
      </c>
      <c r="F716" s="146" t="str">
        <f t="shared" si="62"/>
        <v>2009-10</v>
      </c>
      <c r="G716" s="1"/>
      <c r="H716" s="161"/>
      <c r="I716" s="37"/>
      <c r="J716" s="135">
        <f t="shared" si="60"/>
        <v>0.9161881535038825</v>
      </c>
      <c r="K716" s="112"/>
      <c r="L716" s="37">
        <v>5.4964120263299998</v>
      </c>
      <c r="M716" s="37" t="s">
        <v>509</v>
      </c>
      <c r="N716" s="37">
        <v>1338.5980487804875</v>
      </c>
      <c r="O716" s="130">
        <f t="shared" si="58"/>
        <v>7357.4864137389432</v>
      </c>
      <c r="P716" s="132">
        <f t="shared" si="59"/>
        <v>6740.8418918333846</v>
      </c>
      <c r="Q716" s="262">
        <v>1</v>
      </c>
      <c r="R716" s="92"/>
    </row>
    <row r="717" spans="1:18" x14ac:dyDescent="0.25">
      <c r="A717" s="326">
        <v>40057</v>
      </c>
      <c r="B717" s="326" t="s">
        <v>806</v>
      </c>
      <c r="C717" s="264" t="s">
        <v>289</v>
      </c>
      <c r="D717" s="157" t="s">
        <v>472</v>
      </c>
      <c r="E717" s="44">
        <f t="shared" si="61"/>
        <v>40057</v>
      </c>
      <c r="F717" s="146" t="str">
        <f t="shared" si="62"/>
        <v>2009-10</v>
      </c>
      <c r="G717" s="1"/>
      <c r="H717" s="161"/>
      <c r="I717" s="37"/>
      <c r="J717" s="135">
        <f t="shared" si="60"/>
        <v>0.9161881535038825</v>
      </c>
      <c r="K717" s="112"/>
      <c r="L717" s="37">
        <v>44.731958161900003</v>
      </c>
      <c r="M717" s="37" t="s">
        <v>509</v>
      </c>
      <c r="N717" s="37">
        <v>1338.5980487804875</v>
      </c>
      <c r="O717" s="130">
        <f t="shared" si="58"/>
        <v>59878.111913649744</v>
      </c>
      <c r="P717" s="132">
        <f t="shared" si="59"/>
        <v>54859.616789465588</v>
      </c>
      <c r="Q717" s="262">
        <v>1</v>
      </c>
      <c r="R717" s="92"/>
    </row>
    <row r="718" spans="1:18" x14ac:dyDescent="0.25">
      <c r="A718" s="326">
        <v>40057</v>
      </c>
      <c r="B718" s="326" t="s">
        <v>806</v>
      </c>
      <c r="C718" s="264" t="s">
        <v>289</v>
      </c>
      <c r="D718" s="157" t="s">
        <v>472</v>
      </c>
      <c r="E718" s="44">
        <f t="shared" si="61"/>
        <v>40057</v>
      </c>
      <c r="F718" s="146" t="str">
        <f t="shared" si="62"/>
        <v>2009-10</v>
      </c>
      <c r="G718" s="1"/>
      <c r="H718" s="161"/>
      <c r="I718" s="37"/>
      <c r="J718" s="135">
        <f t="shared" si="60"/>
        <v>0.9161881535038825</v>
      </c>
      <c r="K718" s="112"/>
      <c r="L718" s="37">
        <v>16.7965426204</v>
      </c>
      <c r="M718" s="37" t="s">
        <v>509</v>
      </c>
      <c r="N718" s="37">
        <v>1338.5980487804875</v>
      </c>
      <c r="O718" s="130">
        <f t="shared" si="58"/>
        <v>22483.819177925736</v>
      </c>
      <c r="P718" s="132">
        <f t="shared" si="59"/>
        <v>20599.408776338962</v>
      </c>
      <c r="Q718" s="262">
        <v>1</v>
      </c>
      <c r="R718" s="92"/>
    </row>
    <row r="719" spans="1:18" x14ac:dyDescent="0.25">
      <c r="A719" s="326">
        <v>40057</v>
      </c>
      <c r="B719" s="326" t="s">
        <v>806</v>
      </c>
      <c r="C719" s="264" t="s">
        <v>289</v>
      </c>
      <c r="D719" s="157" t="s">
        <v>472</v>
      </c>
      <c r="E719" s="44">
        <f t="shared" si="61"/>
        <v>40057</v>
      </c>
      <c r="F719" s="146" t="str">
        <f t="shared" si="62"/>
        <v>2009-10</v>
      </c>
      <c r="G719" s="1"/>
      <c r="H719" s="161"/>
      <c r="I719" s="37"/>
      <c r="J719" s="135">
        <f t="shared" si="60"/>
        <v>0.9161881535038825</v>
      </c>
      <c r="K719" s="112"/>
      <c r="L719" s="37">
        <v>14.5541546791</v>
      </c>
      <c r="M719" s="37" t="s">
        <v>509</v>
      </c>
      <c r="N719" s="37">
        <v>1338.5980487804875</v>
      </c>
      <c r="O719" s="130">
        <f t="shared" si="58"/>
        <v>19482.16305509266</v>
      </c>
      <c r="P719" s="132">
        <f t="shared" si="59"/>
        <v>17849.326995706902</v>
      </c>
      <c r="Q719" s="262">
        <v>1</v>
      </c>
      <c r="R719" s="92"/>
    </row>
    <row r="720" spans="1:18" x14ac:dyDescent="0.25">
      <c r="A720" s="326">
        <v>40057</v>
      </c>
      <c r="B720" s="326" t="s">
        <v>806</v>
      </c>
      <c r="C720" s="264" t="s">
        <v>289</v>
      </c>
      <c r="D720" s="157" t="s">
        <v>472</v>
      </c>
      <c r="E720" s="44">
        <f t="shared" si="61"/>
        <v>40057</v>
      </c>
      <c r="F720" s="146" t="str">
        <f t="shared" si="62"/>
        <v>2009-10</v>
      </c>
      <c r="G720" s="1"/>
      <c r="H720" s="161"/>
      <c r="I720" s="37"/>
      <c r="J720" s="135">
        <f t="shared" si="60"/>
        <v>0.9161881535038825</v>
      </c>
      <c r="K720" s="112"/>
      <c r="L720" s="37">
        <v>1.7494942126199999</v>
      </c>
      <c r="M720" s="37" t="s">
        <v>509</v>
      </c>
      <c r="N720" s="37">
        <v>479.79317073170722</v>
      </c>
      <c r="O720" s="130">
        <f t="shared" si="58"/>
        <v>839.39537544972131</v>
      </c>
      <c r="P720" s="132">
        <f t="shared" si="59"/>
        <v>769.0440990929784</v>
      </c>
      <c r="Q720" s="262">
        <v>1</v>
      </c>
      <c r="R720" s="92"/>
    </row>
    <row r="721" spans="1:18" x14ac:dyDescent="0.25">
      <c r="A721" s="326">
        <v>40057</v>
      </c>
      <c r="B721" s="326" t="s">
        <v>806</v>
      </c>
      <c r="C721" s="264" t="s">
        <v>289</v>
      </c>
      <c r="D721" s="157" t="s">
        <v>472</v>
      </c>
      <c r="E721" s="44">
        <f t="shared" si="61"/>
        <v>40057</v>
      </c>
      <c r="F721" s="146" t="str">
        <f t="shared" si="62"/>
        <v>2009-10</v>
      </c>
      <c r="G721" s="1"/>
      <c r="H721" s="161"/>
      <c r="I721" s="37"/>
      <c r="J721" s="135">
        <f t="shared" si="60"/>
        <v>0.9161881535038825</v>
      </c>
      <c r="K721" s="112"/>
      <c r="L721" s="37">
        <v>21.9738615598</v>
      </c>
      <c r="M721" s="37" t="s">
        <v>509</v>
      </c>
      <c r="N721" s="37">
        <v>1338.5980487804875</v>
      </c>
      <c r="O721" s="130">
        <f t="shared" si="58"/>
        <v>29414.168208120838</v>
      </c>
      <c r="P721" s="132">
        <f t="shared" si="59"/>
        <v>26948.912457450835</v>
      </c>
      <c r="Q721" s="262">
        <v>1</v>
      </c>
      <c r="R721" s="92"/>
    </row>
    <row r="722" spans="1:18" x14ac:dyDescent="0.25">
      <c r="A722" s="326">
        <v>40057</v>
      </c>
      <c r="B722" s="326" t="s">
        <v>806</v>
      </c>
      <c r="C722" s="264" t="s">
        <v>289</v>
      </c>
      <c r="D722" s="157" t="s">
        <v>472</v>
      </c>
      <c r="E722" s="44">
        <f t="shared" si="61"/>
        <v>40057</v>
      </c>
      <c r="F722" s="146" t="str">
        <f t="shared" si="62"/>
        <v>2009-10</v>
      </c>
      <c r="G722" s="1"/>
      <c r="H722" s="161"/>
      <c r="I722" s="37"/>
      <c r="J722" s="135">
        <f t="shared" si="60"/>
        <v>0.9161881535038825</v>
      </c>
      <c r="K722" s="112"/>
      <c r="L722" s="37">
        <v>39.974240332299999</v>
      </c>
      <c r="M722" s="37" t="s">
        <v>509</v>
      </c>
      <c r="N722" s="37">
        <v>1338.5980487804875</v>
      </c>
      <c r="O722" s="130">
        <f t="shared" si="58"/>
        <v>53509.440110299045</v>
      </c>
      <c r="P722" s="132">
        <f t="shared" si="59"/>
        <v>49024.71512968147</v>
      </c>
      <c r="Q722" s="262">
        <v>1</v>
      </c>
      <c r="R722" s="92"/>
    </row>
    <row r="723" spans="1:18" x14ac:dyDescent="0.25">
      <c r="A723" s="326">
        <v>40057</v>
      </c>
      <c r="B723" s="326" t="s">
        <v>806</v>
      </c>
      <c r="C723" s="264" t="s">
        <v>289</v>
      </c>
      <c r="D723" s="157" t="s">
        <v>472</v>
      </c>
      <c r="E723" s="44">
        <f t="shared" si="61"/>
        <v>40057</v>
      </c>
      <c r="F723" s="146" t="str">
        <f t="shared" si="62"/>
        <v>2009-10</v>
      </c>
      <c r="G723" s="1"/>
      <c r="H723" s="161"/>
      <c r="I723" s="37"/>
      <c r="J723" s="135">
        <f t="shared" si="60"/>
        <v>0.9161881535038825</v>
      </c>
      <c r="K723" s="112"/>
      <c r="L723" s="37">
        <v>41.475122366100003</v>
      </c>
      <c r="M723" s="37" t="s">
        <v>509</v>
      </c>
      <c r="N723" s="37">
        <v>1338.5980487804875</v>
      </c>
      <c r="O723" s="130">
        <f t="shared" si="58"/>
        <v>55518.517872193421</v>
      </c>
      <c r="P723" s="132">
        <f t="shared" si="59"/>
        <v>50865.408374597188</v>
      </c>
      <c r="Q723" s="262">
        <v>1</v>
      </c>
      <c r="R723" s="92"/>
    </row>
    <row r="724" spans="1:18" x14ac:dyDescent="0.25">
      <c r="A724" s="326">
        <v>40057</v>
      </c>
      <c r="B724" s="326" t="s">
        <v>806</v>
      </c>
      <c r="C724" s="264" t="s">
        <v>289</v>
      </c>
      <c r="D724" s="157" t="s">
        <v>472</v>
      </c>
      <c r="E724" s="44">
        <f t="shared" si="61"/>
        <v>40057</v>
      </c>
      <c r="F724" s="146" t="str">
        <f t="shared" si="62"/>
        <v>2009-10</v>
      </c>
      <c r="G724" s="1"/>
      <c r="H724" s="161"/>
      <c r="I724" s="37"/>
      <c r="J724" s="135">
        <f t="shared" si="60"/>
        <v>0.9161881535038825</v>
      </c>
      <c r="K724" s="112"/>
      <c r="L724" s="37">
        <v>5.4962595438499999</v>
      </c>
      <c r="M724" s="37" t="s">
        <v>509</v>
      </c>
      <c r="N724" s="37">
        <v>1338.5980487804875</v>
      </c>
      <c r="O724" s="130">
        <f t="shared" si="58"/>
        <v>7357.2823009887425</v>
      </c>
      <c r="P724" s="132">
        <f t="shared" si="59"/>
        <v>6740.6548861496722</v>
      </c>
      <c r="Q724" s="262">
        <v>1</v>
      </c>
      <c r="R724" s="92"/>
    </row>
    <row r="725" spans="1:18" x14ac:dyDescent="0.25">
      <c r="A725" s="326">
        <v>40057</v>
      </c>
      <c r="B725" s="326" t="s">
        <v>806</v>
      </c>
      <c r="C725" s="264" t="s">
        <v>289</v>
      </c>
      <c r="D725" s="157" t="s">
        <v>472</v>
      </c>
      <c r="E725" s="44">
        <f t="shared" si="61"/>
        <v>40057</v>
      </c>
      <c r="F725" s="146" t="str">
        <f t="shared" si="62"/>
        <v>2009-10</v>
      </c>
      <c r="G725" s="1"/>
      <c r="H725" s="161"/>
      <c r="I725" s="37"/>
      <c r="J725" s="135">
        <f t="shared" si="60"/>
        <v>0.9161881535038825</v>
      </c>
      <c r="K725" s="112"/>
      <c r="L725" s="37">
        <v>65.992748210499997</v>
      </c>
      <c r="M725" s="37" t="s">
        <v>509</v>
      </c>
      <c r="N725" s="37">
        <v>4416.6341463414628</v>
      </c>
      <c r="O725" s="130">
        <f t="shared" si="58"/>
        <v>291465.82515740878</v>
      </c>
      <c r="P725" s="132">
        <f t="shared" si="59"/>
        <v>267037.53616045183</v>
      </c>
      <c r="Q725" s="262">
        <v>1</v>
      </c>
      <c r="R725" s="92"/>
    </row>
    <row r="726" spans="1:18" x14ac:dyDescent="0.25">
      <c r="A726" s="326">
        <v>40057</v>
      </c>
      <c r="B726" s="326" t="s">
        <v>806</v>
      </c>
      <c r="C726" s="264" t="s">
        <v>289</v>
      </c>
      <c r="D726" s="157" t="s">
        <v>472</v>
      </c>
      <c r="E726" s="44">
        <f t="shared" si="61"/>
        <v>40057</v>
      </c>
      <c r="F726" s="146" t="str">
        <f t="shared" si="62"/>
        <v>2009-10</v>
      </c>
      <c r="G726" s="1"/>
      <c r="H726" s="161"/>
      <c r="I726" s="37"/>
      <c r="J726" s="135">
        <f t="shared" si="60"/>
        <v>0.9161881535038825</v>
      </c>
      <c r="K726" s="112"/>
      <c r="L726" s="37">
        <v>14.227307616299999</v>
      </c>
      <c r="M726" s="37" t="s">
        <v>509</v>
      </c>
      <c r="N726" s="37">
        <v>1338.5980487804875</v>
      </c>
      <c r="O726" s="130">
        <f t="shared" si="58"/>
        <v>19044.646214578948</v>
      </c>
      <c r="P726" s="132">
        <f t="shared" si="59"/>
        <v>17448.47924946979</v>
      </c>
      <c r="Q726" s="262">
        <v>1</v>
      </c>
      <c r="R726" s="92"/>
    </row>
    <row r="727" spans="1:18" x14ac:dyDescent="0.25">
      <c r="A727" s="326">
        <v>40057</v>
      </c>
      <c r="B727" s="326" t="s">
        <v>806</v>
      </c>
      <c r="C727" s="264" t="s">
        <v>289</v>
      </c>
      <c r="D727" s="157" t="s">
        <v>472</v>
      </c>
      <c r="E727" s="44">
        <f t="shared" si="61"/>
        <v>40057</v>
      </c>
      <c r="F727" s="146" t="str">
        <f t="shared" si="62"/>
        <v>2009-10</v>
      </c>
      <c r="G727" s="1"/>
      <c r="H727" s="161"/>
      <c r="I727" s="37"/>
      <c r="J727" s="135">
        <f t="shared" si="60"/>
        <v>0.9161881535038825</v>
      </c>
      <c r="K727" s="112"/>
      <c r="L727" s="37">
        <v>6.0235180750100001</v>
      </c>
      <c r="M727" s="37" t="s">
        <v>509</v>
      </c>
      <c r="N727" s="37">
        <v>1338.5980487804875</v>
      </c>
      <c r="O727" s="130">
        <f t="shared" si="58"/>
        <v>8063.069542002384</v>
      </c>
      <c r="P727" s="132">
        <f t="shared" si="59"/>
        <v>7387.2887952605597</v>
      </c>
      <c r="Q727" s="262">
        <v>1</v>
      </c>
      <c r="R727" s="92"/>
    </row>
    <row r="728" spans="1:18" x14ac:dyDescent="0.25">
      <c r="A728" s="326">
        <v>40057</v>
      </c>
      <c r="B728" s="326" t="s">
        <v>806</v>
      </c>
      <c r="C728" s="264" t="s">
        <v>289</v>
      </c>
      <c r="D728" s="157" t="s">
        <v>472</v>
      </c>
      <c r="E728" s="44">
        <f t="shared" si="61"/>
        <v>40057</v>
      </c>
      <c r="F728" s="146" t="str">
        <f t="shared" si="62"/>
        <v>2009-10</v>
      </c>
      <c r="G728" s="1"/>
      <c r="H728" s="161"/>
      <c r="I728" s="37"/>
      <c r="J728" s="135">
        <f t="shared" si="60"/>
        <v>0.9161881535038825</v>
      </c>
      <c r="K728" s="112"/>
      <c r="L728" s="37">
        <v>1.7494942126199999</v>
      </c>
      <c r="M728" s="37" t="s">
        <v>509</v>
      </c>
      <c r="N728" s="37">
        <v>479.79317073170722</v>
      </c>
      <c r="O728" s="130">
        <f t="shared" si="58"/>
        <v>839.39537544972131</v>
      </c>
      <c r="P728" s="132">
        <f t="shared" si="59"/>
        <v>769.0440990929784</v>
      </c>
      <c r="Q728" s="262">
        <v>1</v>
      </c>
      <c r="R728" s="92"/>
    </row>
    <row r="729" spans="1:18" x14ac:dyDescent="0.25">
      <c r="A729" s="326">
        <v>40057</v>
      </c>
      <c r="B729" s="326" t="s">
        <v>806</v>
      </c>
      <c r="C729" s="264" t="s">
        <v>289</v>
      </c>
      <c r="D729" s="157" t="s">
        <v>472</v>
      </c>
      <c r="E729" s="44">
        <f t="shared" si="61"/>
        <v>40057</v>
      </c>
      <c r="F729" s="146" t="str">
        <f t="shared" si="62"/>
        <v>2009-10</v>
      </c>
      <c r="G729" s="1"/>
      <c r="H729" s="161"/>
      <c r="I729" s="37"/>
      <c r="J729" s="135">
        <f t="shared" si="60"/>
        <v>0.9161881535038825</v>
      </c>
      <c r="K729" s="112"/>
      <c r="L729" s="37">
        <v>39.059768880500002</v>
      </c>
      <c r="M729" s="37" t="s">
        <v>509</v>
      </c>
      <c r="N729" s="37">
        <v>1338.5980487804875</v>
      </c>
      <c r="O729" s="130">
        <f t="shared" ref="O729:O792" si="63">IF(N729="","-",L729*N729)</f>
        <v>52285.330409254108</v>
      </c>
      <c r="P729" s="132">
        <f t="shared" si="59"/>
        <v>47903.200322994919</v>
      </c>
      <c r="Q729" s="262">
        <v>1</v>
      </c>
      <c r="R729" s="92"/>
    </row>
    <row r="730" spans="1:18" x14ac:dyDescent="0.25">
      <c r="A730" s="326">
        <v>40057</v>
      </c>
      <c r="B730" s="326" t="s">
        <v>806</v>
      </c>
      <c r="C730" s="264" t="s">
        <v>289</v>
      </c>
      <c r="D730" s="157" t="s">
        <v>472</v>
      </c>
      <c r="E730" s="44">
        <f t="shared" si="61"/>
        <v>40057</v>
      </c>
      <c r="F730" s="146" t="str">
        <f t="shared" si="62"/>
        <v>2009-10</v>
      </c>
      <c r="G730" s="1"/>
      <c r="H730" s="161"/>
      <c r="I730" s="37"/>
      <c r="J730" s="135">
        <f t="shared" si="60"/>
        <v>0.9161881535038825</v>
      </c>
      <c r="K730" s="112"/>
      <c r="L730" s="37">
        <v>55.667912058900001</v>
      </c>
      <c r="M730" s="37" t="s">
        <v>509</v>
      </c>
      <c r="N730" s="37">
        <v>1338.5980487804875</v>
      </c>
      <c r="O730" s="130">
        <f t="shared" si="63"/>
        <v>74516.958461727307</v>
      </c>
      <c r="P730" s="132">
        <f t="shared" si="59"/>
        <v>68271.55457777546</v>
      </c>
      <c r="Q730" s="262">
        <v>1</v>
      </c>
      <c r="R730" s="92"/>
    </row>
    <row r="731" spans="1:18" x14ac:dyDescent="0.25">
      <c r="A731" s="326">
        <v>40057</v>
      </c>
      <c r="B731" s="326" t="s">
        <v>806</v>
      </c>
      <c r="C731" s="264" t="s">
        <v>289</v>
      </c>
      <c r="D731" s="157" t="s">
        <v>472</v>
      </c>
      <c r="E731" s="44">
        <f t="shared" si="61"/>
        <v>40057</v>
      </c>
      <c r="F731" s="146" t="str">
        <f t="shared" si="62"/>
        <v>2009-10</v>
      </c>
      <c r="G731" s="1"/>
      <c r="H731" s="161"/>
      <c r="I731" s="37"/>
      <c r="J731" s="135">
        <f t="shared" si="60"/>
        <v>0.9161881535038825</v>
      </c>
      <c r="K731" s="112"/>
      <c r="L731" s="37">
        <v>26.937920822900001</v>
      </c>
      <c r="M731" s="37" t="s">
        <v>509</v>
      </c>
      <c r="N731" s="37">
        <v>1338.5980487804875</v>
      </c>
      <c r="O731" s="130">
        <f t="shared" si="63"/>
        <v>36059.048251737207</v>
      </c>
      <c r="P731" s="132">
        <f t="shared" ref="P731:P794" si="64">IF(O731="-","-",IF(OR(E731&lt;$E$15,E731&gt;$E$16),0,O731*J731))*Q731</f>
        <v>33036.872834866517</v>
      </c>
      <c r="Q731" s="262">
        <v>1</v>
      </c>
      <c r="R731" s="92"/>
    </row>
    <row r="732" spans="1:18" x14ac:dyDescent="0.25">
      <c r="A732" s="326">
        <v>40057</v>
      </c>
      <c r="B732" s="326" t="s">
        <v>806</v>
      </c>
      <c r="C732" s="264" t="s">
        <v>289</v>
      </c>
      <c r="D732" s="157" t="s">
        <v>472</v>
      </c>
      <c r="E732" s="44">
        <f t="shared" si="61"/>
        <v>40057</v>
      </c>
      <c r="F732" s="146" t="str">
        <f t="shared" si="62"/>
        <v>2009-10</v>
      </c>
      <c r="G732" s="1"/>
      <c r="H732" s="161"/>
      <c r="I732" s="37"/>
      <c r="J732" s="135">
        <f t="shared" si="60"/>
        <v>0.9161881535038825</v>
      </c>
      <c r="K732" s="112"/>
      <c r="L732" s="37">
        <v>67.4086861734</v>
      </c>
      <c r="M732" s="37" t="s">
        <v>509</v>
      </c>
      <c r="N732" s="37">
        <v>1165.0878048780487</v>
      </c>
      <c r="O732" s="130">
        <f t="shared" si="63"/>
        <v>78537.038203479882</v>
      </c>
      <c r="P732" s="132">
        <f t="shared" si="64"/>
        <v>71954.704013310111</v>
      </c>
      <c r="Q732" s="262">
        <v>1</v>
      </c>
      <c r="R732" s="92"/>
    </row>
    <row r="733" spans="1:18" x14ac:dyDescent="0.25">
      <c r="A733" s="326">
        <v>40057</v>
      </c>
      <c r="B733" s="326" t="s">
        <v>806</v>
      </c>
      <c r="C733" s="264" t="s">
        <v>289</v>
      </c>
      <c r="D733" s="157" t="s">
        <v>472</v>
      </c>
      <c r="E733" s="44">
        <f t="shared" si="61"/>
        <v>40057</v>
      </c>
      <c r="F733" s="146" t="str">
        <f t="shared" si="62"/>
        <v>2009-10</v>
      </c>
      <c r="G733" s="1"/>
      <c r="H733" s="161"/>
      <c r="I733" s="37"/>
      <c r="J733" s="135">
        <f t="shared" ref="J733:J796" si="65">J732</f>
        <v>0.9161881535038825</v>
      </c>
      <c r="K733" s="112"/>
      <c r="L733" s="37">
        <v>140.227781448</v>
      </c>
      <c r="M733" s="37" t="s">
        <v>509</v>
      </c>
      <c r="N733" s="37">
        <v>1165.0878048780487</v>
      </c>
      <c r="O733" s="130">
        <f t="shared" si="63"/>
        <v>163377.67807016909</v>
      </c>
      <c r="P733" s="132">
        <f t="shared" si="64"/>
        <v>149684.69319485998</v>
      </c>
      <c r="Q733" s="262">
        <v>1</v>
      </c>
      <c r="R733" s="92"/>
    </row>
    <row r="734" spans="1:18" x14ac:dyDescent="0.25">
      <c r="A734" s="326">
        <v>40057</v>
      </c>
      <c r="B734" s="326" t="s">
        <v>806</v>
      </c>
      <c r="C734" s="264" t="s">
        <v>289</v>
      </c>
      <c r="D734" s="157" t="s">
        <v>472</v>
      </c>
      <c r="E734" s="44">
        <f t="shared" si="61"/>
        <v>40057</v>
      </c>
      <c r="F734" s="146" t="str">
        <f t="shared" si="62"/>
        <v>2009-10</v>
      </c>
      <c r="G734" s="1"/>
      <c r="H734" s="161"/>
      <c r="I734" s="37"/>
      <c r="J734" s="135">
        <f t="shared" si="65"/>
        <v>0.9161881535038825</v>
      </c>
      <c r="K734" s="112"/>
      <c r="L734" s="37">
        <v>47.406409619400002</v>
      </c>
      <c r="M734" s="37" t="s">
        <v>509</v>
      </c>
      <c r="N734" s="37">
        <v>1165.0878048780487</v>
      </c>
      <c r="O734" s="130">
        <f t="shared" si="63"/>
        <v>55232.629720616358</v>
      </c>
      <c r="P734" s="132">
        <f t="shared" si="64"/>
        <v>50603.481036895166</v>
      </c>
      <c r="Q734" s="262">
        <v>1</v>
      </c>
      <c r="R734" s="92"/>
    </row>
    <row r="735" spans="1:18" x14ac:dyDescent="0.25">
      <c r="A735" s="326">
        <v>40057</v>
      </c>
      <c r="B735" s="326" t="s">
        <v>806</v>
      </c>
      <c r="C735" s="264" t="s">
        <v>289</v>
      </c>
      <c r="D735" s="157" t="s">
        <v>472</v>
      </c>
      <c r="E735" s="44">
        <f t="shared" si="61"/>
        <v>40057</v>
      </c>
      <c r="F735" s="146" t="str">
        <f t="shared" si="62"/>
        <v>2009-10</v>
      </c>
      <c r="G735" s="1"/>
      <c r="H735" s="161"/>
      <c r="I735" s="37"/>
      <c r="J735" s="135">
        <f t="shared" si="65"/>
        <v>0.9161881535038825</v>
      </c>
      <c r="K735" s="112"/>
      <c r="L735" s="37">
        <v>36.320297493299996</v>
      </c>
      <c r="M735" s="37" t="s">
        <v>509</v>
      </c>
      <c r="N735" s="37">
        <v>1165.0878048780487</v>
      </c>
      <c r="O735" s="130">
        <f t="shared" si="63"/>
        <v>42316.335678986587</v>
      </c>
      <c r="P735" s="132">
        <f t="shared" si="64"/>
        <v>38769.725448781181</v>
      </c>
      <c r="Q735" s="262">
        <v>1</v>
      </c>
      <c r="R735" s="92"/>
    </row>
    <row r="736" spans="1:18" x14ac:dyDescent="0.25">
      <c r="A736" s="326">
        <v>40057</v>
      </c>
      <c r="B736" s="326" t="s">
        <v>806</v>
      </c>
      <c r="C736" s="264" t="s">
        <v>289</v>
      </c>
      <c r="D736" s="157" t="s">
        <v>472</v>
      </c>
      <c r="E736" s="44">
        <f t="shared" si="61"/>
        <v>40057</v>
      </c>
      <c r="F736" s="146" t="str">
        <f t="shared" si="62"/>
        <v>2009-10</v>
      </c>
      <c r="G736" s="1"/>
      <c r="H736" s="161"/>
      <c r="I736" s="37"/>
      <c r="J736" s="135">
        <f t="shared" si="65"/>
        <v>0.9161881535038825</v>
      </c>
      <c r="K736" s="112"/>
      <c r="L736" s="37">
        <v>4.9971765027900004</v>
      </c>
      <c r="M736" s="37" t="s">
        <v>509</v>
      </c>
      <c r="N736" s="37">
        <v>1165.0878048780487</v>
      </c>
      <c r="O736" s="130">
        <f t="shared" si="63"/>
        <v>5822.1494022237657</v>
      </c>
      <c r="P736" s="132">
        <f t="shared" si="64"/>
        <v>5334.1843102471248</v>
      </c>
      <c r="Q736" s="262">
        <v>1</v>
      </c>
      <c r="R736" s="92"/>
    </row>
    <row r="737" spans="1:18" x14ac:dyDescent="0.25">
      <c r="A737" s="326">
        <v>40057</v>
      </c>
      <c r="B737" s="326" t="s">
        <v>806</v>
      </c>
      <c r="C737" s="264" t="s">
        <v>289</v>
      </c>
      <c r="D737" s="157" t="s">
        <v>472</v>
      </c>
      <c r="E737" s="44">
        <f t="shared" si="61"/>
        <v>40057</v>
      </c>
      <c r="F737" s="146" t="str">
        <f t="shared" si="62"/>
        <v>2009-10</v>
      </c>
      <c r="G737" s="1"/>
      <c r="H737" s="161"/>
      <c r="I737" s="37"/>
      <c r="J737" s="135">
        <f t="shared" si="65"/>
        <v>0.9161881535038825</v>
      </c>
      <c r="K737" s="112"/>
      <c r="L737" s="37">
        <v>8.3515178261200003</v>
      </c>
      <c r="M737" s="37" t="s">
        <v>509</v>
      </c>
      <c r="N737" s="37">
        <v>1165.0878048780487</v>
      </c>
      <c r="O737" s="130">
        <f t="shared" si="63"/>
        <v>9730.2515714340443</v>
      </c>
      <c r="P737" s="132">
        <f t="shared" si="64"/>
        <v>8914.7412203604072</v>
      </c>
      <c r="Q737" s="262">
        <v>1</v>
      </c>
      <c r="R737" s="92"/>
    </row>
    <row r="738" spans="1:18" x14ac:dyDescent="0.25">
      <c r="A738" s="326">
        <v>40057</v>
      </c>
      <c r="B738" s="326" t="s">
        <v>806</v>
      </c>
      <c r="C738" s="264" t="s">
        <v>289</v>
      </c>
      <c r="D738" s="157" t="s">
        <v>472</v>
      </c>
      <c r="E738" s="44">
        <f t="shared" si="61"/>
        <v>40057</v>
      </c>
      <c r="F738" s="146" t="str">
        <f t="shared" si="62"/>
        <v>2009-10</v>
      </c>
      <c r="G738" s="1"/>
      <c r="H738" s="161"/>
      <c r="I738" s="37"/>
      <c r="J738" s="135">
        <f t="shared" si="65"/>
        <v>0.9161881535038825</v>
      </c>
      <c r="K738" s="112"/>
      <c r="L738" s="37">
        <v>4.9960709562599996</v>
      </c>
      <c r="M738" s="37" t="s">
        <v>509</v>
      </c>
      <c r="N738" s="37">
        <v>1165.0878048780487</v>
      </c>
      <c r="O738" s="130">
        <f t="shared" si="63"/>
        <v>5820.8613434439367</v>
      </c>
      <c r="P738" s="132">
        <f t="shared" si="64"/>
        <v>5333.0042060520291</v>
      </c>
      <c r="Q738" s="262">
        <v>1</v>
      </c>
      <c r="R738" s="92"/>
    </row>
    <row r="739" spans="1:18" x14ac:dyDescent="0.25">
      <c r="A739" s="326">
        <v>40057</v>
      </c>
      <c r="B739" s="326" t="s">
        <v>806</v>
      </c>
      <c r="C739" s="264" t="s">
        <v>289</v>
      </c>
      <c r="D739" s="157" t="s">
        <v>472</v>
      </c>
      <c r="E739" s="44">
        <f t="shared" si="61"/>
        <v>40057</v>
      </c>
      <c r="F739" s="146" t="str">
        <f t="shared" si="62"/>
        <v>2009-10</v>
      </c>
      <c r="G739" s="1"/>
      <c r="H739" s="161"/>
      <c r="I739" s="37"/>
      <c r="J739" s="135">
        <f t="shared" si="65"/>
        <v>0.9161881535038825</v>
      </c>
      <c r="K739" s="112"/>
      <c r="L739" s="37">
        <v>15.990003127</v>
      </c>
      <c r="M739" s="37" t="s">
        <v>509</v>
      </c>
      <c r="N739" s="37">
        <v>4137.5668292682922</v>
      </c>
      <c r="O739" s="130">
        <f t="shared" si="63"/>
        <v>66159.706538171464</v>
      </c>
      <c r="P739" s="132">
        <f t="shared" si="64"/>
        <v>60614.739369566058</v>
      </c>
      <c r="Q739" s="262">
        <v>1</v>
      </c>
      <c r="R739" s="92"/>
    </row>
    <row r="740" spans="1:18" x14ac:dyDescent="0.25">
      <c r="A740" s="326">
        <v>40057</v>
      </c>
      <c r="B740" s="326" t="s">
        <v>806</v>
      </c>
      <c r="C740" s="264" t="s">
        <v>289</v>
      </c>
      <c r="D740" s="157" t="s">
        <v>472</v>
      </c>
      <c r="E740" s="44">
        <f t="shared" si="61"/>
        <v>40057</v>
      </c>
      <c r="F740" s="146" t="str">
        <f t="shared" si="62"/>
        <v>2009-10</v>
      </c>
      <c r="G740" s="1"/>
      <c r="H740" s="161"/>
      <c r="I740" s="37"/>
      <c r="J740" s="135">
        <f t="shared" si="65"/>
        <v>0.9161881535038825</v>
      </c>
      <c r="K740" s="112"/>
      <c r="L740" s="37">
        <v>1.74960224051</v>
      </c>
      <c r="M740" s="37" t="s">
        <v>509</v>
      </c>
      <c r="N740" s="37">
        <v>479.79317073170722</v>
      </c>
      <c r="O740" s="130">
        <f t="shared" si="63"/>
        <v>839.44720649359192</v>
      </c>
      <c r="P740" s="132">
        <f t="shared" si="64"/>
        <v>769.09158608135635</v>
      </c>
      <c r="Q740" s="262">
        <v>1</v>
      </c>
      <c r="R740" s="92"/>
    </row>
    <row r="741" spans="1:18" x14ac:dyDescent="0.25">
      <c r="A741" s="326">
        <v>40057</v>
      </c>
      <c r="B741" s="326" t="s">
        <v>806</v>
      </c>
      <c r="C741" s="264" t="s">
        <v>289</v>
      </c>
      <c r="D741" s="157" t="s">
        <v>472</v>
      </c>
      <c r="E741" s="44">
        <f t="shared" si="61"/>
        <v>40057</v>
      </c>
      <c r="F741" s="146" t="str">
        <f t="shared" si="62"/>
        <v>2009-10</v>
      </c>
      <c r="G741" s="1"/>
      <c r="H741" s="161"/>
      <c r="I741" s="37"/>
      <c r="J741" s="135">
        <f t="shared" si="65"/>
        <v>0.9161881535038825</v>
      </c>
      <c r="K741" s="112"/>
      <c r="L741" s="37">
        <v>35.023603127000001</v>
      </c>
      <c r="M741" s="37" t="s">
        <v>509</v>
      </c>
      <c r="N741" s="37">
        <v>1165.0878048780487</v>
      </c>
      <c r="O741" s="130">
        <f t="shared" si="63"/>
        <v>40805.572886156391</v>
      </c>
      <c r="P741" s="132">
        <f t="shared" si="64"/>
        <v>37385.582475235715</v>
      </c>
      <c r="Q741" s="262">
        <v>1</v>
      </c>
      <c r="R741" s="92"/>
    </row>
    <row r="742" spans="1:18" x14ac:dyDescent="0.25">
      <c r="A742" s="326">
        <v>40057</v>
      </c>
      <c r="B742" s="326" t="s">
        <v>806</v>
      </c>
      <c r="C742" s="264" t="s">
        <v>289</v>
      </c>
      <c r="D742" s="157" t="s">
        <v>472</v>
      </c>
      <c r="E742" s="44">
        <f t="shared" si="61"/>
        <v>40057</v>
      </c>
      <c r="F742" s="146" t="str">
        <f t="shared" si="62"/>
        <v>2009-10</v>
      </c>
      <c r="G742" s="1"/>
      <c r="H742" s="161"/>
      <c r="I742" s="37"/>
      <c r="J742" s="135">
        <f t="shared" si="65"/>
        <v>0.9161881535038825</v>
      </c>
      <c r="K742" s="112"/>
      <c r="L742" s="37">
        <v>5.3110008472999999</v>
      </c>
      <c r="M742" s="37" t="s">
        <v>509</v>
      </c>
      <c r="N742" s="37">
        <v>1165.0878048780487</v>
      </c>
      <c r="O742" s="130">
        <f t="shared" si="63"/>
        <v>6187.7823188862139</v>
      </c>
      <c r="P742" s="132">
        <f t="shared" si="64"/>
        <v>5669.1728570243322</v>
      </c>
      <c r="Q742" s="262">
        <v>1</v>
      </c>
      <c r="R742" s="92"/>
    </row>
    <row r="743" spans="1:18" x14ac:dyDescent="0.25">
      <c r="A743" s="326">
        <v>40057</v>
      </c>
      <c r="B743" s="326" t="s">
        <v>806</v>
      </c>
      <c r="C743" s="264" t="s">
        <v>289</v>
      </c>
      <c r="D743" s="157" t="s">
        <v>472</v>
      </c>
      <c r="E743" s="44">
        <f t="shared" si="61"/>
        <v>40057</v>
      </c>
      <c r="F743" s="146" t="str">
        <f t="shared" si="62"/>
        <v>2009-10</v>
      </c>
      <c r="G743" s="1"/>
      <c r="H743" s="161"/>
      <c r="I743" s="37"/>
      <c r="J743" s="135">
        <f t="shared" si="65"/>
        <v>0.9161881535038825</v>
      </c>
      <c r="K743" s="112"/>
      <c r="L743" s="37">
        <v>17.313403622599999</v>
      </c>
      <c r="M743" s="37" t="s">
        <v>509</v>
      </c>
      <c r="N743" s="37">
        <v>1165.0878048780487</v>
      </c>
      <c r="O743" s="130">
        <f t="shared" si="63"/>
        <v>20171.63542162269</v>
      </c>
      <c r="P743" s="132">
        <f t="shared" si="64"/>
        <v>18481.013410090003</v>
      </c>
      <c r="Q743" s="262">
        <v>1</v>
      </c>
      <c r="R743" s="92"/>
    </row>
    <row r="744" spans="1:18" x14ac:dyDescent="0.25">
      <c r="A744" s="326">
        <v>40057</v>
      </c>
      <c r="B744" s="326" t="s">
        <v>806</v>
      </c>
      <c r="C744" s="264" t="s">
        <v>289</v>
      </c>
      <c r="D744" s="157" t="s">
        <v>472</v>
      </c>
      <c r="E744" s="44">
        <f t="shared" ref="E744:E807" si="66">A744</f>
        <v>40057</v>
      </c>
      <c r="F744" s="146" t="str">
        <f t="shared" si="62"/>
        <v>2009-10</v>
      </c>
      <c r="G744" s="1"/>
      <c r="H744" s="161"/>
      <c r="I744" s="37"/>
      <c r="J744" s="135">
        <f t="shared" si="65"/>
        <v>0.9161881535038825</v>
      </c>
      <c r="K744" s="112"/>
      <c r="L744" s="37">
        <v>10.3194008547</v>
      </c>
      <c r="M744" s="37" t="s">
        <v>509</v>
      </c>
      <c r="N744" s="37">
        <v>1165.0878048780487</v>
      </c>
      <c r="O744" s="130">
        <f t="shared" si="63"/>
        <v>12023.008089459083</v>
      </c>
      <c r="P744" s="132">
        <f t="shared" si="64"/>
        <v>11015.337581043759</v>
      </c>
      <c r="Q744" s="262">
        <v>1</v>
      </c>
      <c r="R744" s="92"/>
    </row>
    <row r="745" spans="1:18" x14ac:dyDescent="0.25">
      <c r="A745" s="326">
        <v>40057</v>
      </c>
      <c r="B745" s="326" t="s">
        <v>806</v>
      </c>
      <c r="C745" s="264" t="s">
        <v>289</v>
      </c>
      <c r="D745" s="157" t="s">
        <v>472</v>
      </c>
      <c r="E745" s="44">
        <f t="shared" si="66"/>
        <v>40057</v>
      </c>
      <c r="F745" s="146" t="str">
        <f t="shared" si="62"/>
        <v>2009-10</v>
      </c>
      <c r="G745" s="1"/>
      <c r="H745" s="161"/>
      <c r="I745" s="37"/>
      <c r="J745" s="135">
        <f t="shared" si="65"/>
        <v>0.9161881535038825</v>
      </c>
      <c r="K745" s="112"/>
      <c r="L745" s="37">
        <v>13.803802555800001</v>
      </c>
      <c r="M745" s="37" t="s">
        <v>509</v>
      </c>
      <c r="N745" s="37">
        <v>1165.0878048780487</v>
      </c>
      <c r="O745" s="130">
        <f t="shared" si="63"/>
        <v>16082.642018707022</v>
      </c>
      <c r="P745" s="132">
        <f t="shared" si="64"/>
        <v>14734.726094583139</v>
      </c>
      <c r="Q745" s="262">
        <v>1</v>
      </c>
      <c r="R745" s="92"/>
    </row>
    <row r="746" spans="1:18" x14ac:dyDescent="0.25">
      <c r="A746" s="326">
        <v>40057</v>
      </c>
      <c r="B746" s="326" t="s">
        <v>806</v>
      </c>
      <c r="C746" s="264" t="s">
        <v>289</v>
      </c>
      <c r="D746" s="157" t="s">
        <v>472</v>
      </c>
      <c r="E746" s="44">
        <f t="shared" si="66"/>
        <v>40057</v>
      </c>
      <c r="F746" s="146" t="str">
        <f t="shared" si="62"/>
        <v>2009-10</v>
      </c>
      <c r="G746" s="1"/>
      <c r="H746" s="161"/>
      <c r="I746" s="37"/>
      <c r="J746" s="135">
        <f t="shared" si="65"/>
        <v>0.9161881535038825</v>
      </c>
      <c r="K746" s="112"/>
      <c r="L746" s="37">
        <v>21.429401974899999</v>
      </c>
      <c r="M746" s="37" t="s">
        <v>509</v>
      </c>
      <c r="N746" s="37">
        <v>1165.0878048780487</v>
      </c>
      <c r="O746" s="130">
        <f t="shared" si="63"/>
        <v>24967.134906785563</v>
      </c>
      <c r="P746" s="132">
        <f t="shared" si="64"/>
        <v>22874.593228530193</v>
      </c>
      <c r="Q746" s="262">
        <v>1</v>
      </c>
      <c r="R746" s="92"/>
    </row>
    <row r="747" spans="1:18" x14ac:dyDescent="0.25">
      <c r="A747" s="326">
        <v>40057</v>
      </c>
      <c r="B747" s="326" t="s">
        <v>806</v>
      </c>
      <c r="C747" s="264" t="s">
        <v>289</v>
      </c>
      <c r="D747" s="157" t="s">
        <v>472</v>
      </c>
      <c r="E747" s="44">
        <f t="shared" si="66"/>
        <v>40057</v>
      </c>
      <c r="F747" s="146" t="str">
        <f t="shared" si="62"/>
        <v>2009-10</v>
      </c>
      <c r="G747" s="1"/>
      <c r="H747" s="161"/>
      <c r="I747" s="37"/>
      <c r="J747" s="135">
        <f t="shared" si="65"/>
        <v>0.9161881535038825</v>
      </c>
      <c r="K747" s="112"/>
      <c r="L747" s="37">
        <v>11.1378013091</v>
      </c>
      <c r="M747" s="37" t="s">
        <v>509</v>
      </c>
      <c r="N747" s="37">
        <v>1165.0878048780487</v>
      </c>
      <c r="O747" s="130">
        <f t="shared" si="63"/>
        <v>12976.516478387177</v>
      </c>
      <c r="P747" s="132">
        <f t="shared" si="64"/>
        <v>11888.930671246251</v>
      </c>
      <c r="Q747" s="262">
        <v>1</v>
      </c>
      <c r="R747" s="92"/>
    </row>
    <row r="748" spans="1:18" x14ac:dyDescent="0.25">
      <c r="A748" s="326">
        <v>40057</v>
      </c>
      <c r="B748" s="326" t="s">
        <v>806</v>
      </c>
      <c r="C748" s="264" t="s">
        <v>289</v>
      </c>
      <c r="D748" s="157" t="s">
        <v>472</v>
      </c>
      <c r="E748" s="44">
        <f t="shared" si="66"/>
        <v>40057</v>
      </c>
      <c r="F748" s="146" t="str">
        <f t="shared" si="62"/>
        <v>2009-10</v>
      </c>
      <c r="G748" s="1"/>
      <c r="H748" s="161"/>
      <c r="I748" s="37"/>
      <c r="J748" s="135">
        <f t="shared" si="65"/>
        <v>0.9161881535038825</v>
      </c>
      <c r="K748" s="112"/>
      <c r="L748" s="37">
        <v>43.350746283100001</v>
      </c>
      <c r="M748" s="37" t="s">
        <v>509</v>
      </c>
      <c r="N748" s="37">
        <v>1165.0878048780487</v>
      </c>
      <c r="O748" s="130">
        <f t="shared" si="63"/>
        <v>50507.425826802209</v>
      </c>
      <c r="P748" s="132">
        <f t="shared" si="64"/>
        <v>46274.305206492223</v>
      </c>
      <c r="Q748" s="262">
        <v>1</v>
      </c>
      <c r="R748" s="92"/>
    </row>
    <row r="749" spans="1:18" x14ac:dyDescent="0.25">
      <c r="A749" s="326">
        <v>40057</v>
      </c>
      <c r="B749" s="326" t="s">
        <v>806</v>
      </c>
      <c r="C749" s="264" t="s">
        <v>289</v>
      </c>
      <c r="D749" s="157" t="s">
        <v>472</v>
      </c>
      <c r="E749" s="44">
        <f t="shared" si="66"/>
        <v>40057</v>
      </c>
      <c r="F749" s="146" t="str">
        <f t="shared" si="62"/>
        <v>2009-10</v>
      </c>
      <c r="G749" s="1"/>
      <c r="H749" s="161"/>
      <c r="I749" s="37"/>
      <c r="J749" s="135">
        <f t="shared" si="65"/>
        <v>0.9161881535038825</v>
      </c>
      <c r="K749" s="112"/>
      <c r="L749" s="37">
        <v>4.9764771676399997</v>
      </c>
      <c r="M749" s="37" t="s">
        <v>509</v>
      </c>
      <c r="N749" s="37">
        <v>1165.0878048780487</v>
      </c>
      <c r="O749" s="130">
        <f t="shared" si="63"/>
        <v>5798.0328592714168</v>
      </c>
      <c r="P749" s="132">
        <f t="shared" si="64"/>
        <v>5312.0890192907154</v>
      </c>
      <c r="Q749" s="262">
        <v>1</v>
      </c>
      <c r="R749" s="92"/>
    </row>
    <row r="750" spans="1:18" x14ac:dyDescent="0.25">
      <c r="A750" s="326">
        <v>40057</v>
      </c>
      <c r="B750" s="326" t="s">
        <v>806</v>
      </c>
      <c r="C750" s="264" t="s">
        <v>289</v>
      </c>
      <c r="D750" s="157" t="s">
        <v>472</v>
      </c>
      <c r="E750" s="44">
        <f t="shared" si="66"/>
        <v>40057</v>
      </c>
      <c r="F750" s="146" t="str">
        <f t="shared" si="62"/>
        <v>2009-10</v>
      </c>
      <c r="G750" s="1"/>
      <c r="H750" s="161"/>
      <c r="I750" s="37"/>
      <c r="J750" s="135">
        <f t="shared" si="65"/>
        <v>0.9161881535038825</v>
      </c>
      <c r="K750" s="112"/>
      <c r="L750" s="37">
        <v>17.794935675800001</v>
      </c>
      <c r="M750" s="37" t="s">
        <v>509</v>
      </c>
      <c r="N750" s="37">
        <v>1338.5980487804875</v>
      </c>
      <c r="O750" s="130">
        <f t="shared" si="63"/>
        <v>23820.266173800166</v>
      </c>
      <c r="P750" s="132">
        <f t="shared" si="64"/>
        <v>21823.845681744966</v>
      </c>
      <c r="Q750" s="262">
        <v>1</v>
      </c>
      <c r="R750" s="92"/>
    </row>
    <row r="751" spans="1:18" x14ac:dyDescent="0.25">
      <c r="A751" s="326">
        <v>40057</v>
      </c>
      <c r="B751" s="326" t="s">
        <v>806</v>
      </c>
      <c r="C751" s="264" t="s">
        <v>289</v>
      </c>
      <c r="D751" s="157" t="s">
        <v>472</v>
      </c>
      <c r="E751" s="44">
        <f t="shared" si="66"/>
        <v>40057</v>
      </c>
      <c r="F751" s="146" t="str">
        <f t="shared" si="62"/>
        <v>2009-10</v>
      </c>
      <c r="G751" s="1"/>
      <c r="H751" s="161"/>
      <c r="I751" s="37"/>
      <c r="J751" s="135">
        <f t="shared" si="65"/>
        <v>0.9161881535038825</v>
      </c>
      <c r="K751" s="112"/>
      <c r="L751" s="37">
        <v>10.7858035023</v>
      </c>
      <c r="M751" s="37" t="s">
        <v>509</v>
      </c>
      <c r="N751" s="37">
        <v>1338.5980487804875</v>
      </c>
      <c r="O751" s="130">
        <f t="shared" si="63"/>
        <v>14437.855522708529</v>
      </c>
      <c r="P751" s="132">
        <f t="shared" si="64"/>
        <v>13227.792191906159</v>
      </c>
      <c r="Q751" s="262">
        <v>1</v>
      </c>
      <c r="R751" s="92"/>
    </row>
    <row r="752" spans="1:18" x14ac:dyDescent="0.25">
      <c r="A752" s="326">
        <v>40057</v>
      </c>
      <c r="B752" s="326" t="s">
        <v>806</v>
      </c>
      <c r="C752" s="264" t="s">
        <v>289</v>
      </c>
      <c r="D752" s="157" t="s">
        <v>472</v>
      </c>
      <c r="E752" s="44">
        <f t="shared" si="66"/>
        <v>40057</v>
      </c>
      <c r="F752" s="146" t="str">
        <f t="shared" si="62"/>
        <v>2009-10</v>
      </c>
      <c r="G752" s="1"/>
      <c r="H752" s="161"/>
      <c r="I752" s="37"/>
      <c r="J752" s="135">
        <f t="shared" si="65"/>
        <v>0.9161881535038825</v>
      </c>
      <c r="K752" s="112"/>
      <c r="L752" s="37">
        <v>1.7490305886399999</v>
      </c>
      <c r="M752" s="37" t="s">
        <v>509</v>
      </c>
      <c r="N752" s="37">
        <v>479.79317073170722</v>
      </c>
      <c r="O752" s="130">
        <f t="shared" si="63"/>
        <v>839.17293183032984</v>
      </c>
      <c r="P752" s="132">
        <f t="shared" si="64"/>
        <v>768.8402988840694</v>
      </c>
      <c r="Q752" s="262">
        <v>1</v>
      </c>
      <c r="R752" s="92"/>
    </row>
    <row r="753" spans="1:18" x14ac:dyDescent="0.25">
      <c r="A753" s="326">
        <v>40057</v>
      </c>
      <c r="B753" s="326" t="s">
        <v>806</v>
      </c>
      <c r="C753" s="264" t="s">
        <v>289</v>
      </c>
      <c r="D753" s="157" t="s">
        <v>472</v>
      </c>
      <c r="E753" s="44">
        <f t="shared" si="66"/>
        <v>40057</v>
      </c>
      <c r="F753" s="146" t="str">
        <f t="shared" si="62"/>
        <v>2009-10</v>
      </c>
      <c r="G753" s="1"/>
      <c r="H753" s="161"/>
      <c r="I753" s="37"/>
      <c r="J753" s="135">
        <f t="shared" si="65"/>
        <v>0.9161881535038825</v>
      </c>
      <c r="K753" s="112"/>
      <c r="L753" s="37">
        <v>27.7077729648</v>
      </c>
      <c r="M753" s="37" t="s">
        <v>509</v>
      </c>
      <c r="N753" s="37">
        <v>1338.5980487804875</v>
      </c>
      <c r="O753" s="130">
        <f t="shared" si="63"/>
        <v>37089.570826734023</v>
      </c>
      <c r="P753" s="132">
        <f t="shared" si="64"/>
        <v>33981.02540999691</v>
      </c>
      <c r="Q753" s="262">
        <v>1</v>
      </c>
      <c r="R753" s="92"/>
    </row>
    <row r="754" spans="1:18" x14ac:dyDescent="0.25">
      <c r="A754" s="326">
        <v>40057</v>
      </c>
      <c r="B754" s="326" t="s">
        <v>806</v>
      </c>
      <c r="C754" s="264" t="s">
        <v>289</v>
      </c>
      <c r="D754" s="157" t="s">
        <v>472</v>
      </c>
      <c r="E754" s="44">
        <f t="shared" si="66"/>
        <v>40057</v>
      </c>
      <c r="F754" s="146" t="str">
        <f t="shared" si="62"/>
        <v>2009-10</v>
      </c>
      <c r="G754" s="1"/>
      <c r="H754" s="161"/>
      <c r="I754" s="37"/>
      <c r="J754" s="135">
        <f t="shared" si="65"/>
        <v>0.9161881535038825</v>
      </c>
      <c r="K754" s="112"/>
      <c r="L754" s="37">
        <v>19.698122270900001</v>
      </c>
      <c r="M754" s="37" t="s">
        <v>509</v>
      </c>
      <c r="N754" s="37">
        <v>1338.5980487804875</v>
      </c>
      <c r="O754" s="130">
        <f t="shared" si="63"/>
        <v>26367.868036466207</v>
      </c>
      <c r="P754" s="132">
        <f t="shared" si="64"/>
        <v>24157.928328164016</v>
      </c>
      <c r="Q754" s="262">
        <v>1</v>
      </c>
      <c r="R754" s="92"/>
    </row>
    <row r="755" spans="1:18" x14ac:dyDescent="0.25">
      <c r="A755" s="326">
        <v>40057</v>
      </c>
      <c r="B755" s="326" t="s">
        <v>806</v>
      </c>
      <c r="C755" s="264" t="s">
        <v>289</v>
      </c>
      <c r="D755" s="157" t="s">
        <v>472</v>
      </c>
      <c r="E755" s="44">
        <f t="shared" si="66"/>
        <v>40057</v>
      </c>
      <c r="F755" s="146" t="str">
        <f t="shared" si="62"/>
        <v>2009-10</v>
      </c>
      <c r="G755" s="1"/>
      <c r="H755" s="161"/>
      <c r="I755" s="37"/>
      <c r="J755" s="135">
        <f t="shared" si="65"/>
        <v>0.9161881535038825</v>
      </c>
      <c r="K755" s="112"/>
      <c r="L755" s="37">
        <v>10.310087341999999</v>
      </c>
      <c r="M755" s="37" t="s">
        <v>509</v>
      </c>
      <c r="N755" s="37">
        <v>1338.5980487804875</v>
      </c>
      <c r="O755" s="130">
        <f t="shared" si="63"/>
        <v>13801.062798757601</v>
      </c>
      <c r="P755" s="132">
        <f t="shared" si="64"/>
        <v>12644.370241984851</v>
      </c>
      <c r="Q755" s="262">
        <v>1</v>
      </c>
      <c r="R755" s="92"/>
    </row>
    <row r="756" spans="1:18" x14ac:dyDescent="0.25">
      <c r="A756" s="326">
        <v>40057</v>
      </c>
      <c r="B756" s="326" t="s">
        <v>806</v>
      </c>
      <c r="C756" s="264" t="s">
        <v>289</v>
      </c>
      <c r="D756" s="157" t="s">
        <v>472</v>
      </c>
      <c r="E756" s="44">
        <f t="shared" si="66"/>
        <v>40057</v>
      </c>
      <c r="F756" s="146" t="str">
        <f t="shared" si="62"/>
        <v>2009-10</v>
      </c>
      <c r="G756" s="1"/>
      <c r="H756" s="161"/>
      <c r="I756" s="37"/>
      <c r="J756" s="135">
        <f t="shared" si="65"/>
        <v>0.9161881535038825</v>
      </c>
      <c r="K756" s="112"/>
      <c r="L756" s="37">
        <v>2.8256201089299999</v>
      </c>
      <c r="M756" s="37" t="s">
        <v>509</v>
      </c>
      <c r="N756" s="37">
        <v>1338.5980487804875</v>
      </c>
      <c r="O756" s="130">
        <f t="shared" si="63"/>
        <v>3782.3695644086065</v>
      </c>
      <c r="P756" s="132">
        <f t="shared" si="64"/>
        <v>3465.3621870848056</v>
      </c>
      <c r="Q756" s="262">
        <v>1</v>
      </c>
      <c r="R756" s="92"/>
    </row>
    <row r="757" spans="1:18" x14ac:dyDescent="0.25">
      <c r="A757" s="326">
        <v>40057</v>
      </c>
      <c r="B757" s="326" t="s">
        <v>806</v>
      </c>
      <c r="C757" s="264" t="s">
        <v>289</v>
      </c>
      <c r="D757" s="157" t="s">
        <v>472</v>
      </c>
      <c r="E757" s="44">
        <f t="shared" si="66"/>
        <v>40057</v>
      </c>
      <c r="F757" s="146" t="str">
        <f t="shared" si="62"/>
        <v>2009-10</v>
      </c>
      <c r="G757" s="1"/>
      <c r="H757" s="161"/>
      <c r="I757" s="37"/>
      <c r="J757" s="135">
        <f t="shared" si="65"/>
        <v>0.9161881535038825</v>
      </c>
      <c r="K757" s="112"/>
      <c r="L757" s="37">
        <v>28.013610930500001</v>
      </c>
      <c r="M757" s="37" t="s">
        <v>509</v>
      </c>
      <c r="N757" s="37">
        <v>1338.5980487804875</v>
      </c>
      <c r="O757" s="130">
        <f t="shared" si="63"/>
        <v>37498.96493086304</v>
      </c>
      <c r="P757" s="132">
        <f t="shared" si="64"/>
        <v>34356.107438314255</v>
      </c>
      <c r="Q757" s="262">
        <v>1</v>
      </c>
      <c r="R757" s="92"/>
    </row>
    <row r="758" spans="1:18" x14ac:dyDescent="0.25">
      <c r="A758" s="326">
        <v>40057</v>
      </c>
      <c r="B758" s="326" t="s">
        <v>806</v>
      </c>
      <c r="C758" s="264" t="s">
        <v>289</v>
      </c>
      <c r="D758" s="157" t="s">
        <v>472</v>
      </c>
      <c r="E758" s="44">
        <f t="shared" si="66"/>
        <v>40057</v>
      </c>
      <c r="F758" s="146" t="str">
        <f t="shared" si="62"/>
        <v>2009-10</v>
      </c>
      <c r="G758" s="1"/>
      <c r="H758" s="161"/>
      <c r="I758" s="37"/>
      <c r="J758" s="135">
        <f t="shared" si="65"/>
        <v>0.9161881535038825</v>
      </c>
      <c r="K758" s="112"/>
      <c r="L758" s="37">
        <v>19.007528113900001</v>
      </c>
      <c r="M758" s="37" t="s">
        <v>509</v>
      </c>
      <c r="N758" s="37">
        <v>4416.6341463414628</v>
      </c>
      <c r="O758" s="130">
        <f t="shared" si="63"/>
        <v>83949.297705396093</v>
      </c>
      <c r="P758" s="132">
        <f t="shared" si="64"/>
        <v>76913.352052654562</v>
      </c>
      <c r="Q758" s="262">
        <v>1</v>
      </c>
      <c r="R758" s="92"/>
    </row>
    <row r="759" spans="1:18" x14ac:dyDescent="0.25">
      <c r="A759" s="326">
        <v>40057</v>
      </c>
      <c r="B759" s="326" t="s">
        <v>806</v>
      </c>
      <c r="C759" s="264" t="s">
        <v>289</v>
      </c>
      <c r="D759" s="157" t="s">
        <v>472</v>
      </c>
      <c r="E759" s="44">
        <f t="shared" si="66"/>
        <v>40057</v>
      </c>
      <c r="F759" s="146" t="str">
        <f t="shared" si="62"/>
        <v>2009-10</v>
      </c>
      <c r="G759" s="1"/>
      <c r="H759" s="161"/>
      <c r="I759" s="37"/>
      <c r="J759" s="135">
        <f t="shared" si="65"/>
        <v>0.9161881535038825</v>
      </c>
      <c r="K759" s="112"/>
      <c r="L759" s="37">
        <v>1.7486832188799999</v>
      </c>
      <c r="M759" s="37" t="s">
        <v>509</v>
      </c>
      <c r="N759" s="37">
        <v>479.79317073170722</v>
      </c>
      <c r="O759" s="130">
        <f t="shared" si="63"/>
        <v>839.00626619176319</v>
      </c>
      <c r="P759" s="132">
        <f t="shared" si="64"/>
        <v>768.68760180041841</v>
      </c>
      <c r="Q759" s="262">
        <v>1</v>
      </c>
      <c r="R759" s="92"/>
    </row>
    <row r="760" spans="1:18" x14ac:dyDescent="0.25">
      <c r="A760" s="326">
        <v>40057</v>
      </c>
      <c r="B760" s="326" t="s">
        <v>806</v>
      </c>
      <c r="C760" s="264" t="s">
        <v>289</v>
      </c>
      <c r="D760" s="157" t="s">
        <v>472</v>
      </c>
      <c r="E760" s="44">
        <f t="shared" si="66"/>
        <v>40057</v>
      </c>
      <c r="F760" s="146" t="str">
        <f t="shared" si="62"/>
        <v>2009-10</v>
      </c>
      <c r="G760" s="1"/>
      <c r="H760" s="161"/>
      <c r="I760" s="37"/>
      <c r="J760" s="135">
        <f t="shared" si="65"/>
        <v>0.9161881535038825</v>
      </c>
      <c r="K760" s="112"/>
      <c r="L760" s="37">
        <v>30.476725484500001</v>
      </c>
      <c r="M760" s="37" t="s">
        <v>509</v>
      </c>
      <c r="N760" s="37">
        <v>1338.5980487804875</v>
      </c>
      <c r="O760" s="130">
        <f t="shared" si="63"/>
        <v>40796.085266770257</v>
      </c>
      <c r="P760" s="132">
        <f t="shared" si="64"/>
        <v>37376.890030749186</v>
      </c>
      <c r="Q760" s="262">
        <v>1</v>
      </c>
      <c r="R760" s="92"/>
    </row>
    <row r="761" spans="1:18" x14ac:dyDescent="0.25">
      <c r="A761" s="326">
        <v>40057</v>
      </c>
      <c r="B761" s="326" t="s">
        <v>806</v>
      </c>
      <c r="C761" s="264" t="s">
        <v>289</v>
      </c>
      <c r="D761" s="157" t="s">
        <v>290</v>
      </c>
      <c r="E761" s="44">
        <f t="shared" si="66"/>
        <v>40057</v>
      </c>
      <c r="F761" s="146" t="str">
        <f t="shared" si="62"/>
        <v>2009-10</v>
      </c>
      <c r="G761" s="1"/>
      <c r="H761" s="161"/>
      <c r="I761" s="37"/>
      <c r="J761" s="135">
        <f t="shared" si="65"/>
        <v>0.9161881535038825</v>
      </c>
      <c r="K761" s="112"/>
      <c r="L761" s="37">
        <v>11.663920073</v>
      </c>
      <c r="M761" s="37" t="s">
        <v>509</v>
      </c>
      <c r="N761" s="37">
        <v>1165.0878048780487</v>
      </c>
      <c r="O761" s="130">
        <f t="shared" si="63"/>
        <v>13589.49103412458</v>
      </c>
      <c r="P761" s="132">
        <f t="shared" si="64"/>
        <v>12450.530697612165</v>
      </c>
      <c r="Q761" s="262">
        <v>1</v>
      </c>
      <c r="R761" s="92"/>
    </row>
    <row r="762" spans="1:18" x14ac:dyDescent="0.25">
      <c r="A762" s="326">
        <v>40057</v>
      </c>
      <c r="B762" s="326" t="s">
        <v>806</v>
      </c>
      <c r="C762" s="264" t="s">
        <v>289</v>
      </c>
      <c r="D762" s="157" t="s">
        <v>290</v>
      </c>
      <c r="E762" s="44">
        <f t="shared" si="66"/>
        <v>40057</v>
      </c>
      <c r="F762" s="146" t="str">
        <f t="shared" si="62"/>
        <v>2009-10</v>
      </c>
      <c r="G762" s="1"/>
      <c r="H762" s="161"/>
      <c r="I762" s="37"/>
      <c r="J762" s="135">
        <f t="shared" si="65"/>
        <v>0.9161881535038825</v>
      </c>
      <c r="K762" s="112"/>
      <c r="L762" s="37">
        <v>3.14052368245</v>
      </c>
      <c r="M762" s="37" t="s">
        <v>509</v>
      </c>
      <c r="N762" s="37">
        <v>1165.0878048780487</v>
      </c>
      <c r="O762" s="130">
        <f t="shared" si="63"/>
        <v>3658.9858433531967</v>
      </c>
      <c r="P762" s="132">
        <f t="shared" si="64"/>
        <v>3352.3194835186114</v>
      </c>
      <c r="Q762" s="262">
        <v>1</v>
      </c>
      <c r="R762" s="92"/>
    </row>
    <row r="763" spans="1:18" x14ac:dyDescent="0.25">
      <c r="A763" s="326">
        <v>40057</v>
      </c>
      <c r="B763" s="326" t="s">
        <v>806</v>
      </c>
      <c r="C763" s="264" t="s">
        <v>289</v>
      </c>
      <c r="D763" s="157" t="s">
        <v>290</v>
      </c>
      <c r="E763" s="44">
        <f t="shared" si="66"/>
        <v>40057</v>
      </c>
      <c r="F763" s="146" t="str">
        <f t="shared" si="62"/>
        <v>2009-10</v>
      </c>
      <c r="G763" s="1"/>
      <c r="H763" s="161"/>
      <c r="I763" s="37"/>
      <c r="J763" s="135">
        <f t="shared" si="65"/>
        <v>0.9161881535038825</v>
      </c>
      <c r="K763" s="112"/>
      <c r="L763" s="37">
        <v>4.6338864897600001</v>
      </c>
      <c r="M763" s="37" t="s">
        <v>509</v>
      </c>
      <c r="N763" s="37">
        <v>1165.0878048780487</v>
      </c>
      <c r="O763" s="130">
        <f t="shared" si="63"/>
        <v>5398.8846384085246</v>
      </c>
      <c r="P763" s="132">
        <f t="shared" si="64"/>
        <v>4946.3941478439829</v>
      </c>
      <c r="Q763" s="262">
        <v>1</v>
      </c>
      <c r="R763" s="92"/>
    </row>
    <row r="764" spans="1:18" x14ac:dyDescent="0.25">
      <c r="A764" s="326">
        <v>40057</v>
      </c>
      <c r="B764" s="326" t="s">
        <v>806</v>
      </c>
      <c r="C764" s="264" t="s">
        <v>289</v>
      </c>
      <c r="D764" s="157" t="s">
        <v>290</v>
      </c>
      <c r="E764" s="44">
        <f t="shared" si="66"/>
        <v>40057</v>
      </c>
      <c r="F764" s="146" t="str">
        <f t="shared" si="62"/>
        <v>2009-10</v>
      </c>
      <c r="G764" s="1"/>
      <c r="H764" s="161"/>
      <c r="I764" s="37"/>
      <c r="J764" s="135">
        <f t="shared" si="65"/>
        <v>0.9161881535038825</v>
      </c>
      <c r="K764" s="112"/>
      <c r="L764" s="37">
        <v>2.1436049286699999</v>
      </c>
      <c r="M764" s="37" t="s">
        <v>509</v>
      </c>
      <c r="N764" s="37">
        <v>1165.0878048780487</v>
      </c>
      <c r="O764" s="130">
        <f t="shared" si="63"/>
        <v>2497.4879608698961</v>
      </c>
      <c r="P764" s="132">
        <f t="shared" si="64"/>
        <v>2288.1688832675668</v>
      </c>
      <c r="Q764" s="262">
        <v>1</v>
      </c>
      <c r="R764" s="92"/>
    </row>
    <row r="765" spans="1:18" x14ac:dyDescent="0.25">
      <c r="A765" s="326">
        <v>40057</v>
      </c>
      <c r="B765" s="326" t="s">
        <v>806</v>
      </c>
      <c r="C765" s="264" t="s">
        <v>289</v>
      </c>
      <c r="D765" s="157" t="s">
        <v>290</v>
      </c>
      <c r="E765" s="44">
        <f t="shared" si="66"/>
        <v>40057</v>
      </c>
      <c r="F765" s="146" t="str">
        <f t="shared" si="62"/>
        <v>2009-10</v>
      </c>
      <c r="G765" s="1"/>
      <c r="H765" s="161"/>
      <c r="I765" s="37"/>
      <c r="J765" s="135">
        <f t="shared" si="65"/>
        <v>0.9161881535038825</v>
      </c>
      <c r="K765" s="112"/>
      <c r="L765" s="37">
        <v>2.2481781512999999</v>
      </c>
      <c r="M765" s="37" t="s">
        <v>509</v>
      </c>
      <c r="N765" s="37">
        <v>479.79317073170722</v>
      </c>
      <c r="O765" s="130">
        <f t="shared" si="63"/>
        <v>1078.6605235819748</v>
      </c>
      <c r="P765" s="132">
        <f t="shared" si="64"/>
        <v>988.25599335810057</v>
      </c>
      <c r="Q765" s="262">
        <v>1</v>
      </c>
      <c r="R765" s="92"/>
    </row>
    <row r="766" spans="1:18" x14ac:dyDescent="0.25">
      <c r="A766" s="326">
        <v>40057</v>
      </c>
      <c r="B766" s="326" t="s">
        <v>806</v>
      </c>
      <c r="C766" s="264" t="s">
        <v>289</v>
      </c>
      <c r="D766" s="157" t="s">
        <v>290</v>
      </c>
      <c r="E766" s="44">
        <f t="shared" si="66"/>
        <v>40057</v>
      </c>
      <c r="F766" s="146" t="str">
        <f t="shared" si="62"/>
        <v>2009-10</v>
      </c>
      <c r="G766" s="1"/>
      <c r="H766" s="161"/>
      <c r="I766" s="37"/>
      <c r="J766" s="135">
        <f t="shared" si="65"/>
        <v>0.9161881535038825</v>
      </c>
      <c r="K766" s="112"/>
      <c r="L766" s="37">
        <v>55.2253490023</v>
      </c>
      <c r="M766" s="37" t="s">
        <v>509</v>
      </c>
      <c r="N766" s="37">
        <v>1165.0878048780487</v>
      </c>
      <c r="O766" s="130">
        <f t="shared" si="63"/>
        <v>64342.380642713841</v>
      </c>
      <c r="P766" s="132">
        <f t="shared" si="64"/>
        <v>58949.726913091945</v>
      </c>
      <c r="Q766" s="262">
        <v>1</v>
      </c>
      <c r="R766" s="92"/>
    </row>
    <row r="767" spans="1:18" x14ac:dyDescent="0.25">
      <c r="A767" s="326">
        <v>40057</v>
      </c>
      <c r="B767" s="326" t="s">
        <v>806</v>
      </c>
      <c r="C767" s="264" t="s">
        <v>289</v>
      </c>
      <c r="D767" s="157" t="s">
        <v>290</v>
      </c>
      <c r="E767" s="44">
        <f t="shared" si="66"/>
        <v>40057</v>
      </c>
      <c r="F767" s="146" t="str">
        <f t="shared" si="62"/>
        <v>2009-10</v>
      </c>
      <c r="G767" s="1"/>
      <c r="H767" s="161"/>
      <c r="I767" s="37"/>
      <c r="J767" s="135">
        <f t="shared" si="65"/>
        <v>0.9161881535038825</v>
      </c>
      <c r="K767" s="112"/>
      <c r="L767" s="37">
        <v>26.5722703289</v>
      </c>
      <c r="M767" s="37" t="s">
        <v>509</v>
      </c>
      <c r="N767" s="37">
        <v>1165.0878048780487</v>
      </c>
      <c r="O767" s="130">
        <f t="shared" si="63"/>
        <v>30959.028108124206</v>
      </c>
      <c r="P767" s="132">
        <f t="shared" si="64"/>
        <v>28364.294796657112</v>
      </c>
      <c r="Q767" s="262">
        <v>1</v>
      </c>
      <c r="R767" s="92"/>
    </row>
    <row r="768" spans="1:18" x14ac:dyDescent="0.25">
      <c r="A768" s="326">
        <v>40057</v>
      </c>
      <c r="B768" s="326" t="s">
        <v>806</v>
      </c>
      <c r="C768" s="264" t="s">
        <v>289</v>
      </c>
      <c r="D768" s="157" t="s">
        <v>290</v>
      </c>
      <c r="E768" s="44">
        <f t="shared" si="66"/>
        <v>40057</v>
      </c>
      <c r="F768" s="146" t="str">
        <f t="shared" ref="F768:F831" si="67">IF(E768="","-",IF(OR(E768&lt;$E$15,E768&gt;$E$16),"ERROR - date outside of range",IF(MONTH(E768)&gt;=7,YEAR(E768)&amp;"-"&amp;IF(YEAR(E768)=1999,"00",IF(AND(YEAR(E768)&gt;=2000,YEAR(E768)&lt;2009),"0","")&amp;RIGHT(YEAR(E768),2)+1),RIGHT(YEAR(E768),4)-1&amp;"-"&amp;RIGHT(YEAR(E768),2))))</f>
        <v>2009-10</v>
      </c>
      <c r="G768" s="1"/>
      <c r="H768" s="161"/>
      <c r="I768" s="37"/>
      <c r="J768" s="135">
        <f t="shared" si="65"/>
        <v>0.9161881535038825</v>
      </c>
      <c r="K768" s="112"/>
      <c r="L768" s="37">
        <v>58.134579936599998</v>
      </c>
      <c r="M768" s="37" t="s">
        <v>509</v>
      </c>
      <c r="N768" s="37">
        <v>4137.5668292682922</v>
      </c>
      <c r="O768" s="130">
        <f t="shared" si="63"/>
        <v>240535.70957912214</v>
      </c>
      <c r="P768" s="132">
        <f t="shared" si="64"/>
        <v>220375.96761104206</v>
      </c>
      <c r="Q768" s="262">
        <v>1</v>
      </c>
      <c r="R768" s="92"/>
    </row>
    <row r="769" spans="1:18" x14ac:dyDescent="0.25">
      <c r="A769" s="326">
        <v>40057</v>
      </c>
      <c r="B769" s="326" t="s">
        <v>806</v>
      </c>
      <c r="C769" s="264" t="s">
        <v>289</v>
      </c>
      <c r="D769" s="157" t="s">
        <v>290</v>
      </c>
      <c r="E769" s="44">
        <f t="shared" si="66"/>
        <v>40057</v>
      </c>
      <c r="F769" s="146" t="str">
        <f t="shared" si="67"/>
        <v>2009-10</v>
      </c>
      <c r="G769" s="1"/>
      <c r="H769" s="161"/>
      <c r="I769" s="37"/>
      <c r="J769" s="135">
        <f t="shared" si="65"/>
        <v>0.9161881535038825</v>
      </c>
      <c r="K769" s="112"/>
      <c r="L769" s="37">
        <v>5.5266360473600002</v>
      </c>
      <c r="M769" s="37" t="s">
        <v>509</v>
      </c>
      <c r="N769" s="37">
        <v>1165.0878048780487</v>
      </c>
      <c r="O769" s="130">
        <f t="shared" si="63"/>
        <v>6439.0162607785587</v>
      </c>
      <c r="P769" s="132">
        <f t="shared" si="64"/>
        <v>5899.3504183441819</v>
      </c>
      <c r="Q769" s="262">
        <v>1</v>
      </c>
      <c r="R769" s="92"/>
    </row>
    <row r="770" spans="1:18" x14ac:dyDescent="0.25">
      <c r="A770" s="326">
        <v>40057</v>
      </c>
      <c r="B770" s="326" t="s">
        <v>806</v>
      </c>
      <c r="C770" s="264" t="s">
        <v>289</v>
      </c>
      <c r="D770" s="157" t="s">
        <v>290</v>
      </c>
      <c r="E770" s="44">
        <f t="shared" si="66"/>
        <v>40057</v>
      </c>
      <c r="F770" s="146" t="str">
        <f t="shared" si="67"/>
        <v>2009-10</v>
      </c>
      <c r="G770" s="1"/>
      <c r="H770" s="161"/>
      <c r="I770" s="37"/>
      <c r="J770" s="135">
        <f t="shared" si="65"/>
        <v>0.9161881535038825</v>
      </c>
      <c r="K770" s="112"/>
      <c r="L770" s="37">
        <v>5.5271346102700001</v>
      </c>
      <c r="M770" s="37" t="s">
        <v>509</v>
      </c>
      <c r="N770" s="37">
        <v>1165.0878048780487</v>
      </c>
      <c r="O770" s="130">
        <f t="shared" si="63"/>
        <v>6439.5971303449633</v>
      </c>
      <c r="P770" s="132">
        <f t="shared" si="64"/>
        <v>5899.8826041596521</v>
      </c>
      <c r="Q770" s="262">
        <v>1</v>
      </c>
      <c r="R770" s="92"/>
    </row>
    <row r="771" spans="1:18" x14ac:dyDescent="0.25">
      <c r="A771" s="326">
        <v>40057</v>
      </c>
      <c r="B771" s="326" t="s">
        <v>806</v>
      </c>
      <c r="C771" s="264" t="s">
        <v>289</v>
      </c>
      <c r="D771" s="157" t="s">
        <v>290</v>
      </c>
      <c r="E771" s="44">
        <f t="shared" si="66"/>
        <v>40057</v>
      </c>
      <c r="F771" s="146" t="str">
        <f t="shared" si="67"/>
        <v>2009-10</v>
      </c>
      <c r="G771" s="1"/>
      <c r="H771" s="161"/>
      <c r="I771" s="37"/>
      <c r="J771" s="135">
        <f t="shared" si="65"/>
        <v>0.9161881535038825</v>
      </c>
      <c r="K771" s="112"/>
      <c r="L771" s="37">
        <v>82.775057432799997</v>
      </c>
      <c r="M771" s="37" t="s">
        <v>509</v>
      </c>
      <c r="N771" s="37">
        <v>1165.0878048780487</v>
      </c>
      <c r="O771" s="130">
        <f t="shared" si="63"/>
        <v>96440.209963035362</v>
      </c>
      <c r="P771" s="132">
        <f t="shared" si="64"/>
        <v>88357.377889560099</v>
      </c>
      <c r="Q771" s="262">
        <v>1</v>
      </c>
      <c r="R771" s="92"/>
    </row>
    <row r="772" spans="1:18" x14ac:dyDescent="0.25">
      <c r="A772" s="326">
        <v>40057</v>
      </c>
      <c r="B772" s="326" t="s">
        <v>806</v>
      </c>
      <c r="C772" s="264" t="s">
        <v>289</v>
      </c>
      <c r="D772" s="157" t="s">
        <v>290</v>
      </c>
      <c r="E772" s="44">
        <f t="shared" si="66"/>
        <v>40057</v>
      </c>
      <c r="F772" s="146" t="str">
        <f t="shared" si="67"/>
        <v>2009-10</v>
      </c>
      <c r="G772" s="1"/>
      <c r="H772" s="161"/>
      <c r="I772" s="37"/>
      <c r="J772" s="135">
        <f t="shared" si="65"/>
        <v>0.9161881535038825</v>
      </c>
      <c r="K772" s="112"/>
      <c r="L772" s="37">
        <v>79.420601282000007</v>
      </c>
      <c r="M772" s="37" t="s">
        <v>509</v>
      </c>
      <c r="N772" s="37">
        <v>1165.0878048780487</v>
      </c>
      <c r="O772" s="130">
        <f t="shared" si="63"/>
        <v>92531.974009740123</v>
      </c>
      <c r="P772" s="132">
        <f t="shared" si="64"/>
        <v>84776.698408053053</v>
      </c>
      <c r="Q772" s="262">
        <v>1</v>
      </c>
      <c r="R772" s="92"/>
    </row>
    <row r="773" spans="1:18" x14ac:dyDescent="0.25">
      <c r="A773" s="326">
        <v>40057</v>
      </c>
      <c r="B773" s="326" t="s">
        <v>806</v>
      </c>
      <c r="C773" s="264" t="s">
        <v>289</v>
      </c>
      <c r="D773" s="157" t="s">
        <v>290</v>
      </c>
      <c r="E773" s="44">
        <f t="shared" si="66"/>
        <v>40057</v>
      </c>
      <c r="F773" s="146" t="str">
        <f t="shared" si="67"/>
        <v>2009-10</v>
      </c>
      <c r="G773" s="1"/>
      <c r="H773" s="161"/>
      <c r="I773" s="37"/>
      <c r="J773" s="135">
        <f t="shared" si="65"/>
        <v>0.9161881535038825</v>
      </c>
      <c r="K773" s="112"/>
      <c r="L773" s="37">
        <v>25.374411126199998</v>
      </c>
      <c r="M773" s="37" t="s">
        <v>509</v>
      </c>
      <c r="N773" s="37">
        <v>1165.0878048780487</v>
      </c>
      <c r="O773" s="130">
        <f t="shared" si="63"/>
        <v>29563.416959097493</v>
      </c>
      <c r="P773" s="132">
        <f t="shared" si="64"/>
        <v>27085.652395020898</v>
      </c>
      <c r="Q773" s="262">
        <v>1</v>
      </c>
      <c r="R773" s="92"/>
    </row>
    <row r="774" spans="1:18" x14ac:dyDescent="0.25">
      <c r="A774" s="326">
        <v>40057</v>
      </c>
      <c r="B774" s="326" t="s">
        <v>806</v>
      </c>
      <c r="C774" s="264" t="s">
        <v>289</v>
      </c>
      <c r="D774" s="157" t="s">
        <v>290</v>
      </c>
      <c r="E774" s="44">
        <f t="shared" si="66"/>
        <v>40057</v>
      </c>
      <c r="F774" s="146" t="str">
        <f t="shared" si="67"/>
        <v>2009-10</v>
      </c>
      <c r="G774" s="1"/>
      <c r="H774" s="161"/>
      <c r="I774" s="37"/>
      <c r="J774" s="135">
        <f t="shared" si="65"/>
        <v>0.9161881535038825</v>
      </c>
      <c r="K774" s="112"/>
      <c r="L774" s="37">
        <v>35.707771773099999</v>
      </c>
      <c r="M774" s="37" t="s">
        <v>509</v>
      </c>
      <c r="N774" s="37">
        <v>1165.0878048780487</v>
      </c>
      <c r="O774" s="130">
        <f t="shared" si="63"/>
        <v>41602.689432207429</v>
      </c>
      <c r="P774" s="132">
        <f t="shared" si="64"/>
        <v>38115.89121168961</v>
      </c>
      <c r="Q774" s="262">
        <v>1</v>
      </c>
      <c r="R774" s="92"/>
    </row>
    <row r="775" spans="1:18" x14ac:dyDescent="0.25">
      <c r="A775" s="326">
        <v>40057</v>
      </c>
      <c r="B775" s="326" t="s">
        <v>806</v>
      </c>
      <c r="C775" s="264" t="s">
        <v>289</v>
      </c>
      <c r="D775" s="157" t="s">
        <v>472</v>
      </c>
      <c r="E775" s="44">
        <f t="shared" si="66"/>
        <v>40057</v>
      </c>
      <c r="F775" s="146" t="str">
        <f t="shared" si="67"/>
        <v>2009-10</v>
      </c>
      <c r="G775" s="1"/>
      <c r="H775" s="161"/>
      <c r="I775" s="37"/>
      <c r="J775" s="135">
        <f t="shared" si="65"/>
        <v>0.9161881535038825</v>
      </c>
      <c r="K775" s="112"/>
      <c r="L775" s="37">
        <v>120.49651414</v>
      </c>
      <c r="M775" s="37" t="s">
        <v>509</v>
      </c>
      <c r="N775" s="37">
        <v>4137.5668292682922</v>
      </c>
      <c r="O775" s="130">
        <f t="shared" si="63"/>
        <v>498562.37994812173</v>
      </c>
      <c r="P775" s="132">
        <f t="shared" si="64"/>
        <v>456776.94629117072</v>
      </c>
      <c r="Q775" s="262">
        <v>1</v>
      </c>
      <c r="R775" s="92"/>
    </row>
    <row r="776" spans="1:18" x14ac:dyDescent="0.25">
      <c r="A776" s="326">
        <v>40057</v>
      </c>
      <c r="B776" s="326" t="s">
        <v>806</v>
      </c>
      <c r="C776" s="264" t="s">
        <v>289</v>
      </c>
      <c r="D776" s="157" t="s">
        <v>290</v>
      </c>
      <c r="E776" s="44">
        <f t="shared" si="66"/>
        <v>40057</v>
      </c>
      <c r="F776" s="146" t="str">
        <f t="shared" si="67"/>
        <v>2009-10</v>
      </c>
      <c r="G776" s="1"/>
      <c r="H776" s="161"/>
      <c r="I776" s="37"/>
      <c r="J776" s="135">
        <f t="shared" si="65"/>
        <v>0.9161881535038825</v>
      </c>
      <c r="K776" s="112"/>
      <c r="L776" s="37">
        <v>17.113547294499998</v>
      </c>
      <c r="M776" s="37" t="s">
        <v>509</v>
      </c>
      <c r="N776" s="37">
        <v>1165.0878048780487</v>
      </c>
      <c r="O776" s="130">
        <f t="shared" si="63"/>
        <v>19938.785251025671</v>
      </c>
      <c r="P776" s="132">
        <f t="shared" si="64"/>
        <v>18267.678842247657</v>
      </c>
      <c r="Q776" s="262">
        <v>1</v>
      </c>
      <c r="R776" s="92"/>
    </row>
    <row r="777" spans="1:18" x14ac:dyDescent="0.25">
      <c r="A777" s="326">
        <v>40057</v>
      </c>
      <c r="B777" s="326" t="s">
        <v>806</v>
      </c>
      <c r="C777" s="264" t="s">
        <v>289</v>
      </c>
      <c r="D777" s="157" t="s">
        <v>290</v>
      </c>
      <c r="E777" s="44">
        <f t="shared" si="66"/>
        <v>40057</v>
      </c>
      <c r="F777" s="146" t="str">
        <f t="shared" si="67"/>
        <v>2009-10</v>
      </c>
      <c r="G777" s="1"/>
      <c r="H777" s="161"/>
      <c r="I777" s="37"/>
      <c r="J777" s="135">
        <f t="shared" si="65"/>
        <v>0.9161881535038825</v>
      </c>
      <c r="K777" s="112"/>
      <c r="L777" s="37">
        <v>24.040991427800002</v>
      </c>
      <c r="M777" s="37" t="s">
        <v>509</v>
      </c>
      <c r="N777" s="37">
        <v>1165.0878048780487</v>
      </c>
      <c r="O777" s="130">
        <f t="shared" si="63"/>
        <v>28009.865929707488</v>
      </c>
      <c r="P777" s="132">
        <f t="shared" si="64"/>
        <v>25662.307346030011</v>
      </c>
      <c r="Q777" s="262">
        <v>1</v>
      </c>
      <c r="R777" s="92"/>
    </row>
    <row r="778" spans="1:18" x14ac:dyDescent="0.25">
      <c r="A778" s="326">
        <v>40057</v>
      </c>
      <c r="B778" s="326" t="s">
        <v>806</v>
      </c>
      <c r="C778" s="264" t="s">
        <v>289</v>
      </c>
      <c r="D778" s="157" t="s">
        <v>290</v>
      </c>
      <c r="E778" s="44">
        <f t="shared" si="66"/>
        <v>40057</v>
      </c>
      <c r="F778" s="146" t="str">
        <f t="shared" si="67"/>
        <v>2009-10</v>
      </c>
      <c r="G778" s="1"/>
      <c r="H778" s="161"/>
      <c r="I778" s="37"/>
      <c r="J778" s="135">
        <f t="shared" si="65"/>
        <v>0.9161881535038825</v>
      </c>
      <c r="K778" s="112"/>
      <c r="L778" s="37">
        <v>5.9540643267800002</v>
      </c>
      <c r="M778" s="37" t="s">
        <v>509</v>
      </c>
      <c r="N778" s="37">
        <v>1165.0878048780487</v>
      </c>
      <c r="O778" s="130">
        <f t="shared" si="63"/>
        <v>6937.0077365908073</v>
      </c>
      <c r="P778" s="132">
        <f t="shared" si="64"/>
        <v>6355.6043090292787</v>
      </c>
      <c r="Q778" s="262">
        <v>1</v>
      </c>
      <c r="R778" s="92"/>
    </row>
    <row r="779" spans="1:18" x14ac:dyDescent="0.25">
      <c r="A779" s="326">
        <v>40057</v>
      </c>
      <c r="B779" s="326" t="s">
        <v>806</v>
      </c>
      <c r="C779" s="264" t="s">
        <v>289</v>
      </c>
      <c r="D779" s="157" t="s">
        <v>290</v>
      </c>
      <c r="E779" s="44">
        <f t="shared" si="66"/>
        <v>40057</v>
      </c>
      <c r="F779" s="146" t="str">
        <f t="shared" si="67"/>
        <v>2009-10</v>
      </c>
      <c r="G779" s="1"/>
      <c r="H779" s="161"/>
      <c r="I779" s="37"/>
      <c r="J779" s="135">
        <f t="shared" si="65"/>
        <v>0.9161881535038825</v>
      </c>
      <c r="K779" s="112"/>
      <c r="L779" s="37">
        <v>19.987499563699998</v>
      </c>
      <c r="M779" s="37" t="s">
        <v>509</v>
      </c>
      <c r="N779" s="37">
        <v>4137.5668292682922</v>
      </c>
      <c r="O779" s="130">
        <f t="shared" si="63"/>
        <v>82699.615194779573</v>
      </c>
      <c r="P779" s="132">
        <f t="shared" si="64"/>
        <v>75768.407740786715</v>
      </c>
      <c r="Q779" s="262">
        <v>1</v>
      </c>
      <c r="R779" s="92"/>
    </row>
    <row r="780" spans="1:18" x14ac:dyDescent="0.25">
      <c r="A780" s="326">
        <v>40057</v>
      </c>
      <c r="B780" s="326" t="s">
        <v>806</v>
      </c>
      <c r="C780" s="264" t="s">
        <v>289</v>
      </c>
      <c r="D780" s="157" t="s">
        <v>290</v>
      </c>
      <c r="E780" s="44">
        <f t="shared" si="66"/>
        <v>40057</v>
      </c>
      <c r="F780" s="146" t="str">
        <f t="shared" si="67"/>
        <v>2009-10</v>
      </c>
      <c r="G780" s="1"/>
      <c r="H780" s="161"/>
      <c r="I780" s="37"/>
      <c r="J780" s="135">
        <f t="shared" si="65"/>
        <v>0.9161881535038825</v>
      </c>
      <c r="K780" s="112"/>
      <c r="L780" s="37">
        <v>13.292151799399999</v>
      </c>
      <c r="M780" s="37" t="s">
        <v>509</v>
      </c>
      <c r="N780" s="37">
        <v>1165.0878048780487</v>
      </c>
      <c r="O780" s="130">
        <f t="shared" si="63"/>
        <v>15486.52396206875</v>
      </c>
      <c r="P780" s="132">
        <f t="shared" si="64"/>
        <v>14188.569793001398</v>
      </c>
      <c r="Q780" s="262">
        <v>1</v>
      </c>
      <c r="R780" s="92"/>
    </row>
    <row r="781" spans="1:18" x14ac:dyDescent="0.25">
      <c r="A781" s="326">
        <v>40057</v>
      </c>
      <c r="B781" s="326" t="s">
        <v>806</v>
      </c>
      <c r="C781" s="264" t="s">
        <v>289</v>
      </c>
      <c r="D781" s="157" t="s">
        <v>290</v>
      </c>
      <c r="E781" s="44">
        <f t="shared" si="66"/>
        <v>40057</v>
      </c>
      <c r="F781" s="146" t="str">
        <f t="shared" si="67"/>
        <v>2009-10</v>
      </c>
      <c r="G781" s="1"/>
      <c r="H781" s="161"/>
      <c r="I781" s="37"/>
      <c r="J781" s="135">
        <f t="shared" si="65"/>
        <v>0.9161881535038825</v>
      </c>
      <c r="K781" s="112"/>
      <c r="L781" s="37">
        <v>7.3020880575399998</v>
      </c>
      <c r="M781" s="37" t="s">
        <v>509</v>
      </c>
      <c r="N781" s="37">
        <v>1165.0878048780487</v>
      </c>
      <c r="O781" s="130">
        <f t="shared" si="63"/>
        <v>8507.5737459854936</v>
      </c>
      <c r="P781" s="132">
        <f t="shared" si="64"/>
        <v>7794.538281132558</v>
      </c>
      <c r="Q781" s="262">
        <v>1</v>
      </c>
      <c r="R781" s="92"/>
    </row>
    <row r="782" spans="1:18" x14ac:dyDescent="0.25">
      <c r="A782" s="326">
        <v>40057</v>
      </c>
      <c r="B782" s="326" t="s">
        <v>806</v>
      </c>
      <c r="C782" s="264" t="s">
        <v>289</v>
      </c>
      <c r="D782" s="157" t="s">
        <v>472</v>
      </c>
      <c r="E782" s="44">
        <f t="shared" si="66"/>
        <v>40057</v>
      </c>
      <c r="F782" s="146" t="str">
        <f t="shared" si="67"/>
        <v>2009-10</v>
      </c>
      <c r="G782" s="1"/>
      <c r="H782" s="161"/>
      <c r="I782" s="37"/>
      <c r="J782" s="135">
        <f t="shared" si="65"/>
        <v>0.9161881535038825</v>
      </c>
      <c r="K782" s="112"/>
      <c r="L782" s="37">
        <v>3.9083430881900001</v>
      </c>
      <c r="M782" s="37" t="s">
        <v>509</v>
      </c>
      <c r="N782" s="37">
        <v>1165.0878048780487</v>
      </c>
      <c r="O782" s="130">
        <f t="shared" si="63"/>
        <v>4553.5628693295812</v>
      </c>
      <c r="P782" s="132">
        <f t="shared" si="64"/>
        <v>4171.9203571149101</v>
      </c>
      <c r="Q782" s="262">
        <v>1</v>
      </c>
      <c r="R782" s="92"/>
    </row>
    <row r="783" spans="1:18" x14ac:dyDescent="0.25">
      <c r="A783" s="326">
        <v>40057</v>
      </c>
      <c r="B783" s="326" t="s">
        <v>806</v>
      </c>
      <c r="C783" s="264" t="s">
        <v>289</v>
      </c>
      <c r="D783" s="157" t="s">
        <v>472</v>
      </c>
      <c r="E783" s="44">
        <f t="shared" si="66"/>
        <v>40057</v>
      </c>
      <c r="F783" s="146" t="str">
        <f t="shared" si="67"/>
        <v>2009-10</v>
      </c>
      <c r="G783" s="1"/>
      <c r="H783" s="161"/>
      <c r="I783" s="37"/>
      <c r="J783" s="135">
        <f t="shared" si="65"/>
        <v>0.9161881535038825</v>
      </c>
      <c r="K783" s="112"/>
      <c r="L783" s="37">
        <v>9.7557140179499999</v>
      </c>
      <c r="M783" s="37" t="s">
        <v>509</v>
      </c>
      <c r="N783" s="37">
        <v>1165.0878048780487</v>
      </c>
      <c r="O783" s="130">
        <f t="shared" si="63"/>
        <v>11366.263430191373</v>
      </c>
      <c r="P783" s="132">
        <f t="shared" si="64"/>
        <v>10413.63590434574</v>
      </c>
      <c r="Q783" s="262">
        <v>1</v>
      </c>
      <c r="R783" s="92"/>
    </row>
    <row r="784" spans="1:18" x14ac:dyDescent="0.25">
      <c r="A784" s="326">
        <v>40057</v>
      </c>
      <c r="B784" s="326" t="s">
        <v>806</v>
      </c>
      <c r="C784" s="264" t="s">
        <v>289</v>
      </c>
      <c r="D784" s="157" t="s">
        <v>472</v>
      </c>
      <c r="E784" s="44">
        <f t="shared" si="66"/>
        <v>40057</v>
      </c>
      <c r="F784" s="146" t="str">
        <f t="shared" si="67"/>
        <v>2009-10</v>
      </c>
      <c r="G784" s="1"/>
      <c r="H784" s="161"/>
      <c r="I784" s="37"/>
      <c r="J784" s="135">
        <f t="shared" si="65"/>
        <v>0.9161881535038825</v>
      </c>
      <c r="K784" s="112"/>
      <c r="L784" s="37">
        <v>1.88987036592</v>
      </c>
      <c r="M784" s="37" t="s">
        <v>509</v>
      </c>
      <c r="N784" s="37">
        <v>1165.0878048780487</v>
      </c>
      <c r="O784" s="130">
        <f t="shared" si="63"/>
        <v>2201.8649161338076</v>
      </c>
      <c r="P784" s="132">
        <f t="shared" si="64"/>
        <v>2017.3225517776143</v>
      </c>
      <c r="Q784" s="262">
        <v>1</v>
      </c>
      <c r="R784" s="92"/>
    </row>
    <row r="785" spans="1:18" x14ac:dyDescent="0.25">
      <c r="A785" s="326">
        <v>40057</v>
      </c>
      <c r="B785" s="326" t="s">
        <v>806</v>
      </c>
      <c r="C785" s="264" t="s">
        <v>289</v>
      </c>
      <c r="D785" s="157" t="s">
        <v>472</v>
      </c>
      <c r="E785" s="44">
        <f t="shared" si="66"/>
        <v>40057</v>
      </c>
      <c r="F785" s="146" t="str">
        <f t="shared" si="67"/>
        <v>2009-10</v>
      </c>
      <c r="G785" s="1"/>
      <c r="H785" s="161"/>
      <c r="I785" s="37"/>
      <c r="J785" s="135">
        <f t="shared" si="65"/>
        <v>0.9161881535038825</v>
      </c>
      <c r="K785" s="112"/>
      <c r="L785" s="37">
        <v>33.438248631500002</v>
      </c>
      <c r="M785" s="37" t="s">
        <v>509</v>
      </c>
      <c r="N785" s="37">
        <v>1165.0878048780487</v>
      </c>
      <c r="O785" s="130">
        <f t="shared" si="63"/>
        <v>38958.495697040751</v>
      </c>
      <c r="P785" s="132">
        <f t="shared" si="64"/>
        <v>35693.312235960715</v>
      </c>
      <c r="Q785" s="262">
        <v>1</v>
      </c>
      <c r="R785" s="92"/>
    </row>
    <row r="786" spans="1:18" x14ac:dyDescent="0.25">
      <c r="A786" s="326">
        <v>40057</v>
      </c>
      <c r="B786" s="326" t="s">
        <v>806</v>
      </c>
      <c r="C786" s="264" t="s">
        <v>289</v>
      </c>
      <c r="D786" s="157" t="s">
        <v>472</v>
      </c>
      <c r="E786" s="44">
        <f t="shared" si="66"/>
        <v>40057</v>
      </c>
      <c r="F786" s="146" t="str">
        <f t="shared" si="67"/>
        <v>2009-10</v>
      </c>
      <c r="G786" s="1"/>
      <c r="H786" s="161"/>
      <c r="I786" s="37"/>
      <c r="J786" s="135">
        <f t="shared" si="65"/>
        <v>0.9161881535038825</v>
      </c>
      <c r="K786" s="112"/>
      <c r="L786" s="37">
        <v>6.0029596866899997</v>
      </c>
      <c r="M786" s="37" t="s">
        <v>509</v>
      </c>
      <c r="N786" s="37">
        <v>1165.0878048780487</v>
      </c>
      <c r="O786" s="130">
        <f t="shared" si="63"/>
        <v>6993.9751241370705</v>
      </c>
      <c r="P786" s="132">
        <f t="shared" si="64"/>
        <v>6407.7971546352301</v>
      </c>
      <c r="Q786" s="262">
        <v>1</v>
      </c>
      <c r="R786" s="92"/>
    </row>
    <row r="787" spans="1:18" x14ac:dyDescent="0.25">
      <c r="A787" s="326">
        <v>40057</v>
      </c>
      <c r="B787" s="326" t="s">
        <v>806</v>
      </c>
      <c r="C787" s="264" t="s">
        <v>289</v>
      </c>
      <c r="D787" s="157" t="s">
        <v>472</v>
      </c>
      <c r="E787" s="44">
        <f t="shared" si="66"/>
        <v>40057</v>
      </c>
      <c r="F787" s="146" t="str">
        <f t="shared" si="67"/>
        <v>2009-10</v>
      </c>
      <c r="G787" s="1"/>
      <c r="H787" s="161"/>
      <c r="I787" s="37"/>
      <c r="J787" s="135">
        <f t="shared" si="65"/>
        <v>0.9161881535038825</v>
      </c>
      <c r="K787" s="112"/>
      <c r="L787" s="37">
        <v>9.6805220055200003</v>
      </c>
      <c r="M787" s="37" t="s">
        <v>509</v>
      </c>
      <c r="N787" s="37">
        <v>1165.0878048780487</v>
      </c>
      <c r="O787" s="130">
        <f t="shared" si="63"/>
        <v>11278.658133484943</v>
      </c>
      <c r="P787" s="132">
        <f t="shared" si="64"/>
        <v>10333.372969319116</v>
      </c>
      <c r="Q787" s="262">
        <v>1</v>
      </c>
      <c r="R787" s="92"/>
    </row>
    <row r="788" spans="1:18" x14ac:dyDescent="0.25">
      <c r="A788" s="326">
        <v>40057</v>
      </c>
      <c r="B788" s="326" t="s">
        <v>806</v>
      </c>
      <c r="C788" s="264" t="s">
        <v>289</v>
      </c>
      <c r="D788" s="157" t="s">
        <v>472</v>
      </c>
      <c r="E788" s="44">
        <f t="shared" si="66"/>
        <v>40057</v>
      </c>
      <c r="F788" s="146" t="str">
        <f t="shared" si="67"/>
        <v>2009-10</v>
      </c>
      <c r="G788" s="1"/>
      <c r="H788" s="161"/>
      <c r="I788" s="37"/>
      <c r="J788" s="135">
        <f t="shared" si="65"/>
        <v>0.9161881535038825</v>
      </c>
      <c r="K788" s="112"/>
      <c r="L788" s="37">
        <v>1.74229389025</v>
      </c>
      <c r="M788" s="37" t="s">
        <v>509</v>
      </c>
      <c r="N788" s="37">
        <v>479.79317073170722</v>
      </c>
      <c r="O788" s="130">
        <f t="shared" si="63"/>
        <v>835.94070994952858</v>
      </c>
      <c r="P788" s="132">
        <f t="shared" si="64"/>
        <v>765.87897548738317</v>
      </c>
      <c r="Q788" s="262">
        <v>1</v>
      </c>
      <c r="R788" s="92"/>
    </row>
    <row r="789" spans="1:18" x14ac:dyDescent="0.25">
      <c r="A789" s="326">
        <v>40057</v>
      </c>
      <c r="B789" s="326" t="s">
        <v>806</v>
      </c>
      <c r="C789" s="264" t="s">
        <v>289</v>
      </c>
      <c r="D789" s="157" t="s">
        <v>472</v>
      </c>
      <c r="E789" s="44">
        <f t="shared" si="66"/>
        <v>40057</v>
      </c>
      <c r="F789" s="146" t="str">
        <f t="shared" si="67"/>
        <v>2009-10</v>
      </c>
      <c r="G789" s="1"/>
      <c r="H789" s="161"/>
      <c r="I789" s="37"/>
      <c r="J789" s="135">
        <f t="shared" si="65"/>
        <v>0.9161881535038825</v>
      </c>
      <c r="K789" s="112"/>
      <c r="L789" s="37">
        <v>16.749569367599999</v>
      </c>
      <c r="M789" s="37" t="s">
        <v>509</v>
      </c>
      <c r="N789" s="37">
        <v>1165.0878048780487</v>
      </c>
      <c r="O789" s="130">
        <f t="shared" si="63"/>
        <v>19514.719007149688</v>
      </c>
      <c r="P789" s="132">
        <f t="shared" si="64"/>
        <v>17879.154373307592</v>
      </c>
      <c r="Q789" s="262">
        <v>1</v>
      </c>
      <c r="R789" s="92"/>
    </row>
    <row r="790" spans="1:18" x14ac:dyDescent="0.25">
      <c r="A790" s="326">
        <v>40057</v>
      </c>
      <c r="B790" s="326" t="s">
        <v>806</v>
      </c>
      <c r="C790" s="264" t="s">
        <v>289</v>
      </c>
      <c r="D790" s="157" t="s">
        <v>472</v>
      </c>
      <c r="E790" s="44">
        <f t="shared" si="66"/>
        <v>40057</v>
      </c>
      <c r="F790" s="146" t="str">
        <f t="shared" si="67"/>
        <v>2009-10</v>
      </c>
      <c r="G790" s="1"/>
      <c r="H790" s="161"/>
      <c r="I790" s="37"/>
      <c r="J790" s="135">
        <f t="shared" si="65"/>
        <v>0.9161881535038825</v>
      </c>
      <c r="K790" s="112"/>
      <c r="L790" s="37">
        <v>42.176342112599997</v>
      </c>
      <c r="M790" s="37" t="s">
        <v>509</v>
      </c>
      <c r="N790" s="37">
        <v>1165.0878048780487</v>
      </c>
      <c r="O790" s="130">
        <f t="shared" si="63"/>
        <v>49139.141849754735</v>
      </c>
      <c r="P790" s="132">
        <f t="shared" si="64"/>
        <v>45020.699636092148</v>
      </c>
      <c r="Q790" s="262">
        <v>1</v>
      </c>
      <c r="R790" s="92"/>
    </row>
    <row r="791" spans="1:18" x14ac:dyDescent="0.25">
      <c r="A791" s="326">
        <v>40057</v>
      </c>
      <c r="B791" s="326" t="s">
        <v>806</v>
      </c>
      <c r="C791" s="264" t="s">
        <v>289</v>
      </c>
      <c r="D791" s="157" t="s">
        <v>472</v>
      </c>
      <c r="E791" s="44">
        <f t="shared" si="66"/>
        <v>40057</v>
      </c>
      <c r="F791" s="146" t="str">
        <f t="shared" si="67"/>
        <v>2009-10</v>
      </c>
      <c r="G791" s="1"/>
      <c r="H791" s="161"/>
      <c r="I791" s="37"/>
      <c r="J791" s="135">
        <f t="shared" si="65"/>
        <v>0.9161881535038825</v>
      </c>
      <c r="K791" s="112"/>
      <c r="L791" s="37">
        <v>8.8087811869700001</v>
      </c>
      <c r="M791" s="37" t="s">
        <v>509</v>
      </c>
      <c r="N791" s="37">
        <v>1165.0878048780487</v>
      </c>
      <c r="O791" s="130">
        <f t="shared" si="63"/>
        <v>10263.003536777929</v>
      </c>
      <c r="P791" s="132">
        <f t="shared" si="64"/>
        <v>9402.8422597643857</v>
      </c>
      <c r="Q791" s="262">
        <v>1</v>
      </c>
      <c r="R791" s="92"/>
    </row>
    <row r="792" spans="1:18" x14ac:dyDescent="0.25">
      <c r="A792" s="326">
        <v>40057</v>
      </c>
      <c r="B792" s="326" t="s">
        <v>806</v>
      </c>
      <c r="C792" s="264" t="s">
        <v>289</v>
      </c>
      <c r="D792" s="157" t="s">
        <v>472</v>
      </c>
      <c r="E792" s="44">
        <f t="shared" si="66"/>
        <v>40057</v>
      </c>
      <c r="F792" s="146" t="str">
        <f t="shared" si="67"/>
        <v>2009-10</v>
      </c>
      <c r="G792" s="1"/>
      <c r="H792" s="161"/>
      <c r="I792" s="37"/>
      <c r="J792" s="135">
        <f t="shared" si="65"/>
        <v>0.9161881535038825</v>
      </c>
      <c r="K792" s="112"/>
      <c r="L792" s="37">
        <v>1.7220664911700001</v>
      </c>
      <c r="M792" s="37" t="s">
        <v>509</v>
      </c>
      <c r="N792" s="37">
        <v>479.79317073170722</v>
      </c>
      <c r="O792" s="130">
        <f t="shared" si="63"/>
        <v>826.23574200927987</v>
      </c>
      <c r="P792" s="132">
        <f t="shared" si="64"/>
        <v>756.98739883039241</v>
      </c>
      <c r="Q792" s="262">
        <v>1</v>
      </c>
      <c r="R792" s="92"/>
    </row>
    <row r="793" spans="1:18" x14ac:dyDescent="0.25">
      <c r="A793" s="326">
        <v>40057</v>
      </c>
      <c r="B793" s="326" t="s">
        <v>806</v>
      </c>
      <c r="C793" s="264" t="s">
        <v>289</v>
      </c>
      <c r="D793" s="157" t="s">
        <v>472</v>
      </c>
      <c r="E793" s="44">
        <f t="shared" si="66"/>
        <v>40057</v>
      </c>
      <c r="F793" s="146" t="str">
        <f t="shared" si="67"/>
        <v>2009-10</v>
      </c>
      <c r="G793" s="1"/>
      <c r="H793" s="161"/>
      <c r="I793" s="37"/>
      <c r="J793" s="135">
        <f t="shared" si="65"/>
        <v>0.9161881535038825</v>
      </c>
      <c r="K793" s="112"/>
      <c r="L793" s="37">
        <v>22.983631349100001</v>
      </c>
      <c r="M793" s="37" t="s">
        <v>509</v>
      </c>
      <c r="N793" s="37">
        <v>1165.0878048780487</v>
      </c>
      <c r="O793" s="130">
        <f t="shared" ref="O793:O834" si="68">IF(N793="","-",L793*N793)</f>
        <v>26777.948596649225</v>
      </c>
      <c r="P793" s="132">
        <f t="shared" si="64"/>
        <v>24533.639279385934</v>
      </c>
      <c r="Q793" s="262">
        <v>1</v>
      </c>
      <c r="R793" s="92"/>
    </row>
    <row r="794" spans="1:18" x14ac:dyDescent="0.25">
      <c r="A794" s="326">
        <v>40057</v>
      </c>
      <c r="B794" s="326" t="s">
        <v>806</v>
      </c>
      <c r="C794" s="264" t="s">
        <v>289</v>
      </c>
      <c r="D794" s="157" t="s">
        <v>472</v>
      </c>
      <c r="E794" s="44">
        <f t="shared" si="66"/>
        <v>40057</v>
      </c>
      <c r="F794" s="146" t="str">
        <f t="shared" si="67"/>
        <v>2009-10</v>
      </c>
      <c r="G794" s="1"/>
      <c r="H794" s="161"/>
      <c r="I794" s="37"/>
      <c r="J794" s="135">
        <f t="shared" si="65"/>
        <v>0.9161881535038825</v>
      </c>
      <c r="K794" s="112"/>
      <c r="L794" s="37">
        <v>49.9664944138</v>
      </c>
      <c r="M794" s="37" t="s">
        <v>509</v>
      </c>
      <c r="N794" s="37">
        <v>1338.5980487804875</v>
      </c>
      <c r="O794" s="130">
        <f t="shared" si="68"/>
        <v>66885.051926713801</v>
      </c>
      <c r="P794" s="132">
        <f t="shared" si="64"/>
        <v>61279.292221747215</v>
      </c>
      <c r="Q794" s="262">
        <v>1</v>
      </c>
      <c r="R794" s="92"/>
    </row>
    <row r="795" spans="1:18" x14ac:dyDescent="0.25">
      <c r="A795" s="326">
        <v>40057</v>
      </c>
      <c r="B795" s="326" t="s">
        <v>806</v>
      </c>
      <c r="C795" s="264" t="s">
        <v>289</v>
      </c>
      <c r="D795" s="157" t="s">
        <v>472</v>
      </c>
      <c r="E795" s="44">
        <f t="shared" si="66"/>
        <v>40057</v>
      </c>
      <c r="F795" s="146" t="str">
        <f t="shared" si="67"/>
        <v>2009-10</v>
      </c>
      <c r="G795" s="1"/>
      <c r="H795" s="161"/>
      <c r="I795" s="37"/>
      <c r="J795" s="135">
        <f t="shared" si="65"/>
        <v>0.9161881535038825</v>
      </c>
      <c r="K795" s="112"/>
      <c r="L795" s="37">
        <v>49.9664944138</v>
      </c>
      <c r="M795" s="37" t="s">
        <v>509</v>
      </c>
      <c r="N795" s="37">
        <v>1338.5980487804875</v>
      </c>
      <c r="O795" s="130">
        <f t="shared" si="68"/>
        <v>66885.051926713801</v>
      </c>
      <c r="P795" s="132">
        <f t="shared" ref="P795:P839" si="69">IF(O795="-","-",IF(OR(E795&lt;$E$15,E795&gt;$E$16),0,O795*J795))*Q795</f>
        <v>61279.292221747215</v>
      </c>
      <c r="Q795" s="262">
        <v>1</v>
      </c>
      <c r="R795" s="92"/>
    </row>
    <row r="796" spans="1:18" x14ac:dyDescent="0.25">
      <c r="A796" s="326">
        <v>40057</v>
      </c>
      <c r="B796" s="326" t="s">
        <v>806</v>
      </c>
      <c r="C796" s="264" t="s">
        <v>289</v>
      </c>
      <c r="D796" s="157" t="s">
        <v>472</v>
      </c>
      <c r="E796" s="44">
        <f t="shared" si="66"/>
        <v>40057</v>
      </c>
      <c r="F796" s="146" t="str">
        <f t="shared" si="67"/>
        <v>2009-10</v>
      </c>
      <c r="G796" s="1"/>
      <c r="H796" s="161"/>
      <c r="I796" s="37"/>
      <c r="J796" s="135">
        <f t="shared" si="65"/>
        <v>0.9161881535038825</v>
      </c>
      <c r="K796" s="112"/>
      <c r="L796" s="37">
        <v>62.489103292800003</v>
      </c>
      <c r="M796" s="37" t="s">
        <v>509</v>
      </c>
      <c r="N796" s="37">
        <v>4416.6341463414628</v>
      </c>
      <c r="O796" s="130">
        <f t="shared" si="68"/>
        <v>275991.50737723924</v>
      </c>
      <c r="P796" s="132">
        <f t="shared" si="69"/>
        <v>252860.14952670597</v>
      </c>
      <c r="Q796" s="262">
        <v>1</v>
      </c>
      <c r="R796" s="92"/>
    </row>
    <row r="797" spans="1:18" x14ac:dyDescent="0.25">
      <c r="A797" s="326">
        <v>40057</v>
      </c>
      <c r="B797" s="326" t="s">
        <v>806</v>
      </c>
      <c r="C797" s="264" t="s">
        <v>289</v>
      </c>
      <c r="D797" s="157" t="s">
        <v>472</v>
      </c>
      <c r="E797" s="44">
        <f t="shared" si="66"/>
        <v>40057</v>
      </c>
      <c r="F797" s="146" t="str">
        <f t="shared" si="67"/>
        <v>2009-10</v>
      </c>
      <c r="G797" s="1"/>
      <c r="H797" s="161"/>
      <c r="I797" s="37"/>
      <c r="J797" s="135">
        <f t="shared" ref="J797:J860" si="70">J796</f>
        <v>0.9161881535038825</v>
      </c>
      <c r="K797" s="112"/>
      <c r="L797" s="37">
        <v>63.580471685399999</v>
      </c>
      <c r="M797" s="37" t="s">
        <v>509</v>
      </c>
      <c r="N797" s="37">
        <v>1338.5980487804875</v>
      </c>
      <c r="O797" s="130">
        <f t="shared" si="68"/>
        <v>85108.695338619465</v>
      </c>
      <c r="P797" s="132">
        <f t="shared" si="69"/>
        <v>77975.578429414265</v>
      </c>
      <c r="Q797" s="262">
        <v>1</v>
      </c>
      <c r="R797" s="92"/>
    </row>
    <row r="798" spans="1:18" x14ac:dyDescent="0.25">
      <c r="A798" s="326">
        <v>40057</v>
      </c>
      <c r="B798" s="326" t="s">
        <v>806</v>
      </c>
      <c r="C798" s="264" t="s">
        <v>289</v>
      </c>
      <c r="D798" s="157" t="s">
        <v>472</v>
      </c>
      <c r="E798" s="44">
        <f t="shared" si="66"/>
        <v>40057</v>
      </c>
      <c r="F798" s="146" t="str">
        <f t="shared" si="67"/>
        <v>2009-10</v>
      </c>
      <c r="G798" s="1"/>
      <c r="H798" s="161"/>
      <c r="I798" s="37"/>
      <c r="J798" s="135">
        <f t="shared" si="70"/>
        <v>0.9161881535038825</v>
      </c>
      <c r="K798" s="112"/>
      <c r="L798" s="37">
        <v>67.754660149700001</v>
      </c>
      <c r="M798" s="37" t="s">
        <v>509</v>
      </c>
      <c r="N798" s="37">
        <v>1338.5980487804875</v>
      </c>
      <c r="O798" s="130">
        <f t="shared" si="68"/>
        <v>90696.255872173468</v>
      </c>
      <c r="P798" s="132">
        <f t="shared" si="69"/>
        <v>83094.835197242268</v>
      </c>
      <c r="Q798" s="262">
        <v>1</v>
      </c>
      <c r="R798" s="92"/>
    </row>
    <row r="799" spans="1:18" x14ac:dyDescent="0.25">
      <c r="A799" s="326">
        <v>40057</v>
      </c>
      <c r="B799" s="326" t="s">
        <v>806</v>
      </c>
      <c r="C799" s="264" t="s">
        <v>289</v>
      </c>
      <c r="D799" s="157" t="s">
        <v>472</v>
      </c>
      <c r="E799" s="44">
        <f t="shared" si="66"/>
        <v>40057</v>
      </c>
      <c r="F799" s="146" t="str">
        <f t="shared" si="67"/>
        <v>2009-10</v>
      </c>
      <c r="G799" s="1"/>
      <c r="H799" s="161"/>
      <c r="I799" s="37"/>
      <c r="J799" s="135">
        <f t="shared" si="70"/>
        <v>0.9161881535038825</v>
      </c>
      <c r="K799" s="112"/>
      <c r="L799" s="37">
        <v>9.3919279314999997</v>
      </c>
      <c r="M799" s="37" t="s">
        <v>509</v>
      </c>
      <c r="N799" s="37">
        <v>1338.5980487804875</v>
      </c>
      <c r="O799" s="130">
        <f t="shared" si="68"/>
        <v>12572.01640339286</v>
      </c>
      <c r="P799" s="132">
        <f t="shared" si="69"/>
        <v>11518.332494445025</v>
      </c>
      <c r="Q799" s="262">
        <v>1</v>
      </c>
      <c r="R799" s="92"/>
    </row>
    <row r="800" spans="1:18" x14ac:dyDescent="0.25">
      <c r="A800" s="326">
        <v>40057</v>
      </c>
      <c r="B800" s="326" t="s">
        <v>806</v>
      </c>
      <c r="C800" s="264" t="s">
        <v>289</v>
      </c>
      <c r="D800" s="157" t="s">
        <v>472</v>
      </c>
      <c r="E800" s="44">
        <f t="shared" si="66"/>
        <v>40057</v>
      </c>
      <c r="F800" s="146" t="str">
        <f t="shared" si="67"/>
        <v>2009-10</v>
      </c>
      <c r="G800" s="1"/>
      <c r="H800" s="161"/>
      <c r="I800" s="37"/>
      <c r="J800" s="135">
        <f t="shared" si="70"/>
        <v>0.9161881535038825</v>
      </c>
      <c r="K800" s="112"/>
      <c r="L800" s="37">
        <v>1.74929128506</v>
      </c>
      <c r="M800" s="37" t="s">
        <v>509</v>
      </c>
      <c r="N800" s="37">
        <v>479.79317073170722</v>
      </c>
      <c r="O800" s="130">
        <f t="shared" si="68"/>
        <v>839.29801219228011</v>
      </c>
      <c r="P800" s="132">
        <f t="shared" si="69"/>
        <v>768.95489602992416</v>
      </c>
      <c r="Q800" s="262">
        <v>1</v>
      </c>
      <c r="R800" s="92"/>
    </row>
    <row r="801" spans="1:18" x14ac:dyDescent="0.25">
      <c r="A801" s="326">
        <v>40057</v>
      </c>
      <c r="B801" s="326" t="s">
        <v>806</v>
      </c>
      <c r="C801" s="264" t="s">
        <v>289</v>
      </c>
      <c r="D801" s="157" t="s">
        <v>472</v>
      </c>
      <c r="E801" s="44">
        <f t="shared" si="66"/>
        <v>40057</v>
      </c>
      <c r="F801" s="146" t="str">
        <f t="shared" si="67"/>
        <v>2009-10</v>
      </c>
      <c r="G801" s="1"/>
      <c r="H801" s="161"/>
      <c r="I801" s="37"/>
      <c r="J801" s="135">
        <f t="shared" si="70"/>
        <v>0.9161881535038825</v>
      </c>
      <c r="K801" s="112"/>
      <c r="L801" s="37">
        <v>17.145676892099999</v>
      </c>
      <c r="M801" s="37" t="s">
        <v>509</v>
      </c>
      <c r="N801" s="37">
        <v>1338.5980487804875</v>
      </c>
      <c r="O801" s="130">
        <f t="shared" si="68"/>
        <v>22951.169632785753</v>
      </c>
      <c r="P801" s="132">
        <f t="shared" si="69"/>
        <v>21027.589726616359</v>
      </c>
      <c r="Q801" s="262">
        <v>1</v>
      </c>
      <c r="R801" s="92"/>
    </row>
    <row r="802" spans="1:18" x14ac:dyDescent="0.25">
      <c r="A802" s="326">
        <v>40057</v>
      </c>
      <c r="B802" s="326" t="s">
        <v>806</v>
      </c>
      <c r="C802" s="264" t="s">
        <v>289</v>
      </c>
      <c r="D802" s="157" t="s">
        <v>472</v>
      </c>
      <c r="E802" s="44">
        <f t="shared" si="66"/>
        <v>40057</v>
      </c>
      <c r="F802" s="146" t="str">
        <f t="shared" si="67"/>
        <v>2009-10</v>
      </c>
      <c r="G802" s="1"/>
      <c r="H802" s="161"/>
      <c r="I802" s="37"/>
      <c r="J802" s="135">
        <f t="shared" si="70"/>
        <v>0.9161881535038825</v>
      </c>
      <c r="K802" s="112"/>
      <c r="L802" s="37">
        <v>1.38308712668</v>
      </c>
      <c r="M802" s="37" t="s">
        <v>509</v>
      </c>
      <c r="N802" s="37">
        <v>479.79317073170722</v>
      </c>
      <c r="O802" s="130">
        <f t="shared" si="68"/>
        <v>663.59575790800363</v>
      </c>
      <c r="P802" s="132">
        <f t="shared" si="69"/>
        <v>607.97857211074324</v>
      </c>
      <c r="Q802" s="262">
        <v>1</v>
      </c>
      <c r="R802" s="92"/>
    </row>
    <row r="803" spans="1:18" x14ac:dyDescent="0.25">
      <c r="A803" s="326">
        <v>40057</v>
      </c>
      <c r="B803" s="326" t="s">
        <v>806</v>
      </c>
      <c r="C803" s="264" t="s">
        <v>289</v>
      </c>
      <c r="D803" s="157" t="s">
        <v>472</v>
      </c>
      <c r="E803" s="44">
        <f t="shared" si="66"/>
        <v>40057</v>
      </c>
      <c r="F803" s="146" t="str">
        <f t="shared" si="67"/>
        <v>2009-10</v>
      </c>
      <c r="G803" s="1"/>
      <c r="H803" s="161"/>
      <c r="I803" s="37"/>
      <c r="J803" s="135">
        <f t="shared" si="70"/>
        <v>0.9161881535038825</v>
      </c>
      <c r="K803" s="112"/>
      <c r="L803" s="37">
        <v>50.0046009645</v>
      </c>
      <c r="M803" s="37" t="s">
        <v>509</v>
      </c>
      <c r="N803" s="37">
        <v>1338.5980487804875</v>
      </c>
      <c r="O803" s="130">
        <f t="shared" si="68"/>
        <v>66936.061281126589</v>
      </c>
      <c r="P803" s="132">
        <f t="shared" si="69"/>
        <v>61326.02638797809</v>
      </c>
      <c r="Q803" s="262">
        <v>1</v>
      </c>
      <c r="R803" s="92"/>
    </row>
    <row r="804" spans="1:18" x14ac:dyDescent="0.25">
      <c r="A804" s="326">
        <v>40057</v>
      </c>
      <c r="B804" s="326" t="s">
        <v>806</v>
      </c>
      <c r="C804" s="264" t="s">
        <v>289</v>
      </c>
      <c r="D804" s="157" t="s">
        <v>472</v>
      </c>
      <c r="E804" s="44">
        <f t="shared" si="66"/>
        <v>40057</v>
      </c>
      <c r="F804" s="146" t="str">
        <f t="shared" si="67"/>
        <v>2009-10</v>
      </c>
      <c r="G804" s="1"/>
      <c r="H804" s="161"/>
      <c r="I804" s="37"/>
      <c r="J804" s="135">
        <f t="shared" si="70"/>
        <v>0.9161881535038825</v>
      </c>
      <c r="K804" s="112"/>
      <c r="L804" s="37">
        <v>13.809316601500001</v>
      </c>
      <c r="M804" s="37" t="s">
        <v>509</v>
      </c>
      <c r="N804" s="37">
        <v>1338.5980487804875</v>
      </c>
      <c r="O804" s="130">
        <f t="shared" si="68"/>
        <v>18485.124257759893</v>
      </c>
      <c r="P804" s="132">
        <f t="shared" si="69"/>
        <v>16935.851861006864</v>
      </c>
      <c r="Q804" s="262">
        <v>1</v>
      </c>
      <c r="R804" s="92"/>
    </row>
    <row r="805" spans="1:18" x14ac:dyDescent="0.25">
      <c r="A805" s="326">
        <v>40057</v>
      </c>
      <c r="B805" s="326" t="s">
        <v>806</v>
      </c>
      <c r="C805" s="264" t="s">
        <v>289</v>
      </c>
      <c r="D805" s="157" t="s">
        <v>472</v>
      </c>
      <c r="E805" s="44">
        <f t="shared" si="66"/>
        <v>40057</v>
      </c>
      <c r="F805" s="146" t="str">
        <f t="shared" si="67"/>
        <v>2009-10</v>
      </c>
      <c r="G805" s="1"/>
      <c r="H805" s="161"/>
      <c r="I805" s="37"/>
      <c r="J805" s="135">
        <f t="shared" si="70"/>
        <v>0.9161881535038825</v>
      </c>
      <c r="K805" s="112"/>
      <c r="L805" s="37">
        <v>122.68242727099999</v>
      </c>
      <c r="M805" s="37" t="s">
        <v>509</v>
      </c>
      <c r="N805" s="37">
        <v>1338.5980487804875</v>
      </c>
      <c r="O805" s="130">
        <f t="shared" si="68"/>
        <v>164222.45776461466</v>
      </c>
      <c r="P805" s="132">
        <f t="shared" si="69"/>
        <v>150458.67034323164</v>
      </c>
      <c r="Q805" s="262">
        <v>1</v>
      </c>
      <c r="R805" s="92"/>
    </row>
    <row r="806" spans="1:18" x14ac:dyDescent="0.25">
      <c r="A806" s="326">
        <v>40057</v>
      </c>
      <c r="B806" s="326" t="s">
        <v>806</v>
      </c>
      <c r="C806" s="264" t="s">
        <v>289</v>
      </c>
      <c r="D806" s="157" t="s">
        <v>472</v>
      </c>
      <c r="E806" s="44">
        <f t="shared" si="66"/>
        <v>40057</v>
      </c>
      <c r="F806" s="146" t="str">
        <f t="shared" si="67"/>
        <v>2009-10</v>
      </c>
      <c r="G806" s="1"/>
      <c r="H806" s="161"/>
      <c r="I806" s="37"/>
      <c r="J806" s="135">
        <f t="shared" si="70"/>
        <v>0.9161881535038825</v>
      </c>
      <c r="K806" s="112"/>
      <c r="L806" s="37">
        <v>3.9976534367099998</v>
      </c>
      <c r="M806" s="37" t="s">
        <v>509</v>
      </c>
      <c r="N806" s="37">
        <v>1338.5980487804875</v>
      </c>
      <c r="O806" s="130">
        <f t="shared" si="68"/>
        <v>5351.2510900806155</v>
      </c>
      <c r="P806" s="132">
        <f t="shared" si="69"/>
        <v>4902.7528551565974</v>
      </c>
      <c r="Q806" s="262">
        <v>1</v>
      </c>
      <c r="R806" s="92"/>
    </row>
    <row r="807" spans="1:18" x14ac:dyDescent="0.25">
      <c r="A807" s="326">
        <v>40057</v>
      </c>
      <c r="B807" s="326" t="s">
        <v>806</v>
      </c>
      <c r="C807" s="264" t="s">
        <v>289</v>
      </c>
      <c r="D807" s="157" t="s">
        <v>472</v>
      </c>
      <c r="E807" s="44">
        <f t="shared" si="66"/>
        <v>40057</v>
      </c>
      <c r="F807" s="146" t="str">
        <f t="shared" si="67"/>
        <v>2009-10</v>
      </c>
      <c r="G807" s="1"/>
      <c r="H807" s="161"/>
      <c r="I807" s="37"/>
      <c r="J807" s="135">
        <f t="shared" si="70"/>
        <v>0.9161881535038825</v>
      </c>
      <c r="K807" s="112"/>
      <c r="L807" s="37">
        <v>1.7985888913300001</v>
      </c>
      <c r="M807" s="37" t="s">
        <v>509</v>
      </c>
      <c r="N807" s="37">
        <v>4416.6341463414628</v>
      </c>
      <c r="O807" s="130">
        <f t="shared" si="68"/>
        <v>7943.7091126785135</v>
      </c>
      <c r="P807" s="132">
        <f t="shared" si="69"/>
        <v>7277.9321839168924</v>
      </c>
      <c r="Q807" s="262">
        <v>1</v>
      </c>
      <c r="R807" s="92"/>
    </row>
    <row r="808" spans="1:18" x14ac:dyDescent="0.25">
      <c r="A808" s="326">
        <v>40057</v>
      </c>
      <c r="B808" s="326" t="s">
        <v>806</v>
      </c>
      <c r="C808" s="264" t="s">
        <v>289</v>
      </c>
      <c r="D808" s="157" t="s">
        <v>472</v>
      </c>
      <c r="E808" s="44">
        <f t="shared" ref="E808:E834" si="71">A808</f>
        <v>40057</v>
      </c>
      <c r="F808" s="146" t="str">
        <f t="shared" si="67"/>
        <v>2009-10</v>
      </c>
      <c r="G808" s="1"/>
      <c r="H808" s="161"/>
      <c r="I808" s="37"/>
      <c r="J808" s="135">
        <f t="shared" si="70"/>
        <v>0.9161881535038825</v>
      </c>
      <c r="K808" s="112"/>
      <c r="L808" s="37">
        <v>188.00545997099999</v>
      </c>
      <c r="M808" s="37" t="s">
        <v>509</v>
      </c>
      <c r="N808" s="37">
        <v>1338.5980487804875</v>
      </c>
      <c r="O808" s="130">
        <f t="shared" si="68"/>
        <v>251663.74187725864</v>
      </c>
      <c r="P808" s="132">
        <f t="shared" si="69"/>
        <v>230571.3389744033</v>
      </c>
      <c r="Q808" s="262">
        <v>1</v>
      </c>
      <c r="R808" s="92"/>
    </row>
    <row r="809" spans="1:18" x14ac:dyDescent="0.25">
      <c r="A809" s="326">
        <v>40057</v>
      </c>
      <c r="B809" s="326" t="s">
        <v>806</v>
      </c>
      <c r="C809" s="264" t="s">
        <v>289</v>
      </c>
      <c r="D809" s="157" t="s">
        <v>472</v>
      </c>
      <c r="E809" s="44">
        <f t="shared" si="71"/>
        <v>40057</v>
      </c>
      <c r="F809" s="146" t="str">
        <f t="shared" si="67"/>
        <v>2009-10</v>
      </c>
      <c r="G809" s="1"/>
      <c r="H809" s="161"/>
      <c r="I809" s="37"/>
      <c r="J809" s="135">
        <f t="shared" si="70"/>
        <v>0.9161881535038825</v>
      </c>
      <c r="K809" s="112"/>
      <c r="L809" s="37">
        <v>31.579199118999998</v>
      </c>
      <c r="M809" s="37" t="s">
        <v>509</v>
      </c>
      <c r="N809" s="37">
        <v>1338.5980487804875</v>
      </c>
      <c r="O809" s="130">
        <f t="shared" si="68"/>
        <v>42271.854322743886</v>
      </c>
      <c r="P809" s="132">
        <f t="shared" si="69"/>
        <v>38728.972157139833</v>
      </c>
      <c r="Q809" s="262">
        <v>1</v>
      </c>
      <c r="R809" s="92"/>
    </row>
    <row r="810" spans="1:18" x14ac:dyDescent="0.25">
      <c r="A810" s="326">
        <v>40057</v>
      </c>
      <c r="B810" s="326" t="s">
        <v>806</v>
      </c>
      <c r="C810" s="264" t="s">
        <v>289</v>
      </c>
      <c r="D810" s="157" t="s">
        <v>472</v>
      </c>
      <c r="E810" s="44">
        <f t="shared" si="71"/>
        <v>40057</v>
      </c>
      <c r="F810" s="146" t="str">
        <f t="shared" si="67"/>
        <v>2009-10</v>
      </c>
      <c r="G810" s="1"/>
      <c r="H810" s="161"/>
      <c r="I810" s="37"/>
      <c r="J810" s="135">
        <f t="shared" si="70"/>
        <v>0.9161881535038825</v>
      </c>
      <c r="K810" s="112"/>
      <c r="L810" s="37">
        <v>73.452236420700004</v>
      </c>
      <c r="M810" s="37" t="s">
        <v>509</v>
      </c>
      <c r="N810" s="37">
        <v>1338.5980487804875</v>
      </c>
      <c r="O810" s="130">
        <f t="shared" si="68"/>
        <v>98323.02035131208</v>
      </c>
      <c r="P810" s="132">
        <f t="shared" si="69"/>
        <v>90082.386462593277</v>
      </c>
      <c r="Q810" s="262">
        <v>1</v>
      </c>
      <c r="R810" s="92"/>
    </row>
    <row r="811" spans="1:18" x14ac:dyDescent="0.25">
      <c r="A811" s="326">
        <v>40057</v>
      </c>
      <c r="B811" s="326" t="s">
        <v>806</v>
      </c>
      <c r="C811" s="264" t="s">
        <v>289</v>
      </c>
      <c r="D811" s="157" t="s">
        <v>472</v>
      </c>
      <c r="E811" s="44">
        <f t="shared" si="71"/>
        <v>40057</v>
      </c>
      <c r="F811" s="146" t="str">
        <f t="shared" si="67"/>
        <v>2009-10</v>
      </c>
      <c r="G811" s="1"/>
      <c r="H811" s="161"/>
      <c r="I811" s="37"/>
      <c r="J811" s="135">
        <f t="shared" si="70"/>
        <v>0.9161881535038825</v>
      </c>
      <c r="K811" s="112"/>
      <c r="L811" s="37">
        <v>68.554915943400005</v>
      </c>
      <c r="M811" s="37" t="s">
        <v>509</v>
      </c>
      <c r="N811" s="37">
        <v>1338.5980487804875</v>
      </c>
      <c r="O811" s="130">
        <f t="shared" si="68"/>
        <v>91767.476716145582</v>
      </c>
      <c r="P811" s="132">
        <f t="shared" si="69"/>
        <v>84076.275044275957</v>
      </c>
      <c r="Q811" s="262">
        <v>1</v>
      </c>
      <c r="R811" s="92"/>
    </row>
    <row r="812" spans="1:18" x14ac:dyDescent="0.25">
      <c r="A812" s="326">
        <v>40057</v>
      </c>
      <c r="B812" s="326" t="s">
        <v>806</v>
      </c>
      <c r="C812" s="264" t="s">
        <v>289</v>
      </c>
      <c r="D812" s="157" t="s">
        <v>472</v>
      </c>
      <c r="E812" s="44">
        <f t="shared" si="71"/>
        <v>40057</v>
      </c>
      <c r="F812" s="146" t="str">
        <f t="shared" si="67"/>
        <v>2009-10</v>
      </c>
      <c r="G812" s="1"/>
      <c r="H812" s="161"/>
      <c r="I812" s="37"/>
      <c r="J812" s="135">
        <f t="shared" si="70"/>
        <v>0.9161881535038825</v>
      </c>
      <c r="K812" s="112"/>
      <c r="L812" s="37">
        <v>115.446535752</v>
      </c>
      <c r="M812" s="37" t="s">
        <v>509</v>
      </c>
      <c r="N812" s="37">
        <v>1338.5980487804875</v>
      </c>
      <c r="O812" s="130">
        <f t="shared" si="68"/>
        <v>154536.50749609398</v>
      </c>
      <c r="P812" s="132">
        <f t="shared" si="69"/>
        <v>141584.51745178524</v>
      </c>
      <c r="Q812" s="262">
        <v>1</v>
      </c>
      <c r="R812" s="92"/>
    </row>
    <row r="813" spans="1:18" x14ac:dyDescent="0.25">
      <c r="A813" s="326">
        <v>40057</v>
      </c>
      <c r="B813" s="326" t="s">
        <v>806</v>
      </c>
      <c r="C813" s="264" t="s">
        <v>289</v>
      </c>
      <c r="D813" s="157" t="s">
        <v>472</v>
      </c>
      <c r="E813" s="44">
        <f t="shared" si="71"/>
        <v>40057</v>
      </c>
      <c r="F813" s="146" t="str">
        <f t="shared" si="67"/>
        <v>2009-10</v>
      </c>
      <c r="G813" s="1"/>
      <c r="H813" s="161"/>
      <c r="I813" s="37"/>
      <c r="J813" s="135">
        <f t="shared" si="70"/>
        <v>0.9161881535038825</v>
      </c>
      <c r="K813" s="112"/>
      <c r="L813" s="37">
        <v>69.030508849599997</v>
      </c>
      <c r="M813" s="37" t="s">
        <v>509</v>
      </c>
      <c r="N813" s="37">
        <v>1338.5980487804875</v>
      </c>
      <c r="O813" s="130">
        <f t="shared" si="68"/>
        <v>92404.104452398737</v>
      </c>
      <c r="P813" s="132">
        <f t="shared" si="69"/>
        <v>84659.545834423086</v>
      </c>
      <c r="Q813" s="262">
        <v>1</v>
      </c>
      <c r="R813" s="92"/>
    </row>
    <row r="814" spans="1:18" x14ac:dyDescent="0.25">
      <c r="A814" s="326">
        <v>40057</v>
      </c>
      <c r="B814" s="326" t="s">
        <v>806</v>
      </c>
      <c r="C814" s="264" t="s">
        <v>289</v>
      </c>
      <c r="D814" s="157" t="s">
        <v>472</v>
      </c>
      <c r="E814" s="44">
        <f t="shared" si="71"/>
        <v>40057</v>
      </c>
      <c r="F814" s="146" t="str">
        <f t="shared" si="67"/>
        <v>2009-10</v>
      </c>
      <c r="G814" s="1"/>
      <c r="H814" s="161"/>
      <c r="I814" s="37"/>
      <c r="J814" s="135">
        <f t="shared" si="70"/>
        <v>0.9161881535038825</v>
      </c>
      <c r="K814" s="112"/>
      <c r="L814" s="37">
        <v>134.38855847900001</v>
      </c>
      <c r="M814" s="37" t="s">
        <v>509</v>
      </c>
      <c r="N814" s="37">
        <v>1338.5980487804875</v>
      </c>
      <c r="O814" s="130">
        <f t="shared" si="68"/>
        <v>179892.26215841185</v>
      </c>
      <c r="P814" s="132">
        <f t="shared" si="69"/>
        <v>164815.1594965517</v>
      </c>
      <c r="Q814" s="262">
        <v>1</v>
      </c>
      <c r="R814" s="92"/>
    </row>
    <row r="815" spans="1:18" x14ac:dyDescent="0.25">
      <c r="A815" s="326">
        <v>40057</v>
      </c>
      <c r="B815" s="326" t="s">
        <v>806</v>
      </c>
      <c r="C815" s="264" t="s">
        <v>289</v>
      </c>
      <c r="D815" s="157" t="s">
        <v>472</v>
      </c>
      <c r="E815" s="44">
        <f t="shared" si="71"/>
        <v>40057</v>
      </c>
      <c r="F815" s="146" t="str">
        <f t="shared" si="67"/>
        <v>2009-10</v>
      </c>
      <c r="G815" s="1"/>
      <c r="H815" s="161"/>
      <c r="I815" s="37"/>
      <c r="J815" s="135">
        <f t="shared" si="70"/>
        <v>0.9161881535038825</v>
      </c>
      <c r="K815" s="112"/>
      <c r="L815" s="37">
        <v>1.7985888913300001</v>
      </c>
      <c r="M815" s="37" t="s">
        <v>509</v>
      </c>
      <c r="N815" s="37">
        <v>479.79317073170722</v>
      </c>
      <c r="O815" s="130">
        <f t="shared" si="68"/>
        <v>862.95066701404676</v>
      </c>
      <c r="P815" s="132">
        <f t="shared" si="69"/>
        <v>790.62517817654327</v>
      </c>
      <c r="Q815" s="262">
        <v>1</v>
      </c>
      <c r="R815" s="92"/>
    </row>
    <row r="816" spans="1:18" x14ac:dyDescent="0.25">
      <c r="A816" s="326">
        <v>40057</v>
      </c>
      <c r="B816" s="326" t="s">
        <v>806</v>
      </c>
      <c r="C816" s="264" t="s">
        <v>289</v>
      </c>
      <c r="D816" s="157" t="s">
        <v>290</v>
      </c>
      <c r="E816" s="44">
        <f t="shared" si="71"/>
        <v>40057</v>
      </c>
      <c r="F816" s="146" t="str">
        <f t="shared" si="67"/>
        <v>2009-10</v>
      </c>
      <c r="G816" s="1"/>
      <c r="H816" s="161"/>
      <c r="I816" s="37"/>
      <c r="J816" s="135">
        <f t="shared" si="70"/>
        <v>0.9161881535038825</v>
      </c>
      <c r="K816" s="112"/>
      <c r="L816" s="37">
        <v>65.970586370000007</v>
      </c>
      <c r="M816" s="37" t="s">
        <v>509</v>
      </c>
      <c r="N816" s="37">
        <v>1165.0878048780487</v>
      </c>
      <c r="O816" s="130">
        <f t="shared" si="68"/>
        <v>76861.525660341023</v>
      </c>
      <c r="P816" s="132">
        <f t="shared" si="69"/>
        <v>70419.619270239127</v>
      </c>
      <c r="Q816" s="262">
        <v>1</v>
      </c>
      <c r="R816" s="92"/>
    </row>
    <row r="817" spans="1:18" x14ac:dyDescent="0.25">
      <c r="A817" s="326">
        <v>40057</v>
      </c>
      <c r="B817" s="326" t="s">
        <v>806</v>
      </c>
      <c r="C817" s="264" t="s">
        <v>289</v>
      </c>
      <c r="D817" s="157" t="s">
        <v>290</v>
      </c>
      <c r="E817" s="44">
        <f t="shared" si="71"/>
        <v>40057</v>
      </c>
      <c r="F817" s="146" t="str">
        <f t="shared" si="67"/>
        <v>2009-10</v>
      </c>
      <c r="G817" s="1"/>
      <c r="H817" s="161"/>
      <c r="I817" s="37"/>
      <c r="J817" s="135">
        <f t="shared" si="70"/>
        <v>0.9161881535038825</v>
      </c>
      <c r="K817" s="112"/>
      <c r="L817" s="37">
        <v>69.5484182207</v>
      </c>
      <c r="M817" s="37" t="s">
        <v>509</v>
      </c>
      <c r="N817" s="37">
        <v>1165.0878048780487</v>
      </c>
      <c r="O817" s="130">
        <f t="shared" si="68"/>
        <v>81030.013917495846</v>
      </c>
      <c r="P817" s="132">
        <f t="shared" si="69"/>
        <v>74238.738829464419</v>
      </c>
      <c r="Q817" s="262">
        <v>1</v>
      </c>
      <c r="R817" s="92"/>
    </row>
    <row r="818" spans="1:18" x14ac:dyDescent="0.25">
      <c r="A818" s="326">
        <v>40057</v>
      </c>
      <c r="B818" s="326" t="s">
        <v>806</v>
      </c>
      <c r="C818" s="264" t="s">
        <v>289</v>
      </c>
      <c r="D818" s="157" t="s">
        <v>290</v>
      </c>
      <c r="E818" s="44">
        <f t="shared" si="71"/>
        <v>40057</v>
      </c>
      <c r="F818" s="146" t="str">
        <f t="shared" si="67"/>
        <v>2009-10</v>
      </c>
      <c r="G818" s="1"/>
      <c r="H818" s="161"/>
      <c r="I818" s="37"/>
      <c r="J818" s="135">
        <f t="shared" si="70"/>
        <v>0.9161881535038825</v>
      </c>
      <c r="K818" s="112"/>
      <c r="L818" s="37">
        <v>60.866129313999998</v>
      </c>
      <c r="M818" s="37" t="s">
        <v>509</v>
      </c>
      <c r="N818" s="37">
        <v>1165.0878048780487</v>
      </c>
      <c r="O818" s="130">
        <f t="shared" si="68"/>
        <v>70914.384993871703</v>
      </c>
      <c r="P818" s="132">
        <f t="shared" si="69"/>
        <v>64970.919444398751</v>
      </c>
      <c r="Q818" s="262">
        <v>1</v>
      </c>
      <c r="R818" s="92"/>
    </row>
    <row r="819" spans="1:18" x14ac:dyDescent="0.25">
      <c r="A819" s="326">
        <v>40057</v>
      </c>
      <c r="B819" s="326" t="s">
        <v>806</v>
      </c>
      <c r="C819" s="264" t="s">
        <v>289</v>
      </c>
      <c r="D819" s="157" t="s">
        <v>290</v>
      </c>
      <c r="E819" s="44">
        <f t="shared" si="71"/>
        <v>40057</v>
      </c>
      <c r="F819" s="146" t="str">
        <f t="shared" si="67"/>
        <v>2009-10</v>
      </c>
      <c r="G819" s="1"/>
      <c r="H819" s="161"/>
      <c r="I819" s="37"/>
      <c r="J819" s="135">
        <f t="shared" si="70"/>
        <v>0.9161881535038825</v>
      </c>
      <c r="K819" s="112"/>
      <c r="L819" s="37">
        <v>33.5284859466</v>
      </c>
      <c r="M819" s="37" t="s">
        <v>509</v>
      </c>
      <c r="N819" s="37">
        <v>1165.0878048780487</v>
      </c>
      <c r="O819" s="130">
        <f t="shared" si="68"/>
        <v>39063.630092408697</v>
      </c>
      <c r="P819" s="132">
        <f t="shared" si="69"/>
        <v>35789.635123522625</v>
      </c>
      <c r="Q819" s="262">
        <v>1</v>
      </c>
      <c r="R819" s="92"/>
    </row>
    <row r="820" spans="1:18" x14ac:dyDescent="0.25">
      <c r="A820" s="326">
        <v>40057</v>
      </c>
      <c r="B820" s="326" t="s">
        <v>806</v>
      </c>
      <c r="C820" s="264" t="s">
        <v>289</v>
      </c>
      <c r="D820" s="157" t="s">
        <v>290</v>
      </c>
      <c r="E820" s="44">
        <f t="shared" si="71"/>
        <v>40057</v>
      </c>
      <c r="F820" s="146" t="str">
        <f t="shared" si="67"/>
        <v>2009-10</v>
      </c>
      <c r="G820" s="1"/>
      <c r="H820" s="161"/>
      <c r="I820" s="37"/>
      <c r="J820" s="135">
        <f t="shared" si="70"/>
        <v>0.9161881535038825</v>
      </c>
      <c r="K820" s="112"/>
      <c r="L820" s="37">
        <v>6.8960513799800003</v>
      </c>
      <c r="M820" s="37" t="s">
        <v>509</v>
      </c>
      <c r="N820" s="37">
        <v>1165.0878048780487</v>
      </c>
      <c r="O820" s="130">
        <f t="shared" si="68"/>
        <v>8034.5053646271372</v>
      </c>
      <c r="P820" s="132">
        <f t="shared" si="69"/>
        <v>7361.1186343347754</v>
      </c>
      <c r="Q820" s="262">
        <v>1</v>
      </c>
      <c r="R820" s="92"/>
    </row>
    <row r="821" spans="1:18" x14ac:dyDescent="0.25">
      <c r="A821" s="326">
        <v>40057</v>
      </c>
      <c r="B821" s="326" t="s">
        <v>806</v>
      </c>
      <c r="C821" s="264" t="s">
        <v>289</v>
      </c>
      <c r="D821" s="157" t="s">
        <v>290</v>
      </c>
      <c r="E821" s="44">
        <f t="shared" si="71"/>
        <v>40057</v>
      </c>
      <c r="F821" s="146" t="str">
        <f t="shared" si="67"/>
        <v>2009-10</v>
      </c>
      <c r="G821" s="1"/>
      <c r="H821" s="161"/>
      <c r="I821" s="37"/>
      <c r="J821" s="135">
        <f t="shared" si="70"/>
        <v>0.9161881535038825</v>
      </c>
      <c r="K821" s="112"/>
      <c r="L821" s="37">
        <v>6.5269633195900001</v>
      </c>
      <c r="M821" s="37" t="s">
        <v>509</v>
      </c>
      <c r="N821" s="37">
        <v>1165.0878048780487</v>
      </c>
      <c r="O821" s="130">
        <f t="shared" si="68"/>
        <v>7604.4853665406554</v>
      </c>
      <c r="P821" s="132">
        <f t="shared" si="69"/>
        <v>6967.1394063181779</v>
      </c>
      <c r="Q821" s="262">
        <v>1</v>
      </c>
      <c r="R821" s="92"/>
    </row>
    <row r="822" spans="1:18" x14ac:dyDescent="0.25">
      <c r="A822" s="326">
        <v>40057</v>
      </c>
      <c r="B822" s="326" t="s">
        <v>806</v>
      </c>
      <c r="C822" s="264" t="s">
        <v>289</v>
      </c>
      <c r="D822" s="157" t="s">
        <v>290</v>
      </c>
      <c r="E822" s="44">
        <f t="shared" si="71"/>
        <v>40057</v>
      </c>
      <c r="F822" s="146" t="str">
        <f t="shared" si="67"/>
        <v>2009-10</v>
      </c>
      <c r="G822" s="1"/>
      <c r="H822" s="161"/>
      <c r="I822" s="37"/>
      <c r="J822" s="135">
        <f t="shared" si="70"/>
        <v>0.9161881535038825</v>
      </c>
      <c r="K822" s="112"/>
      <c r="L822" s="37">
        <v>1.7488753529100001</v>
      </c>
      <c r="M822" s="37" t="s">
        <v>509</v>
      </c>
      <c r="N822" s="37">
        <v>479.79317073170722</v>
      </c>
      <c r="O822" s="130">
        <f t="shared" si="68"/>
        <v>839.09845078722242</v>
      </c>
      <c r="P822" s="132">
        <f t="shared" si="69"/>
        <v>768.77206023471376</v>
      </c>
      <c r="Q822" s="262">
        <v>1</v>
      </c>
      <c r="R822" s="92"/>
    </row>
    <row r="823" spans="1:18" x14ac:dyDescent="0.25">
      <c r="A823" s="326">
        <v>40057</v>
      </c>
      <c r="B823" s="326" t="s">
        <v>806</v>
      </c>
      <c r="C823" s="264" t="s">
        <v>289</v>
      </c>
      <c r="D823" s="157" t="s">
        <v>290</v>
      </c>
      <c r="E823" s="44">
        <f t="shared" si="71"/>
        <v>40057</v>
      </c>
      <c r="F823" s="146" t="str">
        <f t="shared" si="67"/>
        <v>2009-10</v>
      </c>
      <c r="G823" s="1"/>
      <c r="H823" s="161"/>
      <c r="I823" s="37"/>
      <c r="J823" s="135">
        <f t="shared" si="70"/>
        <v>0.9161881535038825</v>
      </c>
      <c r="K823" s="112"/>
      <c r="L823" s="37">
        <v>2.1470838362800002</v>
      </c>
      <c r="M823" s="37" t="s">
        <v>509</v>
      </c>
      <c r="N823" s="37">
        <v>1165.0878048780487</v>
      </c>
      <c r="O823" s="130">
        <f t="shared" si="68"/>
        <v>2501.5411937006052</v>
      </c>
      <c r="P823" s="132">
        <f t="shared" si="69"/>
        <v>2291.8824071704553</v>
      </c>
      <c r="Q823" s="262">
        <v>1</v>
      </c>
      <c r="R823" s="92"/>
    </row>
    <row r="824" spans="1:18" x14ac:dyDescent="0.25">
      <c r="A824" s="326">
        <v>42340</v>
      </c>
      <c r="B824" s="326" t="s">
        <v>806</v>
      </c>
      <c r="C824" s="264" t="s">
        <v>427</v>
      </c>
      <c r="D824" s="157" t="s">
        <v>476</v>
      </c>
      <c r="E824" s="44">
        <f t="shared" si="71"/>
        <v>42340</v>
      </c>
      <c r="F824" s="146" t="str">
        <f t="shared" si="67"/>
        <v>2015-16</v>
      </c>
      <c r="G824" s="1"/>
      <c r="H824" s="161"/>
      <c r="I824" s="37"/>
      <c r="J824" s="135">
        <f t="shared" si="70"/>
        <v>0.9161881535038825</v>
      </c>
      <c r="K824" s="112"/>
      <c r="L824" s="37">
        <v>1.7569670822200001</v>
      </c>
      <c r="M824" s="37" t="s">
        <v>509</v>
      </c>
      <c r="N824" s="37">
        <v>404.93951219512189</v>
      </c>
      <c r="O824" s="130">
        <f t="shared" si="68"/>
        <v>711.46539321705347</v>
      </c>
      <c r="P824" s="132">
        <f t="shared" si="69"/>
        <v>651.83616489344593</v>
      </c>
      <c r="Q824" s="262">
        <v>1</v>
      </c>
      <c r="R824" s="92"/>
    </row>
    <row r="825" spans="1:18" x14ac:dyDescent="0.25">
      <c r="A825" s="326">
        <v>42340</v>
      </c>
      <c r="B825" s="326" t="s">
        <v>806</v>
      </c>
      <c r="C825" s="264" t="s">
        <v>427</v>
      </c>
      <c r="D825" s="157" t="s">
        <v>476</v>
      </c>
      <c r="E825" s="44">
        <f t="shared" si="71"/>
        <v>42340</v>
      </c>
      <c r="F825" s="146" t="str">
        <f t="shared" si="67"/>
        <v>2015-16</v>
      </c>
      <c r="G825" s="1"/>
      <c r="H825" s="161"/>
      <c r="I825" s="37"/>
      <c r="J825" s="135">
        <f t="shared" si="70"/>
        <v>0.9161881535038825</v>
      </c>
      <c r="K825" s="112"/>
      <c r="L825" s="37">
        <v>4.4967937748500004</v>
      </c>
      <c r="M825" s="37" t="s">
        <v>509</v>
      </c>
      <c r="N825" s="37">
        <v>404.93951219512189</v>
      </c>
      <c r="O825" s="130">
        <f t="shared" si="68"/>
        <v>1820.92947762982</v>
      </c>
      <c r="P825" s="132">
        <f t="shared" si="69"/>
        <v>1668.314015770454</v>
      </c>
      <c r="Q825" s="262">
        <v>1</v>
      </c>
      <c r="R825" s="92"/>
    </row>
    <row r="826" spans="1:18" x14ac:dyDescent="0.25">
      <c r="A826" s="326">
        <v>42340</v>
      </c>
      <c r="B826" s="326" t="s">
        <v>806</v>
      </c>
      <c r="C826" s="264" t="s">
        <v>427</v>
      </c>
      <c r="D826" s="157" t="s">
        <v>476</v>
      </c>
      <c r="E826" s="44">
        <f t="shared" si="71"/>
        <v>42340</v>
      </c>
      <c r="F826" s="146" t="str">
        <f t="shared" si="67"/>
        <v>2015-16</v>
      </c>
      <c r="G826" s="1"/>
      <c r="H826" s="161"/>
      <c r="I826" s="37"/>
      <c r="J826" s="135">
        <f t="shared" si="70"/>
        <v>0.9161881535038825</v>
      </c>
      <c r="K826" s="112"/>
      <c r="L826" s="37">
        <v>1.49889192406</v>
      </c>
      <c r="M826" s="37" t="s">
        <v>509</v>
      </c>
      <c r="N826" s="37">
        <v>404.93951219512189</v>
      </c>
      <c r="O826" s="130">
        <f t="shared" si="68"/>
        <v>606.96056456206406</v>
      </c>
      <c r="P826" s="132">
        <f t="shared" si="69"/>
        <v>556.09007889579152</v>
      </c>
      <c r="Q826" s="262">
        <v>1</v>
      </c>
      <c r="R826" s="92"/>
    </row>
    <row r="827" spans="1:18" x14ac:dyDescent="0.25">
      <c r="A827" s="326">
        <v>42340</v>
      </c>
      <c r="B827" s="326" t="s">
        <v>806</v>
      </c>
      <c r="C827" s="264" t="s">
        <v>427</v>
      </c>
      <c r="D827" s="157" t="s">
        <v>476</v>
      </c>
      <c r="E827" s="44">
        <f t="shared" si="71"/>
        <v>42340</v>
      </c>
      <c r="F827" s="146" t="str">
        <f t="shared" si="67"/>
        <v>2015-16</v>
      </c>
      <c r="G827" s="1"/>
      <c r="H827" s="161"/>
      <c r="I827" s="37"/>
      <c r="J827" s="135">
        <f t="shared" si="70"/>
        <v>0.9161881535038825</v>
      </c>
      <c r="K827" s="112"/>
      <c r="L827" s="37">
        <v>8.4956577380699994</v>
      </c>
      <c r="M827" s="37" t="s">
        <v>509</v>
      </c>
      <c r="N827" s="37">
        <v>404.93951219512189</v>
      </c>
      <c r="O827" s="130">
        <f t="shared" si="68"/>
        <v>3440.2275002307783</v>
      </c>
      <c r="P827" s="132">
        <f t="shared" si="69"/>
        <v>3151.8956810697141</v>
      </c>
      <c r="Q827" s="262">
        <v>1</v>
      </c>
      <c r="R827" s="92"/>
    </row>
    <row r="828" spans="1:18" x14ac:dyDescent="0.25">
      <c r="A828" s="326">
        <v>42340</v>
      </c>
      <c r="B828" s="326" t="s">
        <v>806</v>
      </c>
      <c r="C828" s="264" t="s">
        <v>427</v>
      </c>
      <c r="D828" s="157" t="s">
        <v>476</v>
      </c>
      <c r="E828" s="44">
        <f t="shared" si="71"/>
        <v>42340</v>
      </c>
      <c r="F828" s="146" t="str">
        <f t="shared" si="67"/>
        <v>2015-16</v>
      </c>
      <c r="G828" s="1"/>
      <c r="H828" s="161"/>
      <c r="I828" s="37"/>
      <c r="J828" s="135">
        <f t="shared" si="70"/>
        <v>0.9161881535038825</v>
      </c>
      <c r="K828" s="112"/>
      <c r="L828" s="37">
        <v>1.4984925758900001</v>
      </c>
      <c r="M828" s="37" t="s">
        <v>509</v>
      </c>
      <c r="N828" s="37">
        <v>404.93951219512189</v>
      </c>
      <c r="O828" s="130">
        <f t="shared" si="68"/>
        <v>606.79885270890827</v>
      </c>
      <c r="P828" s="132">
        <f t="shared" si="69"/>
        <v>555.94192041164899</v>
      </c>
      <c r="Q828" s="262">
        <v>1</v>
      </c>
      <c r="R828" s="92"/>
    </row>
    <row r="829" spans="1:18" x14ac:dyDescent="0.25">
      <c r="A829" s="326">
        <v>42340</v>
      </c>
      <c r="B829" s="326" t="s">
        <v>806</v>
      </c>
      <c r="C829" s="264" t="s">
        <v>427</v>
      </c>
      <c r="D829" s="157" t="s">
        <v>476</v>
      </c>
      <c r="E829" s="44">
        <f t="shared" si="71"/>
        <v>42340</v>
      </c>
      <c r="F829" s="146" t="str">
        <f t="shared" si="67"/>
        <v>2015-16</v>
      </c>
      <c r="G829" s="1"/>
      <c r="H829" s="161"/>
      <c r="I829" s="37"/>
      <c r="J829" s="135">
        <f t="shared" si="70"/>
        <v>0.9161881535038825</v>
      </c>
      <c r="K829" s="112"/>
      <c r="L829" s="37">
        <v>1.99917325072</v>
      </c>
      <c r="M829" s="37" t="s">
        <v>509</v>
      </c>
      <c r="N829" s="37">
        <v>404.93951219512189</v>
      </c>
      <c r="O829" s="130">
        <f t="shared" si="68"/>
        <v>809.54424094009289</v>
      </c>
      <c r="P829" s="132">
        <f t="shared" si="69"/>
        <v>741.69484328660587</v>
      </c>
      <c r="Q829" s="262">
        <v>1</v>
      </c>
      <c r="R829" s="92"/>
    </row>
    <row r="830" spans="1:18" x14ac:dyDescent="0.25">
      <c r="A830" s="326">
        <v>42340</v>
      </c>
      <c r="B830" s="326" t="s">
        <v>806</v>
      </c>
      <c r="C830" s="264" t="s">
        <v>427</v>
      </c>
      <c r="D830" s="157" t="s">
        <v>476</v>
      </c>
      <c r="E830" s="44">
        <f t="shared" si="71"/>
        <v>42340</v>
      </c>
      <c r="F830" s="146" t="str">
        <f t="shared" si="67"/>
        <v>2015-16</v>
      </c>
      <c r="G830" s="1"/>
      <c r="H830" s="161"/>
      <c r="I830" s="37"/>
      <c r="J830" s="135">
        <f t="shared" si="70"/>
        <v>0.9161881535038825</v>
      </c>
      <c r="K830" s="112"/>
      <c r="L830" s="37">
        <v>1.4984925758900001</v>
      </c>
      <c r="M830" s="37" t="s">
        <v>509</v>
      </c>
      <c r="N830" s="37">
        <v>404.93951219512189</v>
      </c>
      <c r="O830" s="130">
        <f t="shared" si="68"/>
        <v>606.79885270890827</v>
      </c>
      <c r="P830" s="132">
        <f t="shared" si="69"/>
        <v>555.94192041164899</v>
      </c>
      <c r="Q830" s="262">
        <v>1</v>
      </c>
      <c r="R830" s="92"/>
    </row>
    <row r="831" spans="1:18" x14ac:dyDescent="0.25">
      <c r="A831" s="326">
        <v>42340</v>
      </c>
      <c r="B831" s="326" t="s">
        <v>806</v>
      </c>
      <c r="C831" s="264" t="s">
        <v>427</v>
      </c>
      <c r="D831" s="157" t="s">
        <v>476</v>
      </c>
      <c r="E831" s="44">
        <f t="shared" si="71"/>
        <v>42340</v>
      </c>
      <c r="F831" s="146" t="str">
        <f t="shared" si="67"/>
        <v>2015-16</v>
      </c>
      <c r="G831" s="1"/>
      <c r="H831" s="161"/>
      <c r="I831" s="37"/>
      <c r="J831" s="135">
        <f t="shared" si="70"/>
        <v>0.9161881535038825</v>
      </c>
      <c r="K831" s="112"/>
      <c r="L831" s="37">
        <v>2.4658420517900002</v>
      </c>
      <c r="M831" s="37" t="s">
        <v>509</v>
      </c>
      <c r="N831" s="37">
        <v>404.93951219512189</v>
      </c>
      <c r="O831" s="130">
        <f t="shared" si="68"/>
        <v>998.51687760206119</v>
      </c>
      <c r="P831" s="132">
        <f t="shared" si="69"/>
        <v>914.82933433269466</v>
      </c>
      <c r="Q831" s="262">
        <v>1</v>
      </c>
      <c r="R831" s="92"/>
    </row>
    <row r="832" spans="1:18" x14ac:dyDescent="0.25">
      <c r="A832" s="326">
        <v>42340</v>
      </c>
      <c r="B832" s="326" t="s">
        <v>806</v>
      </c>
      <c r="C832" s="264" t="s">
        <v>427</v>
      </c>
      <c r="D832" s="157" t="s">
        <v>476</v>
      </c>
      <c r="E832" s="44">
        <f t="shared" si="71"/>
        <v>42340</v>
      </c>
      <c r="F832" s="146" t="str">
        <f t="shared" ref="F832:F839" si="72">IF(E832="","-",IF(OR(E832&lt;$E$15,E832&gt;$E$16),"ERROR - date outside of range",IF(MONTH(E832)&gt;=7,YEAR(E832)&amp;"-"&amp;IF(YEAR(E832)=1999,"00",IF(AND(YEAR(E832)&gt;=2000,YEAR(E832)&lt;2009),"0","")&amp;RIGHT(YEAR(E832),2)+1),RIGHT(YEAR(E832),4)-1&amp;"-"&amp;RIGHT(YEAR(E832),2))))</f>
        <v>2015-16</v>
      </c>
      <c r="G832" s="1"/>
      <c r="H832" s="161"/>
      <c r="I832" s="37"/>
      <c r="J832" s="135">
        <f t="shared" si="70"/>
        <v>0.9161881535038825</v>
      </c>
      <c r="K832" s="112"/>
      <c r="L832" s="37">
        <v>1.4984925758900001</v>
      </c>
      <c r="M832" s="37" t="s">
        <v>509</v>
      </c>
      <c r="N832" s="37">
        <v>404.93951219512189</v>
      </c>
      <c r="O832" s="130">
        <f t="shared" si="68"/>
        <v>606.79885270890827</v>
      </c>
      <c r="P832" s="132">
        <f t="shared" si="69"/>
        <v>555.94192041164899</v>
      </c>
      <c r="Q832" s="262">
        <v>1</v>
      </c>
      <c r="R832" s="92"/>
    </row>
    <row r="833" spans="1:18" x14ac:dyDescent="0.25">
      <c r="A833" s="326">
        <v>42340</v>
      </c>
      <c r="B833" s="326" t="s">
        <v>806</v>
      </c>
      <c r="C833" s="264" t="s">
        <v>427</v>
      </c>
      <c r="D833" s="157" t="s">
        <v>476</v>
      </c>
      <c r="E833" s="44">
        <f t="shared" si="71"/>
        <v>42340</v>
      </c>
      <c r="F833" s="146" t="str">
        <f t="shared" si="72"/>
        <v>2015-16</v>
      </c>
      <c r="G833" s="1"/>
      <c r="H833" s="161"/>
      <c r="I833" s="37"/>
      <c r="J833" s="135">
        <f t="shared" si="70"/>
        <v>0.9161881535038825</v>
      </c>
      <c r="K833" s="112"/>
      <c r="L833" s="37">
        <v>1.4971766762800001</v>
      </c>
      <c r="M833" s="37" t="s">
        <v>509</v>
      </c>
      <c r="N833" s="37">
        <v>404.93951219512189</v>
      </c>
      <c r="O833" s="130">
        <f t="shared" si="68"/>
        <v>606.26599296273719</v>
      </c>
      <c r="P833" s="132">
        <f t="shared" si="69"/>
        <v>555.45372062472802</v>
      </c>
      <c r="Q833" s="262">
        <v>1</v>
      </c>
      <c r="R833" s="92"/>
    </row>
    <row r="834" spans="1:18" x14ac:dyDescent="0.25">
      <c r="A834" s="326">
        <v>42340</v>
      </c>
      <c r="B834" s="326" t="s">
        <v>806</v>
      </c>
      <c r="C834" s="264" t="s">
        <v>427</v>
      </c>
      <c r="D834" s="157" t="s">
        <v>476</v>
      </c>
      <c r="E834" s="44">
        <f t="shared" si="71"/>
        <v>42340</v>
      </c>
      <c r="F834" s="146" t="str">
        <f t="shared" si="72"/>
        <v>2015-16</v>
      </c>
      <c r="G834" s="1"/>
      <c r="H834" s="161"/>
      <c r="I834" s="37"/>
      <c r="J834" s="135">
        <f t="shared" si="70"/>
        <v>0.9161881535038825</v>
      </c>
      <c r="K834" s="112"/>
      <c r="L834" s="37">
        <v>2.7500226001199999</v>
      </c>
      <c r="M834" s="37" t="s">
        <v>509</v>
      </c>
      <c r="N834" s="37">
        <v>404.93951219512189</v>
      </c>
      <c r="O834" s="130">
        <f t="shared" si="68"/>
        <v>1113.5928102181535</v>
      </c>
      <c r="P834" s="132">
        <f t="shared" si="69"/>
        <v>1020.2605405489695</v>
      </c>
      <c r="Q834" s="262">
        <v>1</v>
      </c>
      <c r="R834" s="92"/>
    </row>
    <row r="835" spans="1:18" x14ac:dyDescent="0.25">
      <c r="C835" s="264"/>
      <c r="D835" s="157"/>
      <c r="E835" s="44"/>
      <c r="F835" s="146"/>
      <c r="G835" s="1"/>
      <c r="H835" s="161"/>
      <c r="I835" s="37"/>
      <c r="J835" s="135">
        <f t="shared" si="70"/>
        <v>0.9161881535038825</v>
      </c>
      <c r="K835" s="112"/>
      <c r="L835" s="37"/>
      <c r="M835" s="37"/>
      <c r="N835" s="37"/>
      <c r="O835" s="130"/>
      <c r="P835" s="132"/>
      <c r="Q835" s="262"/>
      <c r="R835" s="92"/>
    </row>
    <row r="836" spans="1:18" x14ac:dyDescent="0.25">
      <c r="A836" s="326">
        <v>41791</v>
      </c>
      <c r="B836" s="326" t="s">
        <v>285</v>
      </c>
      <c r="C836" s="264" t="s">
        <v>477</v>
      </c>
      <c r="D836" s="157" t="s">
        <v>481</v>
      </c>
      <c r="E836" s="44">
        <f t="shared" ref="E836:E839" si="73">A836</f>
        <v>41791</v>
      </c>
      <c r="F836" s="146" t="str">
        <f t="shared" si="72"/>
        <v>2013-14</v>
      </c>
      <c r="G836" s="1"/>
      <c r="H836" s="161"/>
      <c r="I836" s="37"/>
      <c r="J836" s="135">
        <f t="shared" si="70"/>
        <v>0.9161881535038825</v>
      </c>
      <c r="K836" s="112"/>
      <c r="L836" s="37">
        <v>1</v>
      </c>
      <c r="M836" s="37" t="s">
        <v>510</v>
      </c>
      <c r="N836" s="37">
        <v>1531169.0051538458</v>
      </c>
      <c r="O836" s="130">
        <f t="shared" ref="O836:O839" si="74">IF(N836="","-",L836*N836)</f>
        <v>1531169.0051538458</v>
      </c>
      <c r="P836" s="132">
        <f t="shared" si="69"/>
        <v>1402838.9035342787</v>
      </c>
      <c r="Q836" s="262">
        <v>1</v>
      </c>
      <c r="R836" s="92"/>
    </row>
    <row r="837" spans="1:18" x14ac:dyDescent="0.25">
      <c r="A837" s="326">
        <v>39142</v>
      </c>
      <c r="B837" s="326" t="s">
        <v>285</v>
      </c>
      <c r="C837" s="264" t="s">
        <v>478</v>
      </c>
      <c r="D837" s="157" t="s">
        <v>482</v>
      </c>
      <c r="E837" s="44">
        <f t="shared" si="73"/>
        <v>39142</v>
      </c>
      <c r="F837" s="146" t="str">
        <f t="shared" si="72"/>
        <v>2006-07</v>
      </c>
      <c r="G837" s="1"/>
      <c r="H837" s="161"/>
      <c r="I837" s="37"/>
      <c r="J837" s="135">
        <f t="shared" si="70"/>
        <v>0.9161881535038825</v>
      </c>
      <c r="K837" s="112"/>
      <c r="L837" s="37">
        <v>1</v>
      </c>
      <c r="M837" s="37" t="s">
        <v>510</v>
      </c>
      <c r="N837" s="37">
        <v>1675588.2921835943</v>
      </c>
      <c r="O837" s="130">
        <f t="shared" si="74"/>
        <v>1675588.2921835943</v>
      </c>
      <c r="P837" s="132">
        <f t="shared" si="69"/>
        <v>1535154.1434484113</v>
      </c>
      <c r="Q837" s="262">
        <v>1</v>
      </c>
      <c r="R837" s="92"/>
    </row>
    <row r="838" spans="1:18" x14ac:dyDescent="0.25">
      <c r="A838" s="326">
        <v>41610</v>
      </c>
      <c r="B838" s="326" t="s">
        <v>285</v>
      </c>
      <c r="C838" s="264" t="s">
        <v>479</v>
      </c>
      <c r="D838" s="157" t="s">
        <v>483</v>
      </c>
      <c r="E838" s="44">
        <f t="shared" si="73"/>
        <v>41610</v>
      </c>
      <c r="F838" s="146" t="str">
        <f t="shared" si="72"/>
        <v>2013-14</v>
      </c>
      <c r="G838" s="1"/>
      <c r="H838" s="161"/>
      <c r="I838" s="37"/>
      <c r="J838" s="135">
        <f t="shared" si="70"/>
        <v>0.9161881535038825</v>
      </c>
      <c r="K838" s="112"/>
      <c r="L838" s="37">
        <v>1</v>
      </c>
      <c r="M838" s="37" t="s">
        <v>510</v>
      </c>
      <c r="N838" s="37">
        <v>2418947.5728461533</v>
      </c>
      <c r="O838" s="130">
        <f t="shared" si="74"/>
        <v>2418947.5728461533</v>
      </c>
      <c r="P838" s="132">
        <f t="shared" si="69"/>
        <v>2216211.1101886155</v>
      </c>
      <c r="Q838" s="262">
        <v>1</v>
      </c>
      <c r="R838" s="92"/>
    </row>
    <row r="839" spans="1:18" x14ac:dyDescent="0.25">
      <c r="A839" s="326">
        <v>42677</v>
      </c>
      <c r="B839" s="326" t="s">
        <v>285</v>
      </c>
      <c r="C839" s="264" t="s">
        <v>480</v>
      </c>
      <c r="D839" s="157" t="s">
        <v>484</v>
      </c>
      <c r="E839" s="44">
        <f t="shared" si="73"/>
        <v>42677</v>
      </c>
      <c r="F839" s="146" t="str">
        <f t="shared" si="72"/>
        <v>2016-17</v>
      </c>
      <c r="G839" s="1"/>
      <c r="H839" s="161"/>
      <c r="I839" s="37"/>
      <c r="J839" s="135">
        <f t="shared" si="70"/>
        <v>0.9161881535038825</v>
      </c>
      <c r="K839" s="112"/>
      <c r="L839" s="37">
        <v>1</v>
      </c>
      <c r="M839" s="37" t="s">
        <v>510</v>
      </c>
      <c r="N839" s="37">
        <v>2640947.6291538458</v>
      </c>
      <c r="O839" s="130">
        <f t="shared" si="74"/>
        <v>2640947.6291538458</v>
      </c>
      <c r="P839" s="132">
        <f t="shared" si="69"/>
        <v>2419604.9318549181</v>
      </c>
      <c r="Q839" s="262">
        <v>1</v>
      </c>
      <c r="R839" s="92"/>
    </row>
    <row r="840" spans="1:18" x14ac:dyDescent="0.25">
      <c r="C840" s="264"/>
      <c r="D840" s="157"/>
      <c r="E840" s="44"/>
      <c r="F840" s="146"/>
      <c r="G840" s="1"/>
      <c r="H840" s="161"/>
      <c r="I840" s="37"/>
      <c r="J840" s="135">
        <f t="shared" si="70"/>
        <v>0.9161881535038825</v>
      </c>
      <c r="K840" s="112"/>
      <c r="L840" s="37"/>
      <c r="M840" s="37"/>
      <c r="N840" s="37"/>
      <c r="O840" s="130"/>
      <c r="P840" s="132"/>
      <c r="Q840" s="262"/>
      <c r="R840" s="92"/>
    </row>
    <row r="841" spans="1:18" ht="23" x14ac:dyDescent="0.25">
      <c r="A841" s="326">
        <v>1996</v>
      </c>
      <c r="B841" s="326" t="s">
        <v>287</v>
      </c>
      <c r="C841" s="264" t="s">
        <v>494</v>
      </c>
      <c r="D841" s="157" t="s">
        <v>495</v>
      </c>
      <c r="E841" s="44">
        <f t="shared" ref="E841" si="75">DATEVALUE("30 Jun "&amp;A841)</f>
        <v>35246</v>
      </c>
      <c r="F841" s="146" t="str">
        <f t="shared" ref="F841:F904" si="76">IF(E841="","-",IF(OR(E841&lt;$E$15,E841&gt;$E$16),"ERROR - date outside of range",IF(MONTH(E841)&gt;=7,YEAR(E841)&amp;"-"&amp;IF(YEAR(E841)=1999,"00",IF(AND(YEAR(E841)&gt;=2000,YEAR(E841)&lt;2009),"0","")&amp;RIGHT(YEAR(E841),2)+1),RIGHT(YEAR(E841),4)-1&amp;"-"&amp;RIGHT(YEAR(E841),2))))</f>
        <v>1995-96</v>
      </c>
      <c r="G841" s="1"/>
      <c r="H841" s="161"/>
      <c r="I841" s="37"/>
      <c r="J841" s="135">
        <f t="shared" si="70"/>
        <v>0.9161881535038825</v>
      </c>
      <c r="K841" s="112"/>
      <c r="L841" s="37">
        <v>1</v>
      </c>
      <c r="M841" s="37" t="s">
        <v>511</v>
      </c>
      <c r="N841" s="37">
        <v>5043966.1016949154</v>
      </c>
      <c r="O841" s="130">
        <f t="shared" ref="O841:O846" si="77">IF(N841="","-",L841*N841)</f>
        <v>5043966.1016949154</v>
      </c>
      <c r="P841" s="132">
        <f t="shared" ref="P841:P846" si="78">IF(O841="-","-",IF(OR(E841&lt;$E$15,E841&gt;$E$16),0,O841*J841))*Q841</f>
        <v>4621221.9890480414</v>
      </c>
      <c r="Q841" s="262">
        <v>1</v>
      </c>
      <c r="R841" s="92"/>
    </row>
    <row r="842" spans="1:18" ht="34.5" x14ac:dyDescent="0.25">
      <c r="A842" s="326">
        <v>2000</v>
      </c>
      <c r="B842" s="326" t="s">
        <v>287</v>
      </c>
      <c r="C842" s="264" t="s">
        <v>494</v>
      </c>
      <c r="D842" s="157" t="s">
        <v>496</v>
      </c>
      <c r="E842" s="44">
        <f t="shared" ref="E842:E846" si="79">DATEVALUE("30 Jun "&amp;A842)</f>
        <v>36707</v>
      </c>
      <c r="F842" s="146" t="str">
        <f t="shared" si="76"/>
        <v>1999-00</v>
      </c>
      <c r="G842" s="1"/>
      <c r="H842" s="161"/>
      <c r="I842" s="37"/>
      <c r="J842" s="135">
        <f t="shared" si="70"/>
        <v>0.9161881535038825</v>
      </c>
      <c r="K842" s="112"/>
      <c r="L842" s="37">
        <v>1</v>
      </c>
      <c r="M842" s="37" t="s">
        <v>511</v>
      </c>
      <c r="N842" s="37">
        <v>7069031.4769975794</v>
      </c>
      <c r="O842" s="130">
        <f t="shared" si="77"/>
        <v>7069031.4769975794</v>
      </c>
      <c r="P842" s="132">
        <f t="shared" si="78"/>
        <v>6476562.8959712358</v>
      </c>
      <c r="Q842" s="262">
        <v>1</v>
      </c>
      <c r="R842" s="92"/>
    </row>
    <row r="843" spans="1:18" x14ac:dyDescent="0.25">
      <c r="A843" s="326">
        <v>2001</v>
      </c>
      <c r="B843" s="326" t="s">
        <v>287</v>
      </c>
      <c r="C843" s="264" t="s">
        <v>494</v>
      </c>
      <c r="D843" s="157" t="s">
        <v>497</v>
      </c>
      <c r="E843" s="44">
        <f t="shared" si="79"/>
        <v>37072</v>
      </c>
      <c r="F843" s="146" t="str">
        <f t="shared" si="76"/>
        <v>2000-01</v>
      </c>
      <c r="G843" s="1"/>
      <c r="H843" s="161"/>
      <c r="I843" s="37"/>
      <c r="J843" s="135">
        <f t="shared" si="70"/>
        <v>0.9161881535038825</v>
      </c>
      <c r="K843" s="112"/>
      <c r="L843" s="37">
        <v>1</v>
      </c>
      <c r="M843" s="37" t="s">
        <v>511</v>
      </c>
      <c r="N843" s="37">
        <v>1620915.2542372884</v>
      </c>
      <c r="O843" s="130">
        <f t="shared" si="77"/>
        <v>1620915.2542372884</v>
      </c>
      <c r="P843" s="132">
        <f t="shared" si="78"/>
        <v>1485063.3537659375</v>
      </c>
      <c r="Q843" s="262">
        <v>1</v>
      </c>
      <c r="R843" s="92"/>
    </row>
    <row r="844" spans="1:18" x14ac:dyDescent="0.25">
      <c r="A844" s="326">
        <v>2002</v>
      </c>
      <c r="B844" s="326" t="s">
        <v>287</v>
      </c>
      <c r="C844" s="264" t="s">
        <v>494</v>
      </c>
      <c r="D844" s="157" t="s">
        <v>498</v>
      </c>
      <c r="E844" s="44">
        <f t="shared" si="79"/>
        <v>37437</v>
      </c>
      <c r="F844" s="146" t="str">
        <f t="shared" si="76"/>
        <v>2001-02</v>
      </c>
      <c r="G844" s="1"/>
      <c r="H844" s="161"/>
      <c r="I844" s="37"/>
      <c r="J844" s="135">
        <f t="shared" si="70"/>
        <v>0.9161881535038825</v>
      </c>
      <c r="K844" s="112"/>
      <c r="L844" s="37">
        <v>1</v>
      </c>
      <c r="M844" s="37" t="s">
        <v>511</v>
      </c>
      <c r="N844" s="37">
        <v>1389969.9961401122</v>
      </c>
      <c r="O844" s="130">
        <f t="shared" si="77"/>
        <v>1389969.9961401122</v>
      </c>
      <c r="P844" s="132">
        <f t="shared" si="78"/>
        <v>1273474.044189408</v>
      </c>
      <c r="Q844" s="262">
        <v>1</v>
      </c>
      <c r="R844" s="92"/>
    </row>
    <row r="845" spans="1:18" x14ac:dyDescent="0.25">
      <c r="A845" s="326">
        <v>2004</v>
      </c>
      <c r="B845" s="326" t="s">
        <v>287</v>
      </c>
      <c r="C845" s="264" t="s">
        <v>494</v>
      </c>
      <c r="D845" s="157" t="s">
        <v>499</v>
      </c>
      <c r="E845" s="44">
        <f t="shared" si="79"/>
        <v>38168</v>
      </c>
      <c r="F845" s="146" t="str">
        <f t="shared" si="76"/>
        <v>2003-04</v>
      </c>
      <c r="G845" s="1"/>
      <c r="H845" s="161"/>
      <c r="I845" s="37"/>
      <c r="J845" s="135">
        <f t="shared" si="70"/>
        <v>0.9161881535038825</v>
      </c>
      <c r="K845" s="112"/>
      <c r="L845" s="37">
        <v>1</v>
      </c>
      <c r="M845" s="37" t="s">
        <v>511</v>
      </c>
      <c r="N845" s="37">
        <v>30905259.079903152</v>
      </c>
      <c r="O845" s="130">
        <f t="shared" si="77"/>
        <v>30905259.079903152</v>
      </c>
      <c r="P845" s="132">
        <f t="shared" si="78"/>
        <v>28315032.249975566</v>
      </c>
      <c r="Q845" s="262">
        <v>1</v>
      </c>
      <c r="R845" s="92"/>
    </row>
    <row r="846" spans="1:18" x14ac:dyDescent="0.25">
      <c r="A846" s="326">
        <v>1999</v>
      </c>
      <c r="B846" s="326" t="s">
        <v>287</v>
      </c>
      <c r="C846" s="264" t="s">
        <v>494</v>
      </c>
      <c r="D846" s="157" t="s">
        <v>500</v>
      </c>
      <c r="E846" s="44">
        <f t="shared" si="79"/>
        <v>36341</v>
      </c>
      <c r="F846" s="146" t="str">
        <f t="shared" si="76"/>
        <v>1998-99</v>
      </c>
      <c r="G846" s="1"/>
      <c r="H846" s="161"/>
      <c r="I846" s="37"/>
      <c r="J846" s="135">
        <f t="shared" si="70"/>
        <v>0.9161881535038825</v>
      </c>
      <c r="K846" s="112"/>
      <c r="L846" s="37">
        <v>1</v>
      </c>
      <c r="M846" s="37" t="s">
        <v>511</v>
      </c>
      <c r="N846" s="37">
        <v>20909375.302663442</v>
      </c>
      <c r="O846" s="130">
        <f t="shared" si="77"/>
        <v>20909375.302663442</v>
      </c>
      <c r="P846" s="132">
        <f t="shared" si="78"/>
        <v>19156921.949466903</v>
      </c>
      <c r="Q846" s="262">
        <v>1</v>
      </c>
      <c r="R846" s="92"/>
    </row>
    <row r="847" spans="1:18" x14ac:dyDescent="0.25">
      <c r="C847" s="264"/>
      <c r="D847" s="157"/>
      <c r="E847" s="44"/>
      <c r="F847" s="146"/>
      <c r="G847" s="1"/>
      <c r="H847" s="161"/>
      <c r="I847" s="37"/>
      <c r="J847" s="135">
        <f t="shared" si="70"/>
        <v>0.9161881535038825</v>
      </c>
      <c r="K847" s="112"/>
      <c r="L847" s="37"/>
      <c r="M847" s="37"/>
      <c r="N847" s="37"/>
      <c r="O847" s="130" t="str">
        <f t="shared" ref="O847:O910" si="80">IF(N847="","-",L847*N847)</f>
        <v>-</v>
      </c>
      <c r="P847" s="132" t="e">
        <f t="shared" ref="P847:P910" si="81">IF(O847="-","-",IF(OR(E847&lt;$E$15,E847&gt;$E$16),0,O847*J847))*Q847</f>
        <v>#VALUE!</v>
      </c>
      <c r="Q847" s="262"/>
      <c r="R847" s="92"/>
    </row>
    <row r="848" spans="1:18" x14ac:dyDescent="0.25">
      <c r="A848" s="326">
        <v>1996</v>
      </c>
      <c r="B848" s="326" t="s">
        <v>805</v>
      </c>
      <c r="C848" s="264" t="s">
        <v>674</v>
      </c>
      <c r="D848" s="157" t="s">
        <v>675</v>
      </c>
      <c r="E848" s="44">
        <v>35246</v>
      </c>
      <c r="F848" s="146" t="str">
        <f t="shared" si="76"/>
        <v>1995-96</v>
      </c>
      <c r="G848" s="1"/>
      <c r="H848" s="161"/>
      <c r="I848" s="37"/>
      <c r="J848" s="135">
        <f t="shared" si="70"/>
        <v>0.9161881535038825</v>
      </c>
      <c r="K848" s="112"/>
      <c r="L848" s="37">
        <v>106</v>
      </c>
      <c r="M848" s="37" t="s">
        <v>509</v>
      </c>
      <c r="N848" s="37">
        <v>2890.3345732246798</v>
      </c>
      <c r="O848" s="130">
        <f t="shared" si="80"/>
        <v>306375.46476181608</v>
      </c>
      <c r="P848" s="132">
        <f t="shared" si="81"/>
        <v>280697.57133902208</v>
      </c>
      <c r="Q848" s="262">
        <v>1</v>
      </c>
      <c r="R848" s="92"/>
    </row>
    <row r="849" spans="1:18" ht="23" x14ac:dyDescent="0.25">
      <c r="A849" s="326">
        <v>1996</v>
      </c>
      <c r="B849" s="326" t="s">
        <v>805</v>
      </c>
      <c r="C849" s="264" t="s">
        <v>676</v>
      </c>
      <c r="D849" s="157" t="s">
        <v>677</v>
      </c>
      <c r="E849" s="44">
        <v>35246</v>
      </c>
      <c r="F849" s="146" t="str">
        <f t="shared" si="76"/>
        <v>1995-96</v>
      </c>
      <c r="G849" s="1"/>
      <c r="H849" s="161"/>
      <c r="I849" s="37"/>
      <c r="J849" s="135">
        <f t="shared" si="70"/>
        <v>0.9161881535038825</v>
      </c>
      <c r="K849" s="112"/>
      <c r="L849" s="37">
        <v>303</v>
      </c>
      <c r="M849" s="37" t="s">
        <v>509</v>
      </c>
      <c r="N849" s="37">
        <v>685.06801396973219</v>
      </c>
      <c r="O849" s="130">
        <f t="shared" si="80"/>
        <v>207575.60823282885</v>
      </c>
      <c r="P849" s="132">
        <f t="shared" si="81"/>
        <v>190178.31321928077</v>
      </c>
      <c r="Q849" s="262">
        <v>1</v>
      </c>
      <c r="R849" s="92"/>
    </row>
    <row r="850" spans="1:18" x14ac:dyDescent="0.25">
      <c r="A850" s="326">
        <v>1997</v>
      </c>
      <c r="B850" s="326" t="s">
        <v>805</v>
      </c>
      <c r="C850" s="264" t="s">
        <v>674</v>
      </c>
      <c r="D850" s="157" t="s">
        <v>678</v>
      </c>
      <c r="E850" s="44">
        <v>35611</v>
      </c>
      <c r="F850" s="146" t="str">
        <f t="shared" si="76"/>
        <v>1996-97</v>
      </c>
      <c r="G850" s="1"/>
      <c r="H850" s="161"/>
      <c r="I850" s="37"/>
      <c r="J850" s="135">
        <f t="shared" si="70"/>
        <v>0.9161881535038825</v>
      </c>
      <c r="K850" s="112"/>
      <c r="L850" s="37">
        <v>460</v>
      </c>
      <c r="M850" s="37" t="s">
        <v>509</v>
      </c>
      <c r="N850" s="37">
        <v>4554.9065126891737</v>
      </c>
      <c r="O850" s="130">
        <f t="shared" si="80"/>
        <v>2095256.99583702</v>
      </c>
      <c r="P850" s="132">
        <f t="shared" si="81"/>
        <v>1919649.6381320113</v>
      </c>
      <c r="Q850" s="262">
        <v>1</v>
      </c>
      <c r="R850" s="92"/>
    </row>
    <row r="851" spans="1:18" ht="23" x14ac:dyDescent="0.25">
      <c r="A851" s="326">
        <v>1999</v>
      </c>
      <c r="B851" s="326" t="s">
        <v>805</v>
      </c>
      <c r="C851" s="264" t="s">
        <v>679</v>
      </c>
      <c r="D851" s="157" t="s">
        <v>680</v>
      </c>
      <c r="E851" s="44">
        <v>36341</v>
      </c>
      <c r="F851" s="146" t="str">
        <f t="shared" si="76"/>
        <v>1998-99</v>
      </c>
      <c r="G851" s="1"/>
      <c r="H851" s="161"/>
      <c r="I851" s="37"/>
      <c r="J851" s="135">
        <f t="shared" si="70"/>
        <v>0.9161881535038825</v>
      </c>
      <c r="K851" s="112"/>
      <c r="L851" s="37">
        <v>205</v>
      </c>
      <c r="M851" s="37" t="s">
        <v>509</v>
      </c>
      <c r="N851" s="37">
        <v>1153.2224409778812</v>
      </c>
      <c r="O851" s="130">
        <f t="shared" si="80"/>
        <v>236410.60040046566</v>
      </c>
      <c r="P851" s="132">
        <f t="shared" si="81"/>
        <v>216596.59144964686</v>
      </c>
      <c r="Q851" s="262">
        <v>1</v>
      </c>
      <c r="R851" s="92"/>
    </row>
    <row r="852" spans="1:18" ht="23" x14ac:dyDescent="0.25">
      <c r="A852" s="326">
        <v>1999</v>
      </c>
      <c r="B852" s="326" t="s">
        <v>805</v>
      </c>
      <c r="C852" s="264" t="s">
        <v>679</v>
      </c>
      <c r="D852" s="157" t="s">
        <v>680</v>
      </c>
      <c r="E852" s="44">
        <v>36341</v>
      </c>
      <c r="F852" s="146" t="str">
        <f t="shared" si="76"/>
        <v>1998-99</v>
      </c>
      <c r="G852" s="1"/>
      <c r="H852" s="161"/>
      <c r="I852" s="37"/>
      <c r="J852" s="135">
        <f t="shared" si="70"/>
        <v>0.9161881535038825</v>
      </c>
      <c r="K852" s="112"/>
      <c r="L852" s="37">
        <v>40</v>
      </c>
      <c r="M852" s="37" t="s">
        <v>509</v>
      </c>
      <c r="N852" s="37">
        <v>1138.7266281722934</v>
      </c>
      <c r="O852" s="130">
        <f t="shared" si="80"/>
        <v>45549.065126891735</v>
      </c>
      <c r="P852" s="132">
        <f t="shared" si="81"/>
        <v>41731.513872435025</v>
      </c>
      <c r="Q852" s="262">
        <v>1</v>
      </c>
      <c r="R852" s="92"/>
    </row>
    <row r="853" spans="1:18" ht="23" x14ac:dyDescent="0.25">
      <c r="A853" s="326">
        <v>1999</v>
      </c>
      <c r="B853" s="326" t="s">
        <v>805</v>
      </c>
      <c r="C853" s="264" t="s">
        <v>679</v>
      </c>
      <c r="D853" s="157" t="s">
        <v>680</v>
      </c>
      <c r="E853" s="44">
        <v>36341</v>
      </c>
      <c r="F853" s="146" t="str">
        <f t="shared" si="76"/>
        <v>1998-99</v>
      </c>
      <c r="G853" s="1"/>
      <c r="H853" s="161"/>
      <c r="I853" s="37"/>
      <c r="J853" s="135">
        <f t="shared" si="70"/>
        <v>0.9161881535038825</v>
      </c>
      <c r="K853" s="112"/>
      <c r="L853" s="37">
        <v>11.42618</v>
      </c>
      <c r="M853" s="37" t="s">
        <v>509</v>
      </c>
      <c r="N853" s="37">
        <v>634.59447171129227</v>
      </c>
      <c r="O853" s="130">
        <f t="shared" si="80"/>
        <v>7250.990660778134</v>
      </c>
      <c r="P853" s="132">
        <f t="shared" si="81"/>
        <v>6643.2717445722155</v>
      </c>
      <c r="Q853" s="262">
        <v>1</v>
      </c>
      <c r="R853" s="92"/>
    </row>
    <row r="854" spans="1:18" ht="23" x14ac:dyDescent="0.25">
      <c r="A854" s="326">
        <v>1999</v>
      </c>
      <c r="B854" s="326" t="s">
        <v>805</v>
      </c>
      <c r="C854" s="264" t="s">
        <v>679</v>
      </c>
      <c r="D854" s="157" t="s">
        <v>680</v>
      </c>
      <c r="E854" s="44">
        <v>36341</v>
      </c>
      <c r="F854" s="146" t="str">
        <f t="shared" si="76"/>
        <v>1998-99</v>
      </c>
      <c r="G854" s="1"/>
      <c r="H854" s="161"/>
      <c r="I854" s="37"/>
      <c r="J854" s="135">
        <f t="shared" si="70"/>
        <v>0.9161881535038825</v>
      </c>
      <c r="K854" s="112"/>
      <c r="L854" s="37">
        <v>40</v>
      </c>
      <c r="M854" s="37" t="s">
        <v>509</v>
      </c>
      <c r="N854" s="37">
        <v>565.33669941792778</v>
      </c>
      <c r="O854" s="130">
        <f t="shared" si="80"/>
        <v>22613.467976717111</v>
      </c>
      <c r="P854" s="132">
        <f t="shared" si="81"/>
        <v>20718.191469907626</v>
      </c>
      <c r="Q854" s="262">
        <v>1</v>
      </c>
      <c r="R854" s="92"/>
    </row>
    <row r="855" spans="1:18" ht="23" x14ac:dyDescent="0.25">
      <c r="A855" s="326">
        <v>1999</v>
      </c>
      <c r="B855" s="326" t="s">
        <v>805</v>
      </c>
      <c r="C855" s="264" t="s">
        <v>679</v>
      </c>
      <c r="D855" s="157" t="s">
        <v>680</v>
      </c>
      <c r="E855" s="44">
        <v>36341</v>
      </c>
      <c r="F855" s="146" t="str">
        <f t="shared" si="76"/>
        <v>1998-99</v>
      </c>
      <c r="G855" s="1"/>
      <c r="H855" s="161"/>
      <c r="I855" s="37"/>
      <c r="J855" s="135">
        <f t="shared" si="70"/>
        <v>0.9161881535038825</v>
      </c>
      <c r="K855" s="112"/>
      <c r="L855" s="37">
        <v>50</v>
      </c>
      <c r="M855" s="37" t="s">
        <v>509</v>
      </c>
      <c r="N855" s="37">
        <v>634.59447171129227</v>
      </c>
      <c r="O855" s="130">
        <f t="shared" si="80"/>
        <v>31729.723585564614</v>
      </c>
      <c r="P855" s="132">
        <f t="shared" si="81"/>
        <v>29070.396863047034</v>
      </c>
      <c r="Q855" s="262">
        <v>1</v>
      </c>
      <c r="R855" s="92"/>
    </row>
    <row r="856" spans="1:18" x14ac:dyDescent="0.25">
      <c r="A856" s="326">
        <v>2000</v>
      </c>
      <c r="B856" s="326" t="s">
        <v>805</v>
      </c>
      <c r="C856" s="264" t="s">
        <v>681</v>
      </c>
      <c r="D856" s="157" t="s">
        <v>438</v>
      </c>
      <c r="E856" s="44">
        <v>36707</v>
      </c>
      <c r="F856" s="146" t="str">
        <f t="shared" si="76"/>
        <v>1999-00</v>
      </c>
      <c r="G856" s="1"/>
      <c r="H856" s="161"/>
      <c r="I856" s="37"/>
      <c r="J856" s="135">
        <f t="shared" si="70"/>
        <v>0.9161881535038825</v>
      </c>
      <c r="K856" s="112"/>
      <c r="L856" s="37">
        <v>5.3860431673000004</v>
      </c>
      <c r="M856" s="37" t="s">
        <v>509</v>
      </c>
      <c r="N856" s="37">
        <v>1025.9814174621654</v>
      </c>
      <c r="O856" s="130">
        <f t="shared" si="80"/>
        <v>5525.9802032988655</v>
      </c>
      <c r="P856" s="132">
        <f t="shared" si="81"/>
        <v>1468.222903640225</v>
      </c>
      <c r="Q856" s="262">
        <v>0.28999999999999998</v>
      </c>
      <c r="R856" s="92"/>
    </row>
    <row r="857" spans="1:18" x14ac:dyDescent="0.25">
      <c r="A857" s="326">
        <v>2000</v>
      </c>
      <c r="B857" s="326" t="s">
        <v>805</v>
      </c>
      <c r="C857" s="264" t="s">
        <v>681</v>
      </c>
      <c r="D857" s="157" t="s">
        <v>438</v>
      </c>
      <c r="E857" s="44">
        <v>36707</v>
      </c>
      <c r="F857" s="146" t="str">
        <f t="shared" si="76"/>
        <v>1999-00</v>
      </c>
      <c r="G857" s="1"/>
      <c r="H857" s="161"/>
      <c r="I857" s="37"/>
      <c r="J857" s="135">
        <f t="shared" si="70"/>
        <v>0.9161881535038825</v>
      </c>
      <c r="K857" s="112"/>
      <c r="L857" s="37">
        <v>36.220187133700001</v>
      </c>
      <c r="M857" s="37" t="s">
        <v>509</v>
      </c>
      <c r="N857" s="37">
        <v>497.68957299185098</v>
      </c>
      <c r="O857" s="130">
        <f t="shared" si="80"/>
        <v>18026.40946825609</v>
      </c>
      <c r="P857" s="132">
        <f t="shared" si="81"/>
        <v>4789.5190134576706</v>
      </c>
      <c r="Q857" s="262">
        <v>0.28999999999999998</v>
      </c>
      <c r="R857" s="92"/>
    </row>
    <row r="858" spans="1:18" x14ac:dyDescent="0.25">
      <c r="A858" s="326">
        <v>2000</v>
      </c>
      <c r="B858" s="326" t="s">
        <v>805</v>
      </c>
      <c r="C858" s="264" t="s">
        <v>681</v>
      </c>
      <c r="D858" s="157" t="s">
        <v>438</v>
      </c>
      <c r="E858" s="44">
        <v>36707</v>
      </c>
      <c r="F858" s="146" t="str">
        <f t="shared" si="76"/>
        <v>1999-00</v>
      </c>
      <c r="G858" s="1"/>
      <c r="H858" s="161"/>
      <c r="I858" s="37"/>
      <c r="J858" s="135">
        <f t="shared" si="70"/>
        <v>0.9161881535038825</v>
      </c>
      <c r="K858" s="112"/>
      <c r="L858" s="37">
        <v>152</v>
      </c>
      <c r="M858" s="37" t="s">
        <v>509</v>
      </c>
      <c r="N858" s="37">
        <v>864.91683073341096</v>
      </c>
      <c r="O858" s="130">
        <f t="shared" si="80"/>
        <v>131467.35827147847</v>
      </c>
      <c r="P858" s="132">
        <f t="shared" si="81"/>
        <v>34930.162504025975</v>
      </c>
      <c r="Q858" s="262">
        <v>0.28999999999999998</v>
      </c>
      <c r="R858" s="92"/>
    </row>
    <row r="859" spans="1:18" x14ac:dyDescent="0.25">
      <c r="A859" s="326">
        <v>2000</v>
      </c>
      <c r="B859" s="326" t="s">
        <v>805</v>
      </c>
      <c r="C859" s="264" t="s">
        <v>682</v>
      </c>
      <c r="D859" s="157" t="s">
        <v>683</v>
      </c>
      <c r="E859" s="44">
        <v>36707</v>
      </c>
      <c r="F859" s="146" t="str">
        <f t="shared" si="76"/>
        <v>1999-00</v>
      </c>
      <c r="G859" s="1"/>
      <c r="H859" s="161"/>
      <c r="I859" s="37"/>
      <c r="J859" s="135">
        <f t="shared" si="70"/>
        <v>0.9161881535038825</v>
      </c>
      <c r="K859" s="112"/>
      <c r="L859" s="37">
        <v>116</v>
      </c>
      <c r="M859" s="37" t="s">
        <v>509</v>
      </c>
      <c r="N859" s="37">
        <v>670.02868079161817</v>
      </c>
      <c r="O859" s="130">
        <f t="shared" si="80"/>
        <v>77723.326971827715</v>
      </c>
      <c r="P859" s="132">
        <f t="shared" si="81"/>
        <v>17802.297855624336</v>
      </c>
      <c r="Q859" s="262">
        <v>0.25</v>
      </c>
      <c r="R859" s="92"/>
    </row>
    <row r="860" spans="1:18" x14ac:dyDescent="0.25">
      <c r="A860" s="326">
        <v>2000</v>
      </c>
      <c r="B860" s="326" t="s">
        <v>805</v>
      </c>
      <c r="C860" s="264" t="s">
        <v>682</v>
      </c>
      <c r="D860" s="157" t="s">
        <v>683</v>
      </c>
      <c r="E860" s="44">
        <v>36707</v>
      </c>
      <c r="F860" s="146" t="str">
        <f t="shared" si="76"/>
        <v>1999-00</v>
      </c>
      <c r="G860" s="1"/>
      <c r="H860" s="161"/>
      <c r="I860" s="37"/>
      <c r="J860" s="135">
        <f t="shared" si="70"/>
        <v>0.9161881535038825</v>
      </c>
      <c r="K860" s="112"/>
      <c r="L860" s="37">
        <v>60</v>
      </c>
      <c r="M860" s="37" t="s">
        <v>509</v>
      </c>
      <c r="N860" s="37">
        <v>971.21945797438889</v>
      </c>
      <c r="O860" s="130">
        <f t="shared" si="80"/>
        <v>58273.167478463336</v>
      </c>
      <c r="P860" s="132">
        <f t="shared" si="81"/>
        <v>6940.5941424190569</v>
      </c>
      <c r="Q860" s="262">
        <v>0.13</v>
      </c>
      <c r="R860" s="92"/>
    </row>
    <row r="861" spans="1:18" x14ac:dyDescent="0.25">
      <c r="A861" s="326">
        <v>2000</v>
      </c>
      <c r="B861" s="326" t="s">
        <v>805</v>
      </c>
      <c r="C861" s="264" t="s">
        <v>682</v>
      </c>
      <c r="D861" s="157" t="s">
        <v>683</v>
      </c>
      <c r="E861" s="44">
        <v>36707</v>
      </c>
      <c r="F861" s="146" t="str">
        <f t="shared" si="76"/>
        <v>1999-00</v>
      </c>
      <c r="G861" s="1"/>
      <c r="H861" s="161"/>
      <c r="I861" s="37"/>
      <c r="J861" s="135">
        <f t="shared" ref="J861:J924" si="82">J860</f>
        <v>0.9161881535038825</v>
      </c>
      <c r="K861" s="112"/>
      <c r="L861" s="37">
        <v>41</v>
      </c>
      <c r="M861" s="37" t="s">
        <v>509</v>
      </c>
      <c r="N861" s="37">
        <v>1153.2224409778812</v>
      </c>
      <c r="O861" s="130">
        <f t="shared" si="80"/>
        <v>47282.120080093133</v>
      </c>
      <c r="P861" s="132">
        <f t="shared" si="81"/>
        <v>3032.3522802950565</v>
      </c>
      <c r="Q861" s="262">
        <v>7.0000000000000007E-2</v>
      </c>
      <c r="R861" s="92"/>
    </row>
    <row r="862" spans="1:18" x14ac:dyDescent="0.25">
      <c r="A862" s="326">
        <v>2000</v>
      </c>
      <c r="B862" s="326" t="s">
        <v>805</v>
      </c>
      <c r="C862" s="264" t="s">
        <v>682</v>
      </c>
      <c r="D862" s="157" t="s">
        <v>683</v>
      </c>
      <c r="E862" s="44">
        <v>36707</v>
      </c>
      <c r="F862" s="146" t="str">
        <f t="shared" si="76"/>
        <v>1999-00</v>
      </c>
      <c r="G862" s="1"/>
      <c r="H862" s="161"/>
      <c r="I862" s="37"/>
      <c r="J862" s="135">
        <f t="shared" si="82"/>
        <v>0.9161881535038825</v>
      </c>
      <c r="K862" s="112"/>
      <c r="L862" s="37">
        <v>64</v>
      </c>
      <c r="M862" s="37" t="s">
        <v>509</v>
      </c>
      <c r="N862" s="37">
        <v>1153.2224409778812</v>
      </c>
      <c r="O862" s="130">
        <f t="shared" si="80"/>
        <v>73806.236222584397</v>
      </c>
      <c r="P862" s="132">
        <f t="shared" si="81"/>
        <v>4733.427949728868</v>
      </c>
      <c r="Q862" s="262">
        <v>7.0000000000000007E-2</v>
      </c>
      <c r="R862" s="92"/>
    </row>
    <row r="863" spans="1:18" x14ac:dyDescent="0.25">
      <c r="A863" s="326">
        <v>2000</v>
      </c>
      <c r="B863" s="326" t="s">
        <v>805</v>
      </c>
      <c r="C863" s="264" t="s">
        <v>682</v>
      </c>
      <c r="D863" s="157" t="s">
        <v>684</v>
      </c>
      <c r="E863" s="44">
        <v>36707</v>
      </c>
      <c r="F863" s="146" t="str">
        <f t="shared" si="76"/>
        <v>1999-00</v>
      </c>
      <c r="G863" s="1"/>
      <c r="H863" s="161"/>
      <c r="I863" s="37"/>
      <c r="J863" s="135">
        <f t="shared" si="82"/>
        <v>0.9161881535038825</v>
      </c>
      <c r="K863" s="112"/>
      <c r="L863" s="37">
        <v>28</v>
      </c>
      <c r="M863" s="37" t="s">
        <v>509</v>
      </c>
      <c r="N863" s="37">
        <v>634.59447171129227</v>
      </c>
      <c r="O863" s="130">
        <f t="shared" si="80"/>
        <v>17768.645207916183</v>
      </c>
      <c r="P863" s="132">
        <f t="shared" si="81"/>
        <v>1790.7364467636971</v>
      </c>
      <c r="Q863" s="262">
        <v>0.11</v>
      </c>
      <c r="R863" s="92"/>
    </row>
    <row r="864" spans="1:18" x14ac:dyDescent="0.25">
      <c r="A864" s="326">
        <v>2000</v>
      </c>
      <c r="B864" s="326" t="s">
        <v>805</v>
      </c>
      <c r="C864" s="264" t="s">
        <v>682</v>
      </c>
      <c r="D864" s="157" t="s">
        <v>683</v>
      </c>
      <c r="E864" s="44">
        <v>36707</v>
      </c>
      <c r="F864" s="146" t="str">
        <f t="shared" si="76"/>
        <v>1999-00</v>
      </c>
      <c r="G864" s="1"/>
      <c r="H864" s="161"/>
      <c r="I864" s="37"/>
      <c r="J864" s="135">
        <f t="shared" si="82"/>
        <v>0.9161881535038825</v>
      </c>
      <c r="K864" s="112"/>
      <c r="L864" s="37">
        <v>14</v>
      </c>
      <c r="M864" s="37" t="s">
        <v>509</v>
      </c>
      <c r="N864" s="37">
        <v>827.87197578579753</v>
      </c>
      <c r="O864" s="130">
        <f t="shared" si="80"/>
        <v>11590.207661001165</v>
      </c>
      <c r="P864" s="132">
        <f t="shared" si="81"/>
        <v>637.12865733955255</v>
      </c>
      <c r="Q864" s="262">
        <v>0.06</v>
      </c>
      <c r="R864" s="92"/>
    </row>
    <row r="865" spans="1:18" x14ac:dyDescent="0.25">
      <c r="A865" s="326">
        <v>2002</v>
      </c>
      <c r="B865" s="326" t="s">
        <v>805</v>
      </c>
      <c r="C865" s="264" t="s">
        <v>685</v>
      </c>
      <c r="D865" s="157" t="s">
        <v>686</v>
      </c>
      <c r="E865" s="44">
        <v>37437</v>
      </c>
      <c r="F865" s="146" t="str">
        <f t="shared" si="76"/>
        <v>2001-02</v>
      </c>
      <c r="G865" s="1"/>
      <c r="H865" s="161"/>
      <c r="I865" s="37"/>
      <c r="J865" s="135">
        <f t="shared" si="82"/>
        <v>0.9161881535038825</v>
      </c>
      <c r="K865" s="112"/>
      <c r="L865" s="37">
        <v>64</v>
      </c>
      <c r="M865" s="37" t="s">
        <v>509</v>
      </c>
      <c r="N865" s="37">
        <v>563.72605355064024</v>
      </c>
      <c r="O865" s="130">
        <f t="shared" si="80"/>
        <v>36078.467427240976</v>
      </c>
      <c r="P865" s="132">
        <f t="shared" si="81"/>
        <v>4627.6530234779439</v>
      </c>
      <c r="Q865" s="262">
        <v>0.14000000000000001</v>
      </c>
      <c r="R865" s="92"/>
    </row>
    <row r="866" spans="1:18" x14ac:dyDescent="0.25">
      <c r="A866" s="326">
        <v>2002</v>
      </c>
      <c r="B866" s="326" t="s">
        <v>805</v>
      </c>
      <c r="C866" s="264" t="s">
        <v>687</v>
      </c>
      <c r="D866" s="157" t="s">
        <v>688</v>
      </c>
      <c r="E866" s="44">
        <v>37437</v>
      </c>
      <c r="F866" s="146" t="str">
        <f t="shared" si="76"/>
        <v>2001-02</v>
      </c>
      <c r="G866" s="1"/>
      <c r="H866" s="161"/>
      <c r="I866" s="37"/>
      <c r="J866" s="135">
        <f t="shared" si="82"/>
        <v>0.9161881535038825</v>
      </c>
      <c r="K866" s="112"/>
      <c r="L866" s="37">
        <v>75</v>
      </c>
      <c r="M866" s="37" t="s">
        <v>509</v>
      </c>
      <c r="N866" s="37">
        <v>497.68957299185098</v>
      </c>
      <c r="O866" s="130">
        <f t="shared" si="80"/>
        <v>37326.717974388826</v>
      </c>
      <c r="P866" s="132">
        <f t="shared" si="81"/>
        <v>7523.625299809406</v>
      </c>
      <c r="Q866" s="262">
        <v>0.22</v>
      </c>
      <c r="R866" s="92"/>
    </row>
    <row r="867" spans="1:18" x14ac:dyDescent="0.25">
      <c r="A867" s="326">
        <v>2003</v>
      </c>
      <c r="B867" s="326" t="s">
        <v>805</v>
      </c>
      <c r="C867" s="264" t="s">
        <v>689</v>
      </c>
      <c r="D867" s="157" t="s">
        <v>690</v>
      </c>
      <c r="E867" s="44">
        <v>37802</v>
      </c>
      <c r="F867" s="146" t="str">
        <f t="shared" si="76"/>
        <v>2002-03</v>
      </c>
      <c r="G867" s="1"/>
      <c r="H867" s="161"/>
      <c r="I867" s="37"/>
      <c r="J867" s="135">
        <f t="shared" si="82"/>
        <v>0.9161881535038825</v>
      </c>
      <c r="K867" s="112"/>
      <c r="L867" s="37">
        <v>5.9275413115399997</v>
      </c>
      <c r="M867" s="37" t="s">
        <v>509</v>
      </c>
      <c r="N867" s="37">
        <v>497.68957299185098</v>
      </c>
      <c r="O867" s="130">
        <f t="shared" si="80"/>
        <v>2950.0755042318988</v>
      </c>
      <c r="P867" s="132">
        <f t="shared" si="81"/>
        <v>1648.7227796407476</v>
      </c>
      <c r="Q867" s="262">
        <v>0.61</v>
      </c>
      <c r="R867" s="92"/>
    </row>
    <row r="868" spans="1:18" x14ac:dyDescent="0.25">
      <c r="A868" s="326">
        <v>2003</v>
      </c>
      <c r="B868" s="326" t="s">
        <v>805</v>
      </c>
      <c r="C868" s="264"/>
      <c r="D868" s="157" t="s">
        <v>691</v>
      </c>
      <c r="E868" s="44">
        <v>37802</v>
      </c>
      <c r="F868" s="146" t="str">
        <f t="shared" si="76"/>
        <v>2002-03</v>
      </c>
      <c r="G868" s="1"/>
      <c r="H868" s="161"/>
      <c r="I868" s="37"/>
      <c r="J868" s="135">
        <f t="shared" si="82"/>
        <v>0.9161881535038825</v>
      </c>
      <c r="K868" s="112"/>
      <c r="L868" s="37">
        <v>5.91135424416</v>
      </c>
      <c r="M868" s="37" t="s">
        <v>509</v>
      </c>
      <c r="N868" s="37">
        <v>565.33669941792778</v>
      </c>
      <c r="O868" s="130">
        <f t="shared" si="80"/>
        <v>3341.9054974835735</v>
      </c>
      <c r="P868" s="132">
        <f t="shared" si="81"/>
        <v>3061.8142269239493</v>
      </c>
      <c r="Q868" s="262">
        <v>1</v>
      </c>
      <c r="R868" s="92"/>
    </row>
    <row r="869" spans="1:18" x14ac:dyDescent="0.25">
      <c r="A869" s="326">
        <v>2003</v>
      </c>
      <c r="B869" s="326" t="s">
        <v>805</v>
      </c>
      <c r="C869" s="264" t="s">
        <v>692</v>
      </c>
      <c r="D869" s="157" t="s">
        <v>688</v>
      </c>
      <c r="E869" s="44">
        <v>37802</v>
      </c>
      <c r="F869" s="146" t="str">
        <f t="shared" si="76"/>
        <v>2002-03</v>
      </c>
      <c r="G869" s="1"/>
      <c r="H869" s="161"/>
      <c r="I869" s="37"/>
      <c r="J869" s="135">
        <f t="shared" si="82"/>
        <v>0.9161881535038825</v>
      </c>
      <c r="K869" s="112"/>
      <c r="L869" s="37">
        <v>39</v>
      </c>
      <c r="M869" s="37" t="s">
        <v>509</v>
      </c>
      <c r="N869" s="37">
        <v>497.68957299185098</v>
      </c>
      <c r="O869" s="130">
        <f t="shared" si="80"/>
        <v>19409.893346682187</v>
      </c>
      <c r="P869" s="132">
        <f t="shared" si="81"/>
        <v>8891.5571725020236</v>
      </c>
      <c r="Q869" s="262">
        <v>0.5</v>
      </c>
      <c r="R869" s="92"/>
    </row>
    <row r="870" spans="1:18" ht="23" x14ac:dyDescent="0.25">
      <c r="A870" s="326">
        <v>2003</v>
      </c>
      <c r="B870" s="326" t="s">
        <v>805</v>
      </c>
      <c r="C870" s="264"/>
      <c r="D870" s="157" t="s">
        <v>693</v>
      </c>
      <c r="E870" s="44">
        <v>37802</v>
      </c>
      <c r="F870" s="146" t="str">
        <f t="shared" si="76"/>
        <v>2002-03</v>
      </c>
      <c r="G870" s="1"/>
      <c r="H870" s="161"/>
      <c r="I870" s="37"/>
      <c r="J870" s="135">
        <f t="shared" si="82"/>
        <v>0.9161881535038825</v>
      </c>
      <c r="K870" s="112"/>
      <c r="L870" s="37">
        <v>2.2519720325199999</v>
      </c>
      <c r="M870" s="37" t="s">
        <v>509</v>
      </c>
      <c r="N870" s="37">
        <v>827.87197578579753</v>
      </c>
      <c r="O870" s="130">
        <f t="shared" si="80"/>
        <v>1864.3445359766906</v>
      </c>
      <c r="P870" s="132">
        <f t="shared" si="81"/>
        <v>1708.0903779115367</v>
      </c>
      <c r="Q870" s="262">
        <v>1</v>
      </c>
      <c r="R870" s="92"/>
    </row>
    <row r="871" spans="1:18" x14ac:dyDescent="0.25">
      <c r="A871" s="326">
        <v>2003</v>
      </c>
      <c r="B871" s="326" t="s">
        <v>805</v>
      </c>
      <c r="C871" s="264"/>
      <c r="D871" s="157" t="s">
        <v>694</v>
      </c>
      <c r="E871" s="44">
        <v>37802</v>
      </c>
      <c r="F871" s="146" t="str">
        <f t="shared" si="76"/>
        <v>2002-03</v>
      </c>
      <c r="G871" s="1"/>
      <c r="H871" s="161"/>
      <c r="I871" s="37"/>
      <c r="J871" s="135">
        <f t="shared" si="82"/>
        <v>0.9161881535038825</v>
      </c>
      <c r="K871" s="112"/>
      <c r="L871" s="37">
        <v>20.481454145299999</v>
      </c>
      <c r="M871" s="37" t="s">
        <v>509</v>
      </c>
      <c r="N871" s="37">
        <v>565.33669941792778</v>
      </c>
      <c r="O871" s="130">
        <f t="shared" si="80"/>
        <v>11578.917685783535</v>
      </c>
      <c r="P871" s="132">
        <f t="shared" si="81"/>
        <v>1166.9313935522612</v>
      </c>
      <c r="Q871" s="262">
        <v>0.11</v>
      </c>
      <c r="R871" s="92"/>
    </row>
    <row r="872" spans="1:18" x14ac:dyDescent="0.25">
      <c r="A872" s="326">
        <v>2004</v>
      </c>
      <c r="B872" s="326" t="s">
        <v>805</v>
      </c>
      <c r="C872" s="264" t="s">
        <v>695</v>
      </c>
      <c r="D872" s="157" t="s">
        <v>696</v>
      </c>
      <c r="E872" s="44">
        <v>38168</v>
      </c>
      <c r="F872" s="146" t="str">
        <f t="shared" si="76"/>
        <v>2003-04</v>
      </c>
      <c r="G872" s="1"/>
      <c r="H872" s="161"/>
      <c r="I872" s="37"/>
      <c r="J872" s="135">
        <f t="shared" si="82"/>
        <v>0.9161881535038825</v>
      </c>
      <c r="K872" s="112"/>
      <c r="L872" s="37">
        <v>14.340212079100001</v>
      </c>
      <c r="M872" s="37" t="s">
        <v>509</v>
      </c>
      <c r="N872" s="37">
        <v>959.94493690337606</v>
      </c>
      <c r="O872" s="130">
        <f t="shared" si="80"/>
        <v>13765.813979452681</v>
      </c>
      <c r="P872" s="132">
        <f t="shared" si="81"/>
        <v>7062.7623871351043</v>
      </c>
      <c r="Q872" s="262">
        <v>0.56000000000000005</v>
      </c>
      <c r="R872" s="92"/>
    </row>
    <row r="873" spans="1:18" x14ac:dyDescent="0.25">
      <c r="A873" s="326">
        <v>2004</v>
      </c>
      <c r="B873" s="326" t="s">
        <v>805</v>
      </c>
      <c r="C873" s="264" t="s">
        <v>697</v>
      </c>
      <c r="D873" s="157" t="s">
        <v>698</v>
      </c>
      <c r="E873" s="44">
        <v>38168</v>
      </c>
      <c r="F873" s="146" t="str">
        <f t="shared" si="76"/>
        <v>2003-04</v>
      </c>
      <c r="G873" s="1"/>
      <c r="H873" s="161"/>
      <c r="I873" s="37"/>
      <c r="J873" s="135">
        <f t="shared" si="82"/>
        <v>0.9161881535038825</v>
      </c>
      <c r="K873" s="112"/>
      <c r="L873" s="37">
        <v>59.0764881622</v>
      </c>
      <c r="M873" s="37" t="s">
        <v>509</v>
      </c>
      <c r="N873" s="37">
        <v>926.12137369033769</v>
      </c>
      <c r="O873" s="130">
        <f t="shared" si="80"/>
        <v>54711.998369577639</v>
      </c>
      <c r="P873" s="132">
        <f t="shared" si="81"/>
        <v>3007.5890856438459</v>
      </c>
      <c r="Q873" s="262">
        <v>0.06</v>
      </c>
      <c r="R873" s="92"/>
    </row>
    <row r="874" spans="1:18" x14ac:dyDescent="0.25">
      <c r="A874" s="326">
        <v>2004</v>
      </c>
      <c r="B874" s="326" t="s">
        <v>805</v>
      </c>
      <c r="C874" s="264" t="s">
        <v>699</v>
      </c>
      <c r="D874" s="157" t="s">
        <v>700</v>
      </c>
      <c r="E874" s="44">
        <v>38168</v>
      </c>
      <c r="F874" s="146" t="str">
        <f t="shared" si="76"/>
        <v>2003-04</v>
      </c>
      <c r="G874" s="1"/>
      <c r="H874" s="161"/>
      <c r="I874" s="37"/>
      <c r="J874" s="135">
        <f t="shared" si="82"/>
        <v>0.9161881535038825</v>
      </c>
      <c r="K874" s="112"/>
      <c r="L874" s="37">
        <v>63</v>
      </c>
      <c r="M874" s="37" t="s">
        <v>509</v>
      </c>
      <c r="N874" s="37">
        <v>1153.2224409778812</v>
      </c>
      <c r="O874" s="130">
        <f t="shared" si="80"/>
        <v>72653.013781606511</v>
      </c>
      <c r="P874" s="132">
        <f t="shared" si="81"/>
        <v>6656.3830543062204</v>
      </c>
      <c r="Q874" s="262">
        <v>0.1</v>
      </c>
      <c r="R874" s="92"/>
    </row>
    <row r="875" spans="1:18" x14ac:dyDescent="0.25">
      <c r="A875" s="326">
        <v>2004</v>
      </c>
      <c r="B875" s="326" t="s">
        <v>805</v>
      </c>
      <c r="C875" s="264" t="s">
        <v>699</v>
      </c>
      <c r="D875" s="157" t="s">
        <v>700</v>
      </c>
      <c r="E875" s="44">
        <v>38168</v>
      </c>
      <c r="F875" s="146" t="str">
        <f t="shared" si="76"/>
        <v>2003-04</v>
      </c>
      <c r="G875" s="1"/>
      <c r="H875" s="161"/>
      <c r="I875" s="37"/>
      <c r="J875" s="135">
        <f t="shared" si="82"/>
        <v>0.9161881535038825</v>
      </c>
      <c r="K875" s="112"/>
      <c r="L875" s="37">
        <v>51</v>
      </c>
      <c r="M875" s="37" t="s">
        <v>509</v>
      </c>
      <c r="N875" s="37">
        <v>737.67580721769491</v>
      </c>
      <c r="O875" s="130">
        <f t="shared" si="80"/>
        <v>37621.466168102437</v>
      </c>
      <c r="P875" s="132">
        <f t="shared" si="81"/>
        <v>3446.8341620662559</v>
      </c>
      <c r="Q875" s="262">
        <v>0.1</v>
      </c>
      <c r="R875" s="92"/>
    </row>
    <row r="876" spans="1:18" x14ac:dyDescent="0.25">
      <c r="A876" s="326">
        <v>2004</v>
      </c>
      <c r="B876" s="326" t="s">
        <v>805</v>
      </c>
      <c r="C876" s="264" t="s">
        <v>699</v>
      </c>
      <c r="D876" s="157" t="s">
        <v>700</v>
      </c>
      <c r="E876" s="44">
        <v>38168</v>
      </c>
      <c r="F876" s="146" t="str">
        <f t="shared" si="76"/>
        <v>2003-04</v>
      </c>
      <c r="G876" s="1"/>
      <c r="H876" s="161"/>
      <c r="I876" s="37"/>
      <c r="J876" s="135">
        <f t="shared" si="82"/>
        <v>0.9161881535038825</v>
      </c>
      <c r="K876" s="112"/>
      <c r="L876" s="37">
        <v>71</v>
      </c>
      <c r="M876" s="37" t="s">
        <v>509</v>
      </c>
      <c r="N876" s="37">
        <v>670.02868079161817</v>
      </c>
      <c r="O876" s="130">
        <f t="shared" si="80"/>
        <v>47572.036336204888</v>
      </c>
      <c r="P876" s="132">
        <f t="shared" si="81"/>
        <v>4358.4936129287162</v>
      </c>
      <c r="Q876" s="262">
        <v>0.1</v>
      </c>
      <c r="R876" s="92"/>
    </row>
    <row r="877" spans="1:18" x14ac:dyDescent="0.25">
      <c r="A877" s="326">
        <v>2004</v>
      </c>
      <c r="B877" s="326" t="s">
        <v>805</v>
      </c>
      <c r="C877" s="264" t="s">
        <v>699</v>
      </c>
      <c r="D877" s="157" t="s">
        <v>701</v>
      </c>
      <c r="E877" s="44">
        <v>38168</v>
      </c>
      <c r="F877" s="146" t="str">
        <f t="shared" si="76"/>
        <v>2003-04</v>
      </c>
      <c r="G877" s="1"/>
      <c r="H877" s="161"/>
      <c r="I877" s="37"/>
      <c r="J877" s="135">
        <f t="shared" si="82"/>
        <v>0.9161881535038825</v>
      </c>
      <c r="K877" s="112"/>
      <c r="L877" s="37">
        <v>232</v>
      </c>
      <c r="M877" s="37" t="s">
        <v>509</v>
      </c>
      <c r="N877" s="37">
        <v>565.33669941792778</v>
      </c>
      <c r="O877" s="130">
        <f t="shared" si="80"/>
        <v>131158.11426495924</v>
      </c>
      <c r="P877" s="132">
        <f t="shared" si="81"/>
        <v>12016.551052546425</v>
      </c>
      <c r="Q877" s="262">
        <v>0.1</v>
      </c>
      <c r="R877" s="92"/>
    </row>
    <row r="878" spans="1:18" x14ac:dyDescent="0.25">
      <c r="A878" s="326">
        <v>2004</v>
      </c>
      <c r="B878" s="326" t="s">
        <v>805</v>
      </c>
      <c r="C878" s="264" t="s">
        <v>699</v>
      </c>
      <c r="D878" s="157" t="s">
        <v>701</v>
      </c>
      <c r="E878" s="44">
        <v>38168</v>
      </c>
      <c r="F878" s="146" t="str">
        <f t="shared" si="76"/>
        <v>2003-04</v>
      </c>
      <c r="G878" s="1"/>
      <c r="H878" s="161"/>
      <c r="I878" s="37"/>
      <c r="J878" s="135">
        <f t="shared" si="82"/>
        <v>0.9161881535038825</v>
      </c>
      <c r="K878" s="112"/>
      <c r="L878" s="37">
        <v>57.958950652200002</v>
      </c>
      <c r="M878" s="37" t="s">
        <v>509</v>
      </c>
      <c r="N878" s="37">
        <v>827.87197578579753</v>
      </c>
      <c r="O878" s="130">
        <f t="shared" si="80"/>
        <v>47982.590990908357</v>
      </c>
      <c r="P878" s="132">
        <f t="shared" si="81"/>
        <v>4396.1081440292355</v>
      </c>
      <c r="Q878" s="262">
        <v>0.1</v>
      </c>
      <c r="R878" s="92"/>
    </row>
    <row r="879" spans="1:18" x14ac:dyDescent="0.25">
      <c r="A879" s="326">
        <v>2005</v>
      </c>
      <c r="B879" s="326" t="s">
        <v>805</v>
      </c>
      <c r="C879" s="264" t="s">
        <v>702</v>
      </c>
      <c r="D879" s="157" t="s">
        <v>703</v>
      </c>
      <c r="E879" s="44">
        <v>38533</v>
      </c>
      <c r="F879" s="146" t="str">
        <f t="shared" si="76"/>
        <v>2004-05</v>
      </c>
      <c r="G879" s="1"/>
      <c r="H879" s="161"/>
      <c r="I879" s="37"/>
      <c r="J879" s="135">
        <f t="shared" si="82"/>
        <v>0.9161881535038825</v>
      </c>
      <c r="K879" s="112"/>
      <c r="L879" s="37">
        <v>116</v>
      </c>
      <c r="M879" s="37" t="s">
        <v>509</v>
      </c>
      <c r="N879" s="37">
        <v>565.33669941792778</v>
      </c>
      <c r="O879" s="130">
        <f t="shared" si="80"/>
        <v>65579.057132479618</v>
      </c>
      <c r="P879" s="132">
        <f t="shared" si="81"/>
        <v>6609.1030789005335</v>
      </c>
      <c r="Q879" s="262">
        <v>0.11</v>
      </c>
      <c r="R879" s="92"/>
    </row>
    <row r="880" spans="1:18" x14ac:dyDescent="0.25">
      <c r="A880" s="326">
        <v>2005</v>
      </c>
      <c r="B880" s="326" t="s">
        <v>805</v>
      </c>
      <c r="C880" s="264" t="s">
        <v>702</v>
      </c>
      <c r="D880" s="157" t="s">
        <v>703</v>
      </c>
      <c r="E880" s="44">
        <v>38533</v>
      </c>
      <c r="F880" s="146" t="str">
        <f t="shared" si="76"/>
        <v>2004-05</v>
      </c>
      <c r="G880" s="1"/>
      <c r="H880" s="161"/>
      <c r="I880" s="37"/>
      <c r="J880" s="135">
        <f t="shared" si="82"/>
        <v>0.9161881535038825</v>
      </c>
      <c r="K880" s="112"/>
      <c r="L880" s="37">
        <v>86</v>
      </c>
      <c r="M880" s="37" t="s">
        <v>509</v>
      </c>
      <c r="N880" s="37">
        <v>634.59447171129227</v>
      </c>
      <c r="O880" s="130">
        <f t="shared" si="80"/>
        <v>54575.124567171137</v>
      </c>
      <c r="P880" s="132">
        <f t="shared" si="81"/>
        <v>3000.0649562664539</v>
      </c>
      <c r="Q880" s="262">
        <v>0.06</v>
      </c>
      <c r="R880" s="92"/>
    </row>
    <row r="881" spans="1:18" x14ac:dyDescent="0.25">
      <c r="A881" s="326">
        <v>2005</v>
      </c>
      <c r="B881" s="326" t="s">
        <v>805</v>
      </c>
      <c r="C881" s="264" t="s">
        <v>704</v>
      </c>
      <c r="D881" s="157" t="s">
        <v>703</v>
      </c>
      <c r="E881" s="44">
        <v>38533</v>
      </c>
      <c r="F881" s="146" t="str">
        <f t="shared" si="76"/>
        <v>2004-05</v>
      </c>
      <c r="G881" s="1"/>
      <c r="H881" s="161"/>
      <c r="I881" s="37"/>
      <c r="J881" s="135">
        <f t="shared" si="82"/>
        <v>0.9161881535038825</v>
      </c>
      <c r="K881" s="112"/>
      <c r="L881" s="37">
        <v>121</v>
      </c>
      <c r="M881" s="37" t="s">
        <v>509</v>
      </c>
      <c r="N881" s="37">
        <v>565.33669941792778</v>
      </c>
      <c r="O881" s="130">
        <f t="shared" si="80"/>
        <v>68405.740629569264</v>
      </c>
      <c r="P881" s="132">
        <f t="shared" si="81"/>
        <v>6893.9782116117631</v>
      </c>
      <c r="Q881" s="262">
        <v>0.11</v>
      </c>
      <c r="R881" s="92"/>
    </row>
    <row r="882" spans="1:18" x14ac:dyDescent="0.25">
      <c r="A882" s="326">
        <v>2005</v>
      </c>
      <c r="B882" s="326" t="s">
        <v>805</v>
      </c>
      <c r="C882" s="264" t="s">
        <v>704</v>
      </c>
      <c r="D882" s="157" t="s">
        <v>703</v>
      </c>
      <c r="E882" s="44">
        <v>38533</v>
      </c>
      <c r="F882" s="146" t="str">
        <f t="shared" si="76"/>
        <v>2004-05</v>
      </c>
      <c r="G882" s="1"/>
      <c r="H882" s="161"/>
      <c r="I882" s="37"/>
      <c r="J882" s="135">
        <f t="shared" si="82"/>
        <v>0.9161881535038825</v>
      </c>
      <c r="K882" s="112"/>
      <c r="L882" s="37">
        <v>52</v>
      </c>
      <c r="M882" s="37" t="s">
        <v>509</v>
      </c>
      <c r="N882" s="37">
        <v>827.87197578579753</v>
      </c>
      <c r="O882" s="130">
        <f t="shared" si="80"/>
        <v>43049.342740861473</v>
      </c>
      <c r="P882" s="132">
        <f t="shared" si="81"/>
        <v>2366.4778701183382</v>
      </c>
      <c r="Q882" s="262">
        <v>0.06</v>
      </c>
      <c r="R882" s="92"/>
    </row>
    <row r="883" spans="1:18" x14ac:dyDescent="0.25">
      <c r="A883" s="326">
        <v>2005</v>
      </c>
      <c r="B883" s="326" t="s">
        <v>805</v>
      </c>
      <c r="C883" s="264" t="s">
        <v>704</v>
      </c>
      <c r="D883" s="157" t="s">
        <v>703</v>
      </c>
      <c r="E883" s="44">
        <v>38533</v>
      </c>
      <c r="F883" s="146" t="str">
        <f t="shared" si="76"/>
        <v>2004-05</v>
      </c>
      <c r="G883" s="1"/>
      <c r="H883" s="161"/>
      <c r="I883" s="37"/>
      <c r="J883" s="135">
        <f t="shared" si="82"/>
        <v>0.9161881535038825</v>
      </c>
      <c r="K883" s="112"/>
      <c r="L883" s="37">
        <v>12.1185422391</v>
      </c>
      <c r="M883" s="37" t="s">
        <v>509</v>
      </c>
      <c r="N883" s="37">
        <v>1025.9814174621654</v>
      </c>
      <c r="O883" s="130">
        <f t="shared" si="80"/>
        <v>12433.399144046942</v>
      </c>
      <c r="P883" s="132">
        <f t="shared" si="81"/>
        <v>683.47998021366732</v>
      </c>
      <c r="Q883" s="262">
        <v>0.06</v>
      </c>
      <c r="R883" s="92"/>
    </row>
    <row r="884" spans="1:18" x14ac:dyDescent="0.25">
      <c r="A884" s="326">
        <v>2005</v>
      </c>
      <c r="B884" s="326" t="s">
        <v>805</v>
      </c>
      <c r="C884" s="264" t="s">
        <v>705</v>
      </c>
      <c r="D884" s="157" t="s">
        <v>703</v>
      </c>
      <c r="E884" s="44">
        <v>38533</v>
      </c>
      <c r="F884" s="146" t="str">
        <f t="shared" si="76"/>
        <v>2004-05</v>
      </c>
      <c r="G884" s="1"/>
      <c r="H884" s="161"/>
      <c r="I884" s="37"/>
      <c r="J884" s="135">
        <f t="shared" si="82"/>
        <v>0.9161881535038825</v>
      </c>
      <c r="K884" s="112"/>
      <c r="L884" s="37">
        <v>88</v>
      </c>
      <c r="M884" s="37" t="s">
        <v>509</v>
      </c>
      <c r="N884" s="37">
        <v>893.90845634458674</v>
      </c>
      <c r="O884" s="130">
        <f t="shared" si="80"/>
        <v>78663.944158323633</v>
      </c>
      <c r="P884" s="132">
        <f t="shared" si="81"/>
        <v>5044.9681622022936</v>
      </c>
      <c r="Q884" s="262">
        <v>7.0000000000000007E-2</v>
      </c>
      <c r="R884" s="92"/>
    </row>
    <row r="885" spans="1:18" x14ac:dyDescent="0.25">
      <c r="A885" s="326">
        <v>2005</v>
      </c>
      <c r="B885" s="326" t="s">
        <v>805</v>
      </c>
      <c r="C885" s="264" t="s">
        <v>705</v>
      </c>
      <c r="D885" s="157" t="s">
        <v>703</v>
      </c>
      <c r="E885" s="44">
        <v>38533</v>
      </c>
      <c r="F885" s="146" t="str">
        <f t="shared" si="76"/>
        <v>2004-05</v>
      </c>
      <c r="G885" s="1"/>
      <c r="H885" s="161"/>
      <c r="I885" s="37"/>
      <c r="J885" s="135">
        <f t="shared" si="82"/>
        <v>0.9161881535038825</v>
      </c>
      <c r="K885" s="112"/>
      <c r="L885" s="37">
        <v>26</v>
      </c>
      <c r="M885" s="37" t="s">
        <v>509</v>
      </c>
      <c r="N885" s="37">
        <v>971.21945797438889</v>
      </c>
      <c r="O885" s="130">
        <f t="shared" si="80"/>
        <v>25251.705907334112</v>
      </c>
      <c r="P885" s="132">
        <f t="shared" si="81"/>
        <v>694.05941424190564</v>
      </c>
      <c r="Q885" s="262">
        <v>0.03</v>
      </c>
      <c r="R885" s="92"/>
    </row>
    <row r="886" spans="1:18" x14ac:dyDescent="0.25">
      <c r="A886" s="326">
        <v>2005</v>
      </c>
      <c r="B886" s="326" t="s">
        <v>805</v>
      </c>
      <c r="C886" s="264" t="s">
        <v>705</v>
      </c>
      <c r="D886" s="157" t="s">
        <v>703</v>
      </c>
      <c r="E886" s="44">
        <v>38533</v>
      </c>
      <c r="F886" s="146" t="str">
        <f t="shared" si="76"/>
        <v>2004-05</v>
      </c>
      <c r="G886" s="1"/>
      <c r="H886" s="161"/>
      <c r="I886" s="37"/>
      <c r="J886" s="135">
        <f t="shared" si="82"/>
        <v>0.9161881535038825</v>
      </c>
      <c r="K886" s="112"/>
      <c r="L886" s="37">
        <v>64</v>
      </c>
      <c r="M886" s="37" t="s">
        <v>509</v>
      </c>
      <c r="N886" s="37">
        <v>670.02868079161817</v>
      </c>
      <c r="O886" s="130">
        <f t="shared" si="80"/>
        <v>42881.835570663563</v>
      </c>
      <c r="P886" s="132">
        <f t="shared" si="81"/>
        <v>5893.174462551503</v>
      </c>
      <c r="Q886" s="262">
        <v>0.15</v>
      </c>
      <c r="R886" s="92"/>
    </row>
    <row r="887" spans="1:18" x14ac:dyDescent="0.25">
      <c r="A887" s="326">
        <v>2005</v>
      </c>
      <c r="B887" s="326" t="s">
        <v>805</v>
      </c>
      <c r="C887" s="264" t="s">
        <v>705</v>
      </c>
      <c r="D887" s="157" t="s">
        <v>703</v>
      </c>
      <c r="E887" s="44">
        <v>38533</v>
      </c>
      <c r="F887" s="146" t="str">
        <f t="shared" si="76"/>
        <v>2004-05</v>
      </c>
      <c r="G887" s="1"/>
      <c r="H887" s="161"/>
      <c r="I887" s="37"/>
      <c r="J887" s="135">
        <f t="shared" si="82"/>
        <v>0.9161881535038825</v>
      </c>
      <c r="K887" s="112"/>
      <c r="L887" s="37">
        <v>7</v>
      </c>
      <c r="M887" s="37" t="s">
        <v>509</v>
      </c>
      <c r="N887" s="37">
        <v>1153.2224409778812</v>
      </c>
      <c r="O887" s="130">
        <f t="shared" si="80"/>
        <v>8072.5570868451687</v>
      </c>
      <c r="P887" s="132">
        <f t="shared" si="81"/>
        <v>73.959811714513563</v>
      </c>
      <c r="Q887" s="262">
        <v>0.01</v>
      </c>
      <c r="R887" s="92"/>
    </row>
    <row r="888" spans="1:18" x14ac:dyDescent="0.25">
      <c r="A888" s="326">
        <v>2005</v>
      </c>
      <c r="B888" s="326" t="s">
        <v>805</v>
      </c>
      <c r="C888" s="264" t="s">
        <v>706</v>
      </c>
      <c r="D888" s="157" t="s">
        <v>707</v>
      </c>
      <c r="E888" s="44">
        <v>38533</v>
      </c>
      <c r="F888" s="146" t="str">
        <f t="shared" si="76"/>
        <v>2004-05</v>
      </c>
      <c r="G888" s="1"/>
      <c r="H888" s="161"/>
      <c r="I888" s="37"/>
      <c r="J888" s="135">
        <f t="shared" si="82"/>
        <v>0.9161881535038825</v>
      </c>
      <c r="K888" s="112"/>
      <c r="L888" s="37">
        <v>32.905783458199998</v>
      </c>
      <c r="M888" s="37" t="s">
        <v>509</v>
      </c>
      <c r="N888" s="37">
        <v>926.12137369033769</v>
      </c>
      <c r="O888" s="130">
        <f t="shared" si="80"/>
        <v>30474.749378664972</v>
      </c>
      <c r="P888" s="132">
        <f t="shared" si="81"/>
        <v>1675.2362617039589</v>
      </c>
      <c r="Q888" s="262">
        <v>0.06</v>
      </c>
      <c r="R888" s="92"/>
    </row>
    <row r="889" spans="1:18" x14ac:dyDescent="0.25">
      <c r="A889" s="326">
        <v>2005</v>
      </c>
      <c r="B889" s="326" t="s">
        <v>805</v>
      </c>
      <c r="C889" s="264" t="s">
        <v>706</v>
      </c>
      <c r="D889" s="157" t="s">
        <v>707</v>
      </c>
      <c r="E889" s="44">
        <v>38533</v>
      </c>
      <c r="F889" s="146" t="str">
        <f t="shared" si="76"/>
        <v>2004-05</v>
      </c>
      <c r="G889" s="1"/>
      <c r="H889" s="161"/>
      <c r="I889" s="37"/>
      <c r="J889" s="135">
        <f t="shared" si="82"/>
        <v>0.9161881535038825</v>
      </c>
      <c r="K889" s="112"/>
      <c r="L889" s="37">
        <v>85</v>
      </c>
      <c r="M889" s="37" t="s">
        <v>509</v>
      </c>
      <c r="N889" s="37">
        <v>565.33669941792778</v>
      </c>
      <c r="O889" s="130">
        <f t="shared" si="80"/>
        <v>48053.61945052386</v>
      </c>
      <c r="P889" s="132">
        <f t="shared" si="81"/>
        <v>44026.156873553708</v>
      </c>
      <c r="Q889" s="262">
        <v>1</v>
      </c>
      <c r="R889" s="92"/>
    </row>
    <row r="890" spans="1:18" x14ac:dyDescent="0.25">
      <c r="A890" s="326">
        <v>2005</v>
      </c>
      <c r="B890" s="326" t="s">
        <v>805</v>
      </c>
      <c r="C890" s="264" t="s">
        <v>708</v>
      </c>
      <c r="D890" s="157" t="s">
        <v>709</v>
      </c>
      <c r="E890" s="44">
        <v>38533</v>
      </c>
      <c r="F890" s="146" t="str">
        <f t="shared" si="76"/>
        <v>2004-05</v>
      </c>
      <c r="G890" s="1"/>
      <c r="H890" s="161"/>
      <c r="I890" s="37"/>
      <c r="J890" s="135">
        <f t="shared" si="82"/>
        <v>0.9161881535038825</v>
      </c>
      <c r="K890" s="112"/>
      <c r="L890" s="37">
        <v>332</v>
      </c>
      <c r="M890" s="37" t="s">
        <v>509</v>
      </c>
      <c r="N890" s="37">
        <v>634.59447171129227</v>
      </c>
      <c r="O890" s="130">
        <f t="shared" si="80"/>
        <v>210685.36460814904</v>
      </c>
      <c r="P890" s="132">
        <f t="shared" si="81"/>
        <v>21233.017868769555</v>
      </c>
      <c r="Q890" s="262">
        <v>0.11</v>
      </c>
      <c r="R890" s="92"/>
    </row>
    <row r="891" spans="1:18" x14ac:dyDescent="0.25">
      <c r="A891" s="326">
        <v>2005</v>
      </c>
      <c r="B891" s="326" t="s">
        <v>805</v>
      </c>
      <c r="C891" s="264" t="s">
        <v>708</v>
      </c>
      <c r="D891" s="157" t="s">
        <v>709</v>
      </c>
      <c r="E891" s="44">
        <v>38533</v>
      </c>
      <c r="F891" s="146" t="str">
        <f t="shared" si="76"/>
        <v>2004-05</v>
      </c>
      <c r="G891" s="1"/>
      <c r="H891" s="161"/>
      <c r="I891" s="37"/>
      <c r="J891" s="135">
        <f t="shared" si="82"/>
        <v>0.9161881535038825</v>
      </c>
      <c r="K891" s="112"/>
      <c r="L891" s="37">
        <v>59</v>
      </c>
      <c r="M891" s="37" t="s">
        <v>509</v>
      </c>
      <c r="N891" s="37">
        <v>634.59447171129227</v>
      </c>
      <c r="O891" s="130">
        <f t="shared" si="80"/>
        <v>37441.073830966241</v>
      </c>
      <c r="P891" s="132">
        <f t="shared" si="81"/>
        <v>2058.1840979037297</v>
      </c>
      <c r="Q891" s="262">
        <v>0.06</v>
      </c>
      <c r="R891" s="92"/>
    </row>
    <row r="892" spans="1:18" x14ac:dyDescent="0.25">
      <c r="A892" s="326">
        <v>38884</v>
      </c>
      <c r="B892" s="326" t="s">
        <v>805</v>
      </c>
      <c r="C892" s="264" t="s">
        <v>710</v>
      </c>
      <c r="D892" s="157" t="s">
        <v>711</v>
      </c>
      <c r="E892" s="44">
        <v>38884</v>
      </c>
      <c r="F892" s="146" t="str">
        <f t="shared" si="76"/>
        <v>2005-06</v>
      </c>
      <c r="G892" s="1"/>
      <c r="H892" s="161"/>
      <c r="I892" s="37"/>
      <c r="J892" s="135">
        <f t="shared" si="82"/>
        <v>0.9161881535038825</v>
      </c>
      <c r="K892" s="112"/>
      <c r="L892" s="37">
        <v>29.9363990654</v>
      </c>
      <c r="M892" s="37" t="s">
        <v>509</v>
      </c>
      <c r="N892" s="37">
        <v>1162.6195121951216</v>
      </c>
      <c r="O892" s="130">
        <f t="shared" si="80"/>
        <v>34804.64167829384</v>
      </c>
      <c r="P892" s="132">
        <f t="shared" si="81"/>
        <v>31887.600392600303</v>
      </c>
      <c r="Q892" s="262">
        <v>1</v>
      </c>
      <c r="R892" s="92"/>
    </row>
    <row r="893" spans="1:18" x14ac:dyDescent="0.25">
      <c r="A893" s="326">
        <v>38884</v>
      </c>
      <c r="B893" s="326" t="s">
        <v>805</v>
      </c>
      <c r="C893" s="264" t="s">
        <v>710</v>
      </c>
      <c r="D893" s="157" t="s">
        <v>711</v>
      </c>
      <c r="E893" s="44">
        <v>38884</v>
      </c>
      <c r="F893" s="146" t="str">
        <f t="shared" si="76"/>
        <v>2005-06</v>
      </c>
      <c r="G893" s="1"/>
      <c r="H893" s="161"/>
      <c r="I893" s="37"/>
      <c r="J893" s="135">
        <f t="shared" si="82"/>
        <v>0.9161881535038825</v>
      </c>
      <c r="K893" s="112"/>
      <c r="L893" s="37">
        <v>23.930066381</v>
      </c>
      <c r="M893" s="37" t="s">
        <v>509</v>
      </c>
      <c r="N893" s="37">
        <v>1162.6195121951216</v>
      </c>
      <c r="O893" s="130">
        <f t="shared" si="80"/>
        <v>27821.5621026751</v>
      </c>
      <c r="P893" s="132">
        <f t="shared" si="81"/>
        <v>25489.785610443494</v>
      </c>
      <c r="Q893" s="262">
        <v>1</v>
      </c>
      <c r="R893" s="92"/>
    </row>
    <row r="894" spans="1:18" x14ac:dyDescent="0.25">
      <c r="A894" s="326">
        <v>38884</v>
      </c>
      <c r="B894" s="326" t="s">
        <v>805</v>
      </c>
      <c r="C894" s="264" t="s">
        <v>710</v>
      </c>
      <c r="D894" s="157" t="s">
        <v>711</v>
      </c>
      <c r="E894" s="44">
        <v>38884</v>
      </c>
      <c r="F894" s="146" t="str">
        <f t="shared" si="76"/>
        <v>2005-06</v>
      </c>
      <c r="G894" s="1"/>
      <c r="H894" s="161"/>
      <c r="I894" s="37"/>
      <c r="J894" s="135">
        <f t="shared" si="82"/>
        <v>0.9161881535038825</v>
      </c>
      <c r="K894" s="112"/>
      <c r="L894" s="37">
        <v>52.338521081499998</v>
      </c>
      <c r="M894" s="37" t="s">
        <v>509</v>
      </c>
      <c r="N894" s="37">
        <v>1162.6195121951216</v>
      </c>
      <c r="O894" s="130">
        <f t="shared" si="80"/>
        <v>60849.785848787615</v>
      </c>
      <c r="P894" s="132">
        <f t="shared" si="81"/>
        <v>55749.852937907403</v>
      </c>
      <c r="Q894" s="262">
        <v>1</v>
      </c>
      <c r="R894" s="92"/>
    </row>
    <row r="895" spans="1:18" x14ac:dyDescent="0.25">
      <c r="A895" s="326">
        <v>40277</v>
      </c>
      <c r="B895" s="326" t="s">
        <v>805</v>
      </c>
      <c r="C895" s="264" t="s">
        <v>712</v>
      </c>
      <c r="D895" s="157" t="s">
        <v>713</v>
      </c>
      <c r="E895" s="44">
        <v>40277</v>
      </c>
      <c r="F895" s="146" t="str">
        <f t="shared" si="76"/>
        <v>2009-10</v>
      </c>
      <c r="G895" s="1"/>
      <c r="H895" s="161"/>
      <c r="I895" s="37"/>
      <c r="J895" s="135">
        <f t="shared" si="82"/>
        <v>0.9161881535038825</v>
      </c>
      <c r="K895" s="112"/>
      <c r="L895" s="37">
        <v>126.781148319</v>
      </c>
      <c r="M895" s="37" t="s">
        <v>509</v>
      </c>
      <c r="N895" s="37">
        <v>812.22926829268283</v>
      </c>
      <c r="O895" s="130">
        <f t="shared" si="80"/>
        <v>102975.35933244746</v>
      </c>
      <c r="P895" s="132">
        <f t="shared" si="81"/>
        <v>94344.804323193835</v>
      </c>
      <c r="Q895" s="262">
        <v>1</v>
      </c>
      <c r="R895" s="92"/>
    </row>
    <row r="896" spans="1:18" x14ac:dyDescent="0.25">
      <c r="A896" s="326">
        <v>40277</v>
      </c>
      <c r="B896" s="326" t="s">
        <v>805</v>
      </c>
      <c r="C896" s="264" t="s">
        <v>712</v>
      </c>
      <c r="D896" s="157" t="s">
        <v>713</v>
      </c>
      <c r="E896" s="44">
        <v>40277</v>
      </c>
      <c r="F896" s="146" t="str">
        <f t="shared" si="76"/>
        <v>2009-10</v>
      </c>
      <c r="G896" s="1"/>
      <c r="H896" s="161"/>
      <c r="I896" s="37"/>
      <c r="J896" s="135">
        <f t="shared" si="82"/>
        <v>0.9161881535038825</v>
      </c>
      <c r="K896" s="112"/>
      <c r="L896" s="37">
        <v>43.445090034800003</v>
      </c>
      <c r="M896" s="37" t="s">
        <v>509</v>
      </c>
      <c r="N896" s="37">
        <v>812.22926829268283</v>
      </c>
      <c r="O896" s="130">
        <f t="shared" si="80"/>
        <v>35287.373689875334</v>
      </c>
      <c r="P896" s="132">
        <f t="shared" si="81"/>
        <v>32329.873742928368</v>
      </c>
      <c r="Q896" s="262">
        <v>1</v>
      </c>
      <c r="R896" s="92"/>
    </row>
    <row r="897" spans="1:18" x14ac:dyDescent="0.25">
      <c r="A897" s="326">
        <v>40277</v>
      </c>
      <c r="B897" s="326" t="s">
        <v>805</v>
      </c>
      <c r="C897" s="264" t="s">
        <v>712</v>
      </c>
      <c r="D897" s="157" t="s">
        <v>713</v>
      </c>
      <c r="E897" s="44">
        <v>40277</v>
      </c>
      <c r="F897" s="146" t="str">
        <f t="shared" si="76"/>
        <v>2009-10</v>
      </c>
      <c r="G897" s="1"/>
      <c r="H897" s="161"/>
      <c r="I897" s="37"/>
      <c r="J897" s="135">
        <f t="shared" si="82"/>
        <v>0.9161881535038825</v>
      </c>
      <c r="K897" s="112"/>
      <c r="L897" s="37">
        <v>146.29030861699999</v>
      </c>
      <c r="M897" s="37" t="s">
        <v>509</v>
      </c>
      <c r="N897" s="37">
        <v>3336.4019512195118</v>
      </c>
      <c r="O897" s="130">
        <f t="shared" si="80"/>
        <v>488083.27111426333</v>
      </c>
      <c r="P897" s="132">
        <f t="shared" si="81"/>
        <v>447176.11091831181</v>
      </c>
      <c r="Q897" s="262">
        <v>1</v>
      </c>
      <c r="R897" s="92"/>
    </row>
    <row r="898" spans="1:18" x14ac:dyDescent="0.25">
      <c r="A898" s="326">
        <v>40277</v>
      </c>
      <c r="B898" s="326" t="s">
        <v>805</v>
      </c>
      <c r="C898" s="264" t="s">
        <v>712</v>
      </c>
      <c r="D898" s="157" t="s">
        <v>713</v>
      </c>
      <c r="E898" s="44">
        <v>40277</v>
      </c>
      <c r="F898" s="146" t="str">
        <f t="shared" si="76"/>
        <v>2009-10</v>
      </c>
      <c r="G898" s="1"/>
      <c r="H898" s="161"/>
      <c r="I898" s="37"/>
      <c r="J898" s="135">
        <f t="shared" si="82"/>
        <v>0.9161881535038825</v>
      </c>
      <c r="K898" s="112"/>
      <c r="L898" s="37">
        <v>40.354181406599999</v>
      </c>
      <c r="M898" s="37" t="s">
        <v>509</v>
      </c>
      <c r="N898" s="37">
        <v>812.22926829268283</v>
      </c>
      <c r="O898" s="130">
        <f t="shared" si="80"/>
        <v>32776.847236432906</v>
      </c>
      <c r="P898" s="132">
        <f t="shared" si="81"/>
        <v>30029.759147226298</v>
      </c>
      <c r="Q898" s="262">
        <v>1</v>
      </c>
      <c r="R898" s="92"/>
    </row>
    <row r="899" spans="1:18" x14ac:dyDescent="0.25">
      <c r="A899" s="326">
        <v>40277</v>
      </c>
      <c r="B899" s="326" t="s">
        <v>805</v>
      </c>
      <c r="C899" s="264" t="s">
        <v>712</v>
      </c>
      <c r="D899" s="157" t="s">
        <v>713</v>
      </c>
      <c r="E899" s="44">
        <v>40277</v>
      </c>
      <c r="F899" s="146" t="str">
        <f t="shared" si="76"/>
        <v>2009-10</v>
      </c>
      <c r="G899" s="1"/>
      <c r="H899" s="161"/>
      <c r="I899" s="37"/>
      <c r="J899" s="135">
        <f t="shared" si="82"/>
        <v>0.9161881535038825</v>
      </c>
      <c r="K899" s="112"/>
      <c r="L899" s="37">
        <v>1.49900533688</v>
      </c>
      <c r="M899" s="37" t="s">
        <v>509</v>
      </c>
      <c r="N899" s="37">
        <v>812.22926829268283</v>
      </c>
      <c r="O899" s="130">
        <f t="shared" si="80"/>
        <v>1217.536007940869</v>
      </c>
      <c r="P899" s="132">
        <f t="shared" si="81"/>
        <v>1115.4920669398332</v>
      </c>
      <c r="Q899" s="262">
        <v>1</v>
      </c>
      <c r="R899" s="92"/>
    </row>
    <row r="900" spans="1:18" x14ac:dyDescent="0.25">
      <c r="A900" s="326">
        <v>40277</v>
      </c>
      <c r="B900" s="326" t="s">
        <v>805</v>
      </c>
      <c r="C900" s="264" t="s">
        <v>712</v>
      </c>
      <c r="D900" s="157" t="s">
        <v>713</v>
      </c>
      <c r="E900" s="44">
        <v>40277</v>
      </c>
      <c r="F900" s="146" t="str">
        <f t="shared" si="76"/>
        <v>2009-10</v>
      </c>
      <c r="G900" s="1"/>
      <c r="H900" s="161"/>
      <c r="I900" s="37"/>
      <c r="J900" s="135">
        <f t="shared" si="82"/>
        <v>0.9161881535038825</v>
      </c>
      <c r="K900" s="112"/>
      <c r="L900" s="37">
        <v>2.9970135134799998</v>
      </c>
      <c r="M900" s="37" t="s">
        <v>509</v>
      </c>
      <c r="N900" s="37">
        <v>812.22926829268283</v>
      </c>
      <c r="O900" s="130">
        <f t="shared" si="80"/>
        <v>2434.2620931171427</v>
      </c>
      <c r="P900" s="132">
        <f t="shared" si="81"/>
        <v>2230.2420922374913</v>
      </c>
      <c r="Q900" s="262">
        <v>1</v>
      </c>
      <c r="R900" s="92"/>
    </row>
    <row r="901" spans="1:18" x14ac:dyDescent="0.25">
      <c r="A901" s="326">
        <v>40277</v>
      </c>
      <c r="B901" s="326" t="s">
        <v>805</v>
      </c>
      <c r="C901" s="264" t="s">
        <v>712</v>
      </c>
      <c r="D901" s="157" t="s">
        <v>713</v>
      </c>
      <c r="E901" s="44">
        <v>40277</v>
      </c>
      <c r="F901" s="146" t="str">
        <f t="shared" si="76"/>
        <v>2009-10</v>
      </c>
      <c r="G901" s="1"/>
      <c r="H901" s="161"/>
      <c r="I901" s="37"/>
      <c r="J901" s="135">
        <f t="shared" si="82"/>
        <v>0.9161881535038825</v>
      </c>
      <c r="K901" s="112"/>
      <c r="L901" s="37">
        <v>55.709507285599997</v>
      </c>
      <c r="M901" s="37" t="s">
        <v>509</v>
      </c>
      <c r="N901" s="37">
        <v>812.22926829268283</v>
      </c>
      <c r="O901" s="130">
        <f t="shared" si="80"/>
        <v>45248.892339528771</v>
      </c>
      <c r="P901" s="132">
        <f t="shared" si="81"/>
        <v>41456.499120648841</v>
      </c>
      <c r="Q901" s="262">
        <v>1</v>
      </c>
      <c r="R901" s="92"/>
    </row>
    <row r="902" spans="1:18" x14ac:dyDescent="0.25">
      <c r="A902" s="326">
        <v>40277</v>
      </c>
      <c r="B902" s="326" t="s">
        <v>805</v>
      </c>
      <c r="C902" s="264" t="s">
        <v>712</v>
      </c>
      <c r="D902" s="157" t="s">
        <v>713</v>
      </c>
      <c r="E902" s="44">
        <v>40277</v>
      </c>
      <c r="F902" s="146" t="str">
        <f t="shared" si="76"/>
        <v>2009-10</v>
      </c>
      <c r="G902" s="1"/>
      <c r="H902" s="161"/>
      <c r="I902" s="37"/>
      <c r="J902" s="135">
        <f t="shared" si="82"/>
        <v>0.9161881535038825</v>
      </c>
      <c r="K902" s="112"/>
      <c r="L902" s="37">
        <v>2.82892011199</v>
      </c>
      <c r="M902" s="37" t="s">
        <v>509</v>
      </c>
      <c r="N902" s="37">
        <v>812.22926829268283</v>
      </c>
      <c r="O902" s="130">
        <f t="shared" si="80"/>
        <v>2297.7317126200919</v>
      </c>
      <c r="P902" s="132">
        <f t="shared" si="81"/>
        <v>2105.1545750327155</v>
      </c>
      <c r="Q902" s="262">
        <v>1</v>
      </c>
      <c r="R902" s="92"/>
    </row>
    <row r="903" spans="1:18" x14ac:dyDescent="0.25">
      <c r="A903" s="326">
        <v>40851</v>
      </c>
      <c r="B903" s="326" t="s">
        <v>805</v>
      </c>
      <c r="C903" s="264" t="s">
        <v>714</v>
      </c>
      <c r="D903" s="157" t="s">
        <v>715</v>
      </c>
      <c r="E903" s="44">
        <v>40851</v>
      </c>
      <c r="F903" s="146" t="str">
        <f t="shared" si="76"/>
        <v>2011-12</v>
      </c>
      <c r="G903" s="1"/>
      <c r="H903" s="161"/>
      <c r="I903" s="37"/>
      <c r="J903" s="135">
        <f t="shared" si="82"/>
        <v>0.9161881535038825</v>
      </c>
      <c r="K903" s="112"/>
      <c r="L903" s="37">
        <v>25.2208177702</v>
      </c>
      <c r="M903" s="37" t="s">
        <v>509</v>
      </c>
      <c r="N903" s="37">
        <v>3336.4019512195118</v>
      </c>
      <c r="O903" s="130">
        <f t="shared" si="80"/>
        <v>84146.785619847011</v>
      </c>
      <c r="P903" s="132">
        <f t="shared" si="81"/>
        <v>71203.707166067572</v>
      </c>
      <c r="Q903" s="262">
        <v>0.92359251098415374</v>
      </c>
      <c r="R903" s="92"/>
    </row>
    <row r="904" spans="1:18" x14ac:dyDescent="0.25">
      <c r="A904" s="326">
        <v>40851</v>
      </c>
      <c r="B904" s="326" t="s">
        <v>805</v>
      </c>
      <c r="C904" s="264" t="s">
        <v>714</v>
      </c>
      <c r="D904" s="157" t="s">
        <v>715</v>
      </c>
      <c r="E904" s="44">
        <v>40851</v>
      </c>
      <c r="F904" s="146" t="str">
        <f t="shared" si="76"/>
        <v>2011-12</v>
      </c>
      <c r="G904" s="1"/>
      <c r="H904" s="161"/>
      <c r="I904" s="37"/>
      <c r="J904" s="135">
        <f t="shared" si="82"/>
        <v>0.9161881535038825</v>
      </c>
      <c r="K904" s="112"/>
      <c r="L904" s="37">
        <v>14.484557328399999</v>
      </c>
      <c r="M904" s="37" t="s">
        <v>509</v>
      </c>
      <c r="N904" s="37">
        <v>812.22926829268283</v>
      </c>
      <c r="O904" s="130">
        <f t="shared" si="80"/>
        <v>11764.781400389747</v>
      </c>
      <c r="P904" s="132">
        <f t="shared" si="81"/>
        <v>9955.1758695886492</v>
      </c>
      <c r="Q904" s="262">
        <v>0.92359251098415374</v>
      </c>
      <c r="R904" s="92"/>
    </row>
    <row r="905" spans="1:18" x14ac:dyDescent="0.25">
      <c r="A905" s="326">
        <v>39600</v>
      </c>
      <c r="B905" s="326" t="s">
        <v>805</v>
      </c>
      <c r="C905" s="264" t="s">
        <v>716</v>
      </c>
      <c r="D905" s="157" t="s">
        <v>715</v>
      </c>
      <c r="E905" s="44">
        <v>39600</v>
      </c>
      <c r="F905" s="146" t="str">
        <f t="shared" ref="F905:F968" si="83">IF(E905="","-",IF(OR(E905&lt;$E$15,E905&gt;$E$16),"ERROR - date outside of range",IF(MONTH(E905)&gt;=7,YEAR(E905)&amp;"-"&amp;IF(YEAR(E905)=1999,"00",IF(AND(YEAR(E905)&gt;=2000,YEAR(E905)&lt;2009),"0","")&amp;RIGHT(YEAR(E905),2)+1),RIGHT(YEAR(E905),4)-1&amp;"-"&amp;RIGHT(YEAR(E905),2))))</f>
        <v>2007-08</v>
      </c>
      <c r="G905" s="1"/>
      <c r="H905" s="161"/>
      <c r="I905" s="37"/>
      <c r="J905" s="135">
        <f t="shared" si="82"/>
        <v>0.9161881535038825</v>
      </c>
      <c r="K905" s="112"/>
      <c r="L905" s="37">
        <v>100.058797459</v>
      </c>
      <c r="M905" s="37" t="s">
        <v>509</v>
      </c>
      <c r="N905" s="37">
        <v>950.87219512195099</v>
      </c>
      <c r="O905" s="130">
        <f t="shared" si="80"/>
        <v>95143.128381102026</v>
      </c>
      <c r="P905" s="132">
        <f t="shared" si="81"/>
        <v>87169.007110064704</v>
      </c>
      <c r="Q905" s="262">
        <v>1</v>
      </c>
      <c r="R905" s="92"/>
    </row>
    <row r="906" spans="1:18" x14ac:dyDescent="0.25">
      <c r="A906" s="326">
        <v>39600</v>
      </c>
      <c r="B906" s="326" t="s">
        <v>805</v>
      </c>
      <c r="C906" s="264" t="s">
        <v>716</v>
      </c>
      <c r="D906" s="157" t="s">
        <v>715</v>
      </c>
      <c r="E906" s="44">
        <v>39600</v>
      </c>
      <c r="F906" s="146" t="str">
        <f t="shared" si="83"/>
        <v>2007-08</v>
      </c>
      <c r="G906" s="1"/>
      <c r="H906" s="161"/>
      <c r="I906" s="37"/>
      <c r="J906" s="135">
        <f t="shared" si="82"/>
        <v>0.9161881535038825</v>
      </c>
      <c r="K906" s="112"/>
      <c r="L906" s="37">
        <v>11.8345468016</v>
      </c>
      <c r="M906" s="37" t="s">
        <v>509</v>
      </c>
      <c r="N906" s="37">
        <v>950.87219512195099</v>
      </c>
      <c r="O906" s="130">
        <f t="shared" si="80"/>
        <v>11253.141495510856</v>
      </c>
      <c r="P906" s="132">
        <f t="shared" si="81"/>
        <v>10309.994927890009</v>
      </c>
      <c r="Q906" s="262">
        <v>1</v>
      </c>
      <c r="R906" s="92"/>
    </row>
    <row r="907" spans="1:18" x14ac:dyDescent="0.25">
      <c r="A907" s="326">
        <v>39600</v>
      </c>
      <c r="B907" s="326" t="s">
        <v>805</v>
      </c>
      <c r="C907" s="264" t="s">
        <v>716</v>
      </c>
      <c r="D907" s="157" t="s">
        <v>715</v>
      </c>
      <c r="E907" s="44">
        <v>39600</v>
      </c>
      <c r="F907" s="146" t="str">
        <f t="shared" si="83"/>
        <v>2007-08</v>
      </c>
      <c r="G907" s="1"/>
      <c r="H907" s="161"/>
      <c r="I907" s="37"/>
      <c r="J907" s="135">
        <f t="shared" si="82"/>
        <v>0.9161881535038825</v>
      </c>
      <c r="K907" s="112"/>
      <c r="L907" s="37">
        <v>33.859081402999998</v>
      </c>
      <c r="M907" s="37" t="s">
        <v>509</v>
      </c>
      <c r="N907" s="37">
        <v>3592.3639024390236</v>
      </c>
      <c r="O907" s="130">
        <f t="shared" si="80"/>
        <v>121634.14180188165</v>
      </c>
      <c r="P907" s="132">
        <f t="shared" si="81"/>
        <v>111439.75978049535</v>
      </c>
      <c r="Q907" s="262">
        <v>1</v>
      </c>
      <c r="R907" s="92"/>
    </row>
    <row r="908" spans="1:18" x14ac:dyDescent="0.25">
      <c r="A908" s="326">
        <v>39600</v>
      </c>
      <c r="B908" s="326" t="s">
        <v>805</v>
      </c>
      <c r="C908" s="264" t="s">
        <v>716</v>
      </c>
      <c r="D908" s="157" t="s">
        <v>715</v>
      </c>
      <c r="E908" s="44">
        <v>39600</v>
      </c>
      <c r="F908" s="146" t="str">
        <f t="shared" si="83"/>
        <v>2007-08</v>
      </c>
      <c r="G908" s="1"/>
      <c r="H908" s="161"/>
      <c r="I908" s="37"/>
      <c r="J908" s="135">
        <f t="shared" si="82"/>
        <v>0.9161881535038825</v>
      </c>
      <c r="K908" s="112"/>
      <c r="L908" s="37">
        <v>67.676899470899997</v>
      </c>
      <c r="M908" s="37" t="s">
        <v>509</v>
      </c>
      <c r="N908" s="37">
        <v>950.87219512195099</v>
      </c>
      <c r="O908" s="130">
        <f t="shared" si="80"/>
        <v>64352.081958942283</v>
      </c>
      <c r="P908" s="132">
        <f t="shared" si="81"/>
        <v>58958.615144093841</v>
      </c>
      <c r="Q908" s="262">
        <v>1</v>
      </c>
      <c r="R908" s="92"/>
    </row>
    <row r="909" spans="1:18" x14ac:dyDescent="0.25">
      <c r="A909" s="326">
        <v>39600</v>
      </c>
      <c r="B909" s="326" t="s">
        <v>805</v>
      </c>
      <c r="C909" s="264" t="s">
        <v>716</v>
      </c>
      <c r="D909" s="157" t="s">
        <v>715</v>
      </c>
      <c r="E909" s="44">
        <v>39600</v>
      </c>
      <c r="F909" s="146" t="str">
        <f t="shared" si="83"/>
        <v>2007-08</v>
      </c>
      <c r="G909" s="1"/>
      <c r="H909" s="161"/>
      <c r="I909" s="37"/>
      <c r="J909" s="135">
        <f t="shared" si="82"/>
        <v>0.9161881535038825</v>
      </c>
      <c r="K909" s="112"/>
      <c r="L909" s="37">
        <v>81.590001378799997</v>
      </c>
      <c r="M909" s="37" t="s">
        <v>509</v>
      </c>
      <c r="N909" s="37">
        <v>950.87219512195099</v>
      </c>
      <c r="O909" s="130">
        <f t="shared" si="80"/>
        <v>77581.66371106256</v>
      </c>
      <c r="P909" s="132">
        <f t="shared" si="81"/>
        <v>71079.401221197579</v>
      </c>
      <c r="Q909" s="262">
        <v>1</v>
      </c>
      <c r="R909" s="92"/>
    </row>
    <row r="910" spans="1:18" x14ac:dyDescent="0.25">
      <c r="A910" s="326">
        <v>39600</v>
      </c>
      <c r="B910" s="326" t="s">
        <v>805</v>
      </c>
      <c r="C910" s="264" t="s">
        <v>716</v>
      </c>
      <c r="D910" s="157" t="s">
        <v>715</v>
      </c>
      <c r="E910" s="44">
        <v>39600</v>
      </c>
      <c r="F910" s="146" t="str">
        <f t="shared" si="83"/>
        <v>2007-08</v>
      </c>
      <c r="G910" s="1"/>
      <c r="H910" s="161"/>
      <c r="I910" s="37"/>
      <c r="J910" s="135">
        <f t="shared" si="82"/>
        <v>0.9161881535038825</v>
      </c>
      <c r="K910" s="112"/>
      <c r="L910" s="37">
        <v>24.039865556999999</v>
      </c>
      <c r="M910" s="37" t="s">
        <v>509</v>
      </c>
      <c r="N910" s="37">
        <v>950.87219512195099</v>
      </c>
      <c r="O910" s="130">
        <f t="shared" si="80"/>
        <v>22858.839732621171</v>
      </c>
      <c r="P910" s="132">
        <f t="shared" si="81"/>
        <v>20942.998165871373</v>
      </c>
      <c r="Q910" s="262">
        <v>1</v>
      </c>
      <c r="R910" s="92"/>
    </row>
    <row r="911" spans="1:18" x14ac:dyDescent="0.25">
      <c r="A911" s="326">
        <v>39600</v>
      </c>
      <c r="B911" s="326" t="s">
        <v>805</v>
      </c>
      <c r="C911" s="264" t="s">
        <v>716</v>
      </c>
      <c r="D911" s="157" t="s">
        <v>715</v>
      </c>
      <c r="E911" s="44">
        <v>39600</v>
      </c>
      <c r="F911" s="146" t="str">
        <f t="shared" si="83"/>
        <v>2007-08</v>
      </c>
      <c r="G911" s="1"/>
      <c r="H911" s="161"/>
      <c r="I911" s="37"/>
      <c r="J911" s="135">
        <f t="shared" si="82"/>
        <v>0.9161881535038825</v>
      </c>
      <c r="K911" s="112"/>
      <c r="L911" s="37">
        <v>29.864425693499999</v>
      </c>
      <c r="M911" s="37" t="s">
        <v>509</v>
      </c>
      <c r="N911" s="37">
        <v>950.87219512195099</v>
      </c>
      <c r="O911" s="130">
        <f t="shared" ref="O911:O974" si="84">IF(N911="","-",L911*N911)</f>
        <v>28397.252015234739</v>
      </c>
      <c r="P911" s="132">
        <f t="shared" ref="P911:P974" si="85">IF(O911="-","-",IF(OR(E911&lt;$E$15,E911&gt;$E$16),0,O911*J911))*Q911</f>
        <v>26017.225888422323</v>
      </c>
      <c r="Q911" s="262">
        <v>1</v>
      </c>
      <c r="R911" s="92"/>
    </row>
    <row r="912" spans="1:18" x14ac:dyDescent="0.25">
      <c r="A912" s="326">
        <v>39600</v>
      </c>
      <c r="B912" s="326" t="s">
        <v>805</v>
      </c>
      <c r="C912" s="264" t="s">
        <v>716</v>
      </c>
      <c r="D912" s="157" t="s">
        <v>715</v>
      </c>
      <c r="E912" s="44">
        <v>39600</v>
      </c>
      <c r="F912" s="146" t="str">
        <f t="shared" si="83"/>
        <v>2007-08</v>
      </c>
      <c r="G912" s="1"/>
      <c r="H912" s="161"/>
      <c r="I912" s="37"/>
      <c r="J912" s="135">
        <f t="shared" si="82"/>
        <v>0.9161881535038825</v>
      </c>
      <c r="K912" s="112"/>
      <c r="L912" s="37">
        <v>36.556559917500003</v>
      </c>
      <c r="M912" s="37" t="s">
        <v>509</v>
      </c>
      <c r="N912" s="37">
        <v>950.87219512195099</v>
      </c>
      <c r="O912" s="130">
        <f t="shared" si="84"/>
        <v>34760.616374860358</v>
      </c>
      <c r="P912" s="132">
        <f t="shared" si="85"/>
        <v>31847.264931140133</v>
      </c>
      <c r="Q912" s="262">
        <v>1</v>
      </c>
      <c r="R912" s="92"/>
    </row>
    <row r="913" spans="1:18" x14ac:dyDescent="0.25">
      <c r="A913" s="326">
        <v>39600</v>
      </c>
      <c r="B913" s="326" t="s">
        <v>805</v>
      </c>
      <c r="C913" s="264" t="s">
        <v>717</v>
      </c>
      <c r="D913" s="157" t="s">
        <v>715</v>
      </c>
      <c r="E913" s="44">
        <v>39600</v>
      </c>
      <c r="F913" s="146" t="str">
        <f t="shared" si="83"/>
        <v>2007-08</v>
      </c>
      <c r="G913" s="1"/>
      <c r="H913" s="161"/>
      <c r="I913" s="37"/>
      <c r="J913" s="135">
        <f t="shared" si="82"/>
        <v>0.9161881535038825</v>
      </c>
      <c r="K913" s="112"/>
      <c r="L913" s="37">
        <v>120.835012749</v>
      </c>
      <c r="M913" s="37" t="s">
        <v>509</v>
      </c>
      <c r="N913" s="37">
        <v>3592.3639024390236</v>
      </c>
      <c r="O913" s="130">
        <f t="shared" si="84"/>
        <v>434083.33795026684</v>
      </c>
      <c r="P913" s="132">
        <f t="shared" si="85"/>
        <v>397702.01186345681</v>
      </c>
      <c r="Q913" s="262">
        <v>1</v>
      </c>
      <c r="R913" s="92"/>
    </row>
    <row r="914" spans="1:18" x14ac:dyDescent="0.25">
      <c r="A914" s="326">
        <v>39600</v>
      </c>
      <c r="B914" s="326" t="s">
        <v>805</v>
      </c>
      <c r="C914" s="264" t="s">
        <v>716</v>
      </c>
      <c r="D914" s="157" t="s">
        <v>715</v>
      </c>
      <c r="E914" s="44">
        <v>39600</v>
      </c>
      <c r="F914" s="146" t="str">
        <f t="shared" si="83"/>
        <v>2007-08</v>
      </c>
      <c r="G914" s="1"/>
      <c r="H914" s="161"/>
      <c r="I914" s="37"/>
      <c r="J914" s="135">
        <f t="shared" si="82"/>
        <v>0.9161881535038825</v>
      </c>
      <c r="K914" s="112"/>
      <c r="L914" s="37">
        <v>51.807380336900003</v>
      </c>
      <c r="M914" s="37" t="s">
        <v>509</v>
      </c>
      <c r="N914" s="37">
        <v>3592.3639024390236</v>
      </c>
      <c r="O914" s="130">
        <f t="shared" si="84"/>
        <v>186110.96300220882</v>
      </c>
      <c r="P914" s="132">
        <f t="shared" si="85"/>
        <v>170512.6595398231</v>
      </c>
      <c r="Q914" s="262">
        <v>1</v>
      </c>
      <c r="R914" s="92"/>
    </row>
    <row r="915" spans="1:18" x14ac:dyDescent="0.25">
      <c r="A915" s="326">
        <v>39600</v>
      </c>
      <c r="B915" s="326" t="s">
        <v>805</v>
      </c>
      <c r="C915" s="264" t="s">
        <v>716</v>
      </c>
      <c r="D915" s="157" t="s">
        <v>715</v>
      </c>
      <c r="E915" s="44">
        <v>39600</v>
      </c>
      <c r="F915" s="146" t="str">
        <f t="shared" si="83"/>
        <v>2007-08</v>
      </c>
      <c r="G915" s="1"/>
      <c r="H915" s="161"/>
      <c r="I915" s="37"/>
      <c r="J915" s="135">
        <f t="shared" si="82"/>
        <v>0.9161881535038825</v>
      </c>
      <c r="K915" s="112"/>
      <c r="L915" s="37">
        <v>18.147857091100001</v>
      </c>
      <c r="M915" s="37" t="s">
        <v>509</v>
      </c>
      <c r="N915" s="37">
        <v>950.87219512195099</v>
      </c>
      <c r="O915" s="130">
        <f t="shared" si="84"/>
        <v>17256.29270897372</v>
      </c>
      <c r="P915" s="132">
        <f t="shared" si="85"/>
        <v>15810.010953357143</v>
      </c>
      <c r="Q915" s="262">
        <v>1</v>
      </c>
      <c r="R915" s="92"/>
    </row>
    <row r="916" spans="1:18" x14ac:dyDescent="0.25">
      <c r="A916" s="326">
        <v>39600</v>
      </c>
      <c r="B916" s="326" t="s">
        <v>805</v>
      </c>
      <c r="C916" s="264" t="s">
        <v>716</v>
      </c>
      <c r="D916" s="157" t="s">
        <v>715</v>
      </c>
      <c r="E916" s="44">
        <v>39600</v>
      </c>
      <c r="F916" s="146" t="str">
        <f t="shared" si="83"/>
        <v>2007-08</v>
      </c>
      <c r="G916" s="1"/>
      <c r="H916" s="161"/>
      <c r="I916" s="37"/>
      <c r="J916" s="135">
        <f t="shared" si="82"/>
        <v>0.9161881535038825</v>
      </c>
      <c r="K916" s="112"/>
      <c r="L916" s="37">
        <v>23.062210696800001</v>
      </c>
      <c r="M916" s="37" t="s">
        <v>509</v>
      </c>
      <c r="N916" s="37">
        <v>3592.3639024390236</v>
      </c>
      <c r="O916" s="130">
        <f t="shared" si="84"/>
        <v>82847.853217627446</v>
      </c>
      <c r="P916" s="132">
        <f t="shared" si="85"/>
        <v>75904.221661218777</v>
      </c>
      <c r="Q916" s="262">
        <v>1</v>
      </c>
      <c r="R916" s="92"/>
    </row>
    <row r="917" spans="1:18" x14ac:dyDescent="0.25">
      <c r="A917" s="326">
        <v>39600</v>
      </c>
      <c r="B917" s="326" t="s">
        <v>805</v>
      </c>
      <c r="C917" s="264" t="s">
        <v>717</v>
      </c>
      <c r="D917" s="157" t="s">
        <v>715</v>
      </c>
      <c r="E917" s="44">
        <v>39600</v>
      </c>
      <c r="F917" s="146" t="str">
        <f t="shared" si="83"/>
        <v>2007-08</v>
      </c>
      <c r="G917" s="1"/>
      <c r="H917" s="161"/>
      <c r="I917" s="37"/>
      <c r="J917" s="135">
        <f t="shared" si="82"/>
        <v>0.9161881535038825</v>
      </c>
      <c r="K917" s="112"/>
      <c r="L917" s="37">
        <v>18.585925051</v>
      </c>
      <c r="M917" s="37" t="s">
        <v>509</v>
      </c>
      <c r="N917" s="37">
        <v>950.87219512195099</v>
      </c>
      <c r="O917" s="130">
        <f t="shared" si="84"/>
        <v>17672.839351616429</v>
      </c>
      <c r="P917" s="132">
        <f t="shared" si="85"/>
        <v>16191.646052728207</v>
      </c>
      <c r="Q917" s="262">
        <v>1</v>
      </c>
      <c r="R917" s="92"/>
    </row>
    <row r="918" spans="1:18" x14ac:dyDescent="0.25">
      <c r="A918" s="326">
        <v>39600</v>
      </c>
      <c r="B918" s="326" t="s">
        <v>805</v>
      </c>
      <c r="C918" s="264" t="s">
        <v>718</v>
      </c>
      <c r="D918" s="157" t="s">
        <v>715</v>
      </c>
      <c r="E918" s="44">
        <v>39600</v>
      </c>
      <c r="F918" s="146" t="str">
        <f t="shared" si="83"/>
        <v>2007-08</v>
      </c>
      <c r="G918" s="1"/>
      <c r="H918" s="161"/>
      <c r="I918" s="37"/>
      <c r="J918" s="135">
        <f t="shared" si="82"/>
        <v>0.9161881535038825</v>
      </c>
      <c r="K918" s="112"/>
      <c r="L918" s="37">
        <v>41.054827828199997</v>
      </c>
      <c r="M918" s="37" t="s">
        <v>509</v>
      </c>
      <c r="N918" s="37">
        <v>950.87219512195099</v>
      </c>
      <c r="O918" s="130">
        <f t="shared" si="84"/>
        <v>39037.894257354288</v>
      </c>
      <c r="P918" s="132">
        <f t="shared" si="85"/>
        <v>35766.056256325246</v>
      </c>
      <c r="Q918" s="262">
        <v>1</v>
      </c>
      <c r="R918" s="92"/>
    </row>
    <row r="919" spans="1:18" x14ac:dyDescent="0.25">
      <c r="A919" s="326">
        <v>39600</v>
      </c>
      <c r="B919" s="326" t="s">
        <v>805</v>
      </c>
      <c r="C919" s="264" t="s">
        <v>717</v>
      </c>
      <c r="D919" s="157" t="s">
        <v>715</v>
      </c>
      <c r="E919" s="44">
        <v>39600</v>
      </c>
      <c r="F919" s="146" t="str">
        <f t="shared" si="83"/>
        <v>2007-08</v>
      </c>
      <c r="G919" s="1"/>
      <c r="H919" s="161"/>
      <c r="I919" s="37"/>
      <c r="J919" s="135">
        <f t="shared" si="82"/>
        <v>0.9161881535038825</v>
      </c>
      <c r="K919" s="112"/>
      <c r="L919" s="37">
        <v>20.220905864999999</v>
      </c>
      <c r="M919" s="37" t="s">
        <v>509</v>
      </c>
      <c r="N919" s="37">
        <v>950.87219512195099</v>
      </c>
      <c r="O919" s="130">
        <f t="shared" si="84"/>
        <v>19227.497147206883</v>
      </c>
      <c r="P919" s="132">
        <f t="shared" si="85"/>
        <v>17616.005107800644</v>
      </c>
      <c r="Q919" s="262">
        <v>1</v>
      </c>
      <c r="R919" s="92"/>
    </row>
    <row r="920" spans="1:18" x14ac:dyDescent="0.25">
      <c r="A920" s="326">
        <v>39600</v>
      </c>
      <c r="B920" s="326" t="s">
        <v>805</v>
      </c>
      <c r="C920" s="264" t="s">
        <v>717</v>
      </c>
      <c r="D920" s="157" t="s">
        <v>715</v>
      </c>
      <c r="E920" s="44">
        <v>39600</v>
      </c>
      <c r="F920" s="146" t="str">
        <f t="shared" si="83"/>
        <v>2007-08</v>
      </c>
      <c r="G920" s="1"/>
      <c r="H920" s="161"/>
      <c r="I920" s="37"/>
      <c r="J920" s="135">
        <f t="shared" si="82"/>
        <v>0.9161881535038825</v>
      </c>
      <c r="K920" s="112"/>
      <c r="L920" s="37">
        <v>67.458463504799994</v>
      </c>
      <c r="M920" s="37" t="s">
        <v>509</v>
      </c>
      <c r="N920" s="37">
        <v>3592.3639024390236</v>
      </c>
      <c r="O920" s="130">
        <f t="shared" si="84"/>
        <v>242335.34920864375</v>
      </c>
      <c r="P920" s="132">
        <f t="shared" si="85"/>
        <v>222024.77612018588</v>
      </c>
      <c r="Q920" s="262">
        <v>1</v>
      </c>
      <c r="R920" s="92"/>
    </row>
    <row r="921" spans="1:18" x14ac:dyDescent="0.25">
      <c r="A921" s="326">
        <v>39600</v>
      </c>
      <c r="B921" s="326" t="s">
        <v>805</v>
      </c>
      <c r="C921" s="264" t="s">
        <v>717</v>
      </c>
      <c r="D921" s="157" t="s">
        <v>715</v>
      </c>
      <c r="E921" s="44">
        <v>39600</v>
      </c>
      <c r="F921" s="146" t="str">
        <f t="shared" si="83"/>
        <v>2007-08</v>
      </c>
      <c r="G921" s="1"/>
      <c r="H921" s="161"/>
      <c r="I921" s="37"/>
      <c r="J921" s="135">
        <f t="shared" si="82"/>
        <v>0.9161881535038825</v>
      </c>
      <c r="K921" s="112"/>
      <c r="L921" s="37">
        <v>10.590395777299999</v>
      </c>
      <c r="M921" s="37" t="s">
        <v>509</v>
      </c>
      <c r="N921" s="37">
        <v>950.87219512195099</v>
      </c>
      <c r="O921" s="130">
        <f t="shared" si="84"/>
        <v>10070.112879971492</v>
      </c>
      <c r="P921" s="132">
        <f t="shared" si="85"/>
        <v>9226.1181250767459</v>
      </c>
      <c r="Q921" s="262">
        <v>1</v>
      </c>
      <c r="R921" s="92"/>
    </row>
    <row r="922" spans="1:18" x14ac:dyDescent="0.25">
      <c r="A922" s="326">
        <v>39600</v>
      </c>
      <c r="B922" s="326" t="s">
        <v>805</v>
      </c>
      <c r="C922" s="264" t="s">
        <v>717</v>
      </c>
      <c r="D922" s="157" t="s">
        <v>715</v>
      </c>
      <c r="E922" s="44">
        <v>39600</v>
      </c>
      <c r="F922" s="146" t="str">
        <f t="shared" si="83"/>
        <v>2007-08</v>
      </c>
      <c r="G922" s="1"/>
      <c r="H922" s="161"/>
      <c r="I922" s="37"/>
      <c r="J922" s="135">
        <f t="shared" si="82"/>
        <v>0.9161881535038825</v>
      </c>
      <c r="K922" s="112"/>
      <c r="L922" s="37">
        <v>13.995434988</v>
      </c>
      <c r="M922" s="37" t="s">
        <v>509</v>
      </c>
      <c r="N922" s="37">
        <v>950.87219512195099</v>
      </c>
      <c r="O922" s="130">
        <f t="shared" si="84"/>
        <v>13307.869988726115</v>
      </c>
      <c r="P922" s="132">
        <f t="shared" si="85"/>
        <v>12192.512832040713</v>
      </c>
      <c r="Q922" s="262">
        <v>1</v>
      </c>
      <c r="R922" s="92"/>
    </row>
    <row r="923" spans="1:18" x14ac:dyDescent="0.25">
      <c r="A923" s="326">
        <v>39600</v>
      </c>
      <c r="B923" s="326" t="s">
        <v>805</v>
      </c>
      <c r="C923" s="264" t="s">
        <v>717</v>
      </c>
      <c r="D923" s="157" t="s">
        <v>715</v>
      </c>
      <c r="E923" s="44">
        <v>39600</v>
      </c>
      <c r="F923" s="146" t="str">
        <f t="shared" si="83"/>
        <v>2007-08</v>
      </c>
      <c r="G923" s="1"/>
      <c r="H923" s="161"/>
      <c r="I923" s="37"/>
      <c r="J923" s="135">
        <f t="shared" si="82"/>
        <v>0.9161881535038825</v>
      </c>
      <c r="K923" s="112"/>
      <c r="L923" s="37">
        <v>10.308971723699999</v>
      </c>
      <c r="M923" s="37" t="s">
        <v>509</v>
      </c>
      <c r="N923" s="37">
        <v>3592.3639024390236</v>
      </c>
      <c r="O923" s="130">
        <f t="shared" si="84"/>
        <v>37033.577891484478</v>
      </c>
      <c r="P923" s="132">
        <f t="shared" si="85"/>
        <v>33929.72534604137</v>
      </c>
      <c r="Q923" s="262">
        <v>1</v>
      </c>
      <c r="R923" s="92"/>
    </row>
    <row r="924" spans="1:18" x14ac:dyDescent="0.25">
      <c r="A924" s="326">
        <v>39986</v>
      </c>
      <c r="B924" s="326" t="s">
        <v>805</v>
      </c>
      <c r="C924" s="264" t="s">
        <v>719</v>
      </c>
      <c r="D924" s="157" t="s">
        <v>512</v>
      </c>
      <c r="E924" s="44">
        <v>39986</v>
      </c>
      <c r="F924" s="146" t="str">
        <f t="shared" si="83"/>
        <v>2008-09</v>
      </c>
      <c r="G924" s="1"/>
      <c r="H924" s="161"/>
      <c r="I924" s="37"/>
      <c r="J924" s="135">
        <f t="shared" si="82"/>
        <v>0.9161881535038825</v>
      </c>
      <c r="K924" s="112"/>
      <c r="L924" s="37">
        <v>2.0146466191400001</v>
      </c>
      <c r="M924" s="37" t="s">
        <v>509</v>
      </c>
      <c r="N924" s="37">
        <v>812.22926829268283</v>
      </c>
      <c r="O924" s="130">
        <f t="shared" si="84"/>
        <v>1636.3549493324094</v>
      </c>
      <c r="P924" s="132">
        <f t="shared" si="85"/>
        <v>588.40592626804994</v>
      </c>
      <c r="Q924" s="262">
        <v>0.39247757891825691</v>
      </c>
      <c r="R924" s="92"/>
    </row>
    <row r="925" spans="1:18" x14ac:dyDescent="0.25">
      <c r="A925" s="326">
        <v>39415</v>
      </c>
      <c r="B925" s="326" t="s">
        <v>805</v>
      </c>
      <c r="C925" s="264" t="s">
        <v>720</v>
      </c>
      <c r="D925" s="157" t="s">
        <v>715</v>
      </c>
      <c r="E925" s="44">
        <v>39415</v>
      </c>
      <c r="F925" s="146" t="str">
        <f t="shared" si="83"/>
        <v>2007-08</v>
      </c>
      <c r="G925" s="1"/>
      <c r="H925" s="161"/>
      <c r="I925" s="37"/>
      <c r="J925" s="135">
        <f t="shared" ref="J925:J988" si="86">J924</f>
        <v>0.9161881535038825</v>
      </c>
      <c r="K925" s="112"/>
      <c r="L925" s="37">
        <v>35.750490696</v>
      </c>
      <c r="M925" s="37" t="s">
        <v>509</v>
      </c>
      <c r="N925" s="37">
        <v>3336.4019512195118</v>
      </c>
      <c r="O925" s="130">
        <f t="shared" si="84"/>
        <v>119278.0069151894</v>
      </c>
      <c r="P925" s="132">
        <f t="shared" si="85"/>
        <v>109281.0969092507</v>
      </c>
      <c r="Q925" s="262">
        <v>1</v>
      </c>
      <c r="R925" s="92"/>
    </row>
    <row r="926" spans="1:18" x14ac:dyDescent="0.25">
      <c r="A926" s="326">
        <v>39600</v>
      </c>
      <c r="B926" s="326" t="s">
        <v>805</v>
      </c>
      <c r="C926" s="264" t="s">
        <v>721</v>
      </c>
      <c r="D926" s="157" t="s">
        <v>711</v>
      </c>
      <c r="E926" s="44">
        <v>39600</v>
      </c>
      <c r="F926" s="146" t="str">
        <f t="shared" si="83"/>
        <v>2007-08</v>
      </c>
      <c r="G926" s="1"/>
      <c r="H926" s="161"/>
      <c r="I926" s="37"/>
      <c r="J926" s="135">
        <f t="shared" si="86"/>
        <v>0.9161881535038825</v>
      </c>
      <c r="K926" s="112"/>
      <c r="L926" s="37">
        <v>82.1269287967</v>
      </c>
      <c r="M926" s="37" t="s">
        <v>509</v>
      </c>
      <c r="N926" s="37">
        <v>4641.6565853658531</v>
      </c>
      <c r="O926" s="130">
        <f t="shared" si="84"/>
        <v>381204.99988507509</v>
      </c>
      <c r="P926" s="132">
        <f t="shared" si="85"/>
        <v>349255.5049511547</v>
      </c>
      <c r="Q926" s="262">
        <v>1</v>
      </c>
      <c r="R926" s="92"/>
    </row>
    <row r="927" spans="1:18" x14ac:dyDescent="0.25">
      <c r="A927" s="326">
        <v>2005</v>
      </c>
      <c r="B927" s="326" t="s">
        <v>805</v>
      </c>
      <c r="C927" s="264"/>
      <c r="D927" s="157" t="s">
        <v>722</v>
      </c>
      <c r="E927" s="44">
        <v>38533</v>
      </c>
      <c r="F927" s="146" t="str">
        <f t="shared" si="83"/>
        <v>2004-05</v>
      </c>
      <c r="G927" s="1"/>
      <c r="H927" s="161"/>
      <c r="I927" s="37"/>
      <c r="J927" s="135">
        <f t="shared" si="86"/>
        <v>0.9161881535038825</v>
      </c>
      <c r="K927" s="112"/>
      <c r="L927" s="37">
        <v>39.9085869691</v>
      </c>
      <c r="M927" s="37" t="s">
        <v>509</v>
      </c>
      <c r="N927" s="37">
        <v>563.72605355064024</v>
      </c>
      <c r="O927" s="130">
        <f t="shared" si="84"/>
        <v>22497.510234873251</v>
      </c>
      <c r="P927" s="132">
        <f t="shared" si="85"/>
        <v>20611.952360523221</v>
      </c>
      <c r="Q927" s="262">
        <v>1</v>
      </c>
      <c r="R927" s="92"/>
    </row>
    <row r="928" spans="1:18" x14ac:dyDescent="0.25">
      <c r="A928" s="326">
        <v>2005</v>
      </c>
      <c r="B928" s="326" t="s">
        <v>805</v>
      </c>
      <c r="C928" s="264"/>
      <c r="D928" s="157" t="s">
        <v>722</v>
      </c>
      <c r="E928" s="44">
        <v>38533</v>
      </c>
      <c r="F928" s="146" t="str">
        <f t="shared" si="83"/>
        <v>2004-05</v>
      </c>
      <c r="G928" s="1"/>
      <c r="H928" s="161"/>
      <c r="I928" s="37"/>
      <c r="J928" s="135">
        <f t="shared" si="86"/>
        <v>0.9161881535038825</v>
      </c>
      <c r="K928" s="112"/>
      <c r="L928" s="37">
        <v>5.0589822098899999</v>
      </c>
      <c r="M928" s="37" t="s">
        <v>509</v>
      </c>
      <c r="N928" s="37">
        <v>563.72605355064024</v>
      </c>
      <c r="O928" s="130">
        <f t="shared" si="84"/>
        <v>2851.8800761641864</v>
      </c>
      <c r="P928" s="132">
        <f t="shared" si="85"/>
        <v>2612.858740995378</v>
      </c>
      <c r="Q928" s="262">
        <v>1</v>
      </c>
      <c r="R928" s="92"/>
    </row>
    <row r="929" spans="1:18" x14ac:dyDescent="0.25">
      <c r="A929" s="326">
        <v>2005</v>
      </c>
      <c r="B929" s="326" t="s">
        <v>805</v>
      </c>
      <c r="C929" s="264"/>
      <c r="D929" s="157" t="s">
        <v>723</v>
      </c>
      <c r="E929" s="44">
        <v>38533</v>
      </c>
      <c r="F929" s="146" t="str">
        <f t="shared" si="83"/>
        <v>2004-05</v>
      </c>
      <c r="G929" s="1"/>
      <c r="H929" s="161"/>
      <c r="I929" s="37"/>
      <c r="J929" s="135">
        <f t="shared" si="86"/>
        <v>0.9161881535038825</v>
      </c>
      <c r="K929" s="112"/>
      <c r="L929" s="37">
        <v>5.9926581747999998</v>
      </c>
      <c r="M929" s="37" t="s">
        <v>509</v>
      </c>
      <c r="N929" s="37">
        <v>563.72605355064024</v>
      </c>
      <c r="O929" s="130">
        <f t="shared" si="84"/>
        <v>3378.2175431579867</v>
      </c>
      <c r="P929" s="132">
        <f t="shared" si="85"/>
        <v>3095.0828930003381</v>
      </c>
      <c r="Q929" s="262">
        <v>1</v>
      </c>
      <c r="R929" s="92"/>
    </row>
    <row r="930" spans="1:18" x14ac:dyDescent="0.25">
      <c r="C930" s="264"/>
      <c r="D930" s="157"/>
      <c r="E930" s="44"/>
      <c r="F930" s="146" t="str">
        <f t="shared" si="83"/>
        <v>-</v>
      </c>
      <c r="G930" s="1"/>
      <c r="H930" s="161"/>
      <c r="I930" s="37"/>
      <c r="J930" s="135">
        <f t="shared" si="86"/>
        <v>0.9161881535038825</v>
      </c>
      <c r="K930" s="112"/>
      <c r="L930" s="37"/>
      <c r="M930" s="37"/>
      <c r="N930" s="37"/>
      <c r="O930" s="130" t="str">
        <f t="shared" si="84"/>
        <v>-</v>
      </c>
      <c r="P930" s="132" t="e">
        <f t="shared" si="85"/>
        <v>#VALUE!</v>
      </c>
      <c r="Q930" s="262"/>
      <c r="R930" s="92"/>
    </row>
    <row r="931" spans="1:18" x14ac:dyDescent="0.25">
      <c r="A931" s="326">
        <v>40231</v>
      </c>
      <c r="B931" s="326" t="s">
        <v>806</v>
      </c>
      <c r="C931" s="264" t="s">
        <v>712</v>
      </c>
      <c r="D931" s="157" t="s">
        <v>724</v>
      </c>
      <c r="E931" s="44">
        <v>40231</v>
      </c>
      <c r="F931" s="146" t="str">
        <f t="shared" si="83"/>
        <v>2009-10</v>
      </c>
      <c r="G931" s="1"/>
      <c r="H931" s="161"/>
      <c r="I931" s="37"/>
      <c r="J931" s="135">
        <f t="shared" si="86"/>
        <v>0.9161881535038825</v>
      </c>
      <c r="K931" s="112"/>
      <c r="L931" s="37">
        <v>23.482950151499999</v>
      </c>
      <c r="M931" s="37" t="s">
        <v>509</v>
      </c>
      <c r="N931" s="37">
        <v>479.79317073170722</v>
      </c>
      <c r="O931" s="130">
        <f t="shared" si="84"/>
        <v>11266.959111322809</v>
      </c>
      <c r="P931" s="132">
        <f t="shared" si="85"/>
        <v>10322.65446380659</v>
      </c>
      <c r="Q931" s="262">
        <v>1</v>
      </c>
      <c r="R931" s="92"/>
    </row>
    <row r="932" spans="1:18" x14ac:dyDescent="0.25">
      <c r="A932" s="326">
        <v>40231</v>
      </c>
      <c r="B932" s="326" t="s">
        <v>806</v>
      </c>
      <c r="C932" s="264" t="s">
        <v>712</v>
      </c>
      <c r="D932" s="157" t="s">
        <v>724</v>
      </c>
      <c r="E932" s="44">
        <v>40231</v>
      </c>
      <c r="F932" s="146" t="str">
        <f t="shared" si="83"/>
        <v>2009-10</v>
      </c>
      <c r="G932" s="1"/>
      <c r="H932" s="161"/>
      <c r="I932" s="37"/>
      <c r="J932" s="135">
        <f t="shared" si="86"/>
        <v>0.9161881535038825</v>
      </c>
      <c r="K932" s="112"/>
      <c r="L932" s="37">
        <v>48.399897458600002</v>
      </c>
      <c r="M932" s="37" t="s">
        <v>509</v>
      </c>
      <c r="N932" s="37">
        <v>3336.4019512195118</v>
      </c>
      <c r="O932" s="130">
        <f t="shared" si="84"/>
        <v>161481.51231969733</v>
      </c>
      <c r="P932" s="132">
        <f t="shared" si="85"/>
        <v>147947.44859719794</v>
      </c>
      <c r="Q932" s="262">
        <v>1</v>
      </c>
      <c r="R932" s="92"/>
    </row>
    <row r="933" spans="1:18" x14ac:dyDescent="0.25">
      <c r="A933" s="326">
        <v>40231</v>
      </c>
      <c r="B933" s="326" t="s">
        <v>806</v>
      </c>
      <c r="C933" s="264" t="s">
        <v>712</v>
      </c>
      <c r="D933" s="157" t="s">
        <v>724</v>
      </c>
      <c r="E933" s="44">
        <v>40231</v>
      </c>
      <c r="F933" s="146" t="str">
        <f t="shared" si="83"/>
        <v>2009-10</v>
      </c>
      <c r="G933" s="1"/>
      <c r="H933" s="161"/>
      <c r="I933" s="37"/>
      <c r="J933" s="135">
        <f t="shared" si="86"/>
        <v>0.9161881535038825</v>
      </c>
      <c r="K933" s="112"/>
      <c r="L933" s="37">
        <v>2.1602816945900001</v>
      </c>
      <c r="M933" s="37" t="s">
        <v>509</v>
      </c>
      <c r="N933" s="37">
        <v>3336.4019512195118</v>
      </c>
      <c r="O933" s="130">
        <f t="shared" si="84"/>
        <v>7207.5680610138697</v>
      </c>
      <c r="P933" s="132">
        <f t="shared" si="85"/>
        <v>6603.4884730738559</v>
      </c>
      <c r="Q933" s="262">
        <v>1</v>
      </c>
      <c r="R933" s="92"/>
    </row>
    <row r="934" spans="1:18" x14ac:dyDescent="0.25">
      <c r="A934" s="326">
        <v>40231</v>
      </c>
      <c r="B934" s="326" t="s">
        <v>806</v>
      </c>
      <c r="C934" s="264" t="s">
        <v>712</v>
      </c>
      <c r="D934" s="157" t="s">
        <v>724</v>
      </c>
      <c r="E934" s="44">
        <v>40231</v>
      </c>
      <c r="F934" s="146" t="str">
        <f t="shared" si="83"/>
        <v>2009-10</v>
      </c>
      <c r="G934" s="1"/>
      <c r="H934" s="161"/>
      <c r="I934" s="37"/>
      <c r="J934" s="135">
        <f t="shared" si="86"/>
        <v>0.9161881535038825</v>
      </c>
      <c r="K934" s="112"/>
      <c r="L934" s="37">
        <v>44.556708641900002</v>
      </c>
      <c r="M934" s="37" t="s">
        <v>509</v>
      </c>
      <c r="N934" s="37">
        <v>479.79317073170722</v>
      </c>
      <c r="O934" s="130">
        <f t="shared" si="84"/>
        <v>21378.004516666064</v>
      </c>
      <c r="P934" s="132">
        <f t="shared" si="85"/>
        <v>19586.27448372194</v>
      </c>
      <c r="Q934" s="262">
        <v>1</v>
      </c>
      <c r="R934" s="92"/>
    </row>
    <row r="935" spans="1:18" x14ac:dyDescent="0.25">
      <c r="A935" s="326">
        <v>40231</v>
      </c>
      <c r="B935" s="326" t="s">
        <v>806</v>
      </c>
      <c r="C935" s="264" t="s">
        <v>712</v>
      </c>
      <c r="D935" s="157" t="s">
        <v>724</v>
      </c>
      <c r="E935" s="44">
        <v>40231</v>
      </c>
      <c r="F935" s="146" t="str">
        <f t="shared" si="83"/>
        <v>2009-10</v>
      </c>
      <c r="G935" s="1"/>
      <c r="H935" s="161"/>
      <c r="I935" s="37"/>
      <c r="J935" s="135">
        <f t="shared" si="86"/>
        <v>0.9161881535038825</v>
      </c>
      <c r="K935" s="112"/>
      <c r="L935" s="37">
        <v>3.0799626621099998</v>
      </c>
      <c r="M935" s="37" t="s">
        <v>509</v>
      </c>
      <c r="N935" s="37">
        <v>1165.0878048780487</v>
      </c>
      <c r="O935" s="130">
        <f t="shared" si="84"/>
        <v>3588.4269371040909</v>
      </c>
      <c r="P935" s="132">
        <f t="shared" si="85"/>
        <v>3287.67424948899</v>
      </c>
      <c r="Q935" s="262">
        <v>1</v>
      </c>
      <c r="R935" s="92"/>
    </row>
    <row r="936" spans="1:18" x14ac:dyDescent="0.25">
      <c r="A936" s="326">
        <v>40231</v>
      </c>
      <c r="B936" s="326" t="s">
        <v>806</v>
      </c>
      <c r="C936" s="264" t="s">
        <v>712</v>
      </c>
      <c r="D936" s="157" t="s">
        <v>724</v>
      </c>
      <c r="E936" s="44">
        <v>40231</v>
      </c>
      <c r="F936" s="146" t="str">
        <f t="shared" si="83"/>
        <v>2009-10</v>
      </c>
      <c r="G936" s="1"/>
      <c r="H936" s="161"/>
      <c r="I936" s="37"/>
      <c r="J936" s="135">
        <f t="shared" si="86"/>
        <v>0.9161881535038825</v>
      </c>
      <c r="K936" s="112"/>
      <c r="L936" s="37">
        <v>21.4983328191</v>
      </c>
      <c r="M936" s="37" t="s">
        <v>509</v>
      </c>
      <c r="N936" s="37">
        <v>479.79317073170722</v>
      </c>
      <c r="O936" s="130">
        <f t="shared" si="84"/>
        <v>10314.753268721512</v>
      </c>
      <c r="P936" s="132">
        <f t="shared" si="85"/>
        <v>9450.2547511180983</v>
      </c>
      <c r="Q936" s="262">
        <v>1</v>
      </c>
      <c r="R936" s="92"/>
    </row>
    <row r="937" spans="1:18" x14ac:dyDescent="0.25">
      <c r="A937" s="326">
        <v>40231</v>
      </c>
      <c r="B937" s="326" t="s">
        <v>806</v>
      </c>
      <c r="C937" s="264" t="s">
        <v>712</v>
      </c>
      <c r="D937" s="157" t="s">
        <v>724</v>
      </c>
      <c r="E937" s="44">
        <v>40231</v>
      </c>
      <c r="F937" s="146" t="str">
        <f t="shared" si="83"/>
        <v>2009-10</v>
      </c>
      <c r="G937" s="1"/>
      <c r="H937" s="161"/>
      <c r="I937" s="37"/>
      <c r="J937" s="135">
        <f t="shared" si="86"/>
        <v>0.9161881535038825</v>
      </c>
      <c r="K937" s="112"/>
      <c r="L937" s="37">
        <v>3.0809467700700002</v>
      </c>
      <c r="M937" s="37" t="s">
        <v>509</v>
      </c>
      <c r="N937" s="37">
        <v>1165.0878048780487</v>
      </c>
      <c r="O937" s="130">
        <f t="shared" si="84"/>
        <v>3589.5735092869709</v>
      </c>
      <c r="P937" s="132">
        <f t="shared" si="85"/>
        <v>3288.7247253400815</v>
      </c>
      <c r="Q937" s="262">
        <v>1</v>
      </c>
      <c r="R937" s="92"/>
    </row>
    <row r="938" spans="1:18" x14ac:dyDescent="0.25">
      <c r="A938" s="326">
        <v>40231</v>
      </c>
      <c r="B938" s="326" t="s">
        <v>806</v>
      </c>
      <c r="C938" s="264" t="s">
        <v>712</v>
      </c>
      <c r="D938" s="157" t="s">
        <v>724</v>
      </c>
      <c r="E938" s="44">
        <v>40231</v>
      </c>
      <c r="F938" s="146" t="str">
        <f t="shared" si="83"/>
        <v>2009-10</v>
      </c>
      <c r="G938" s="1"/>
      <c r="H938" s="161"/>
      <c r="I938" s="37"/>
      <c r="J938" s="135">
        <f t="shared" si="86"/>
        <v>0.9161881535038825</v>
      </c>
      <c r="K938" s="112"/>
      <c r="L938" s="37">
        <v>28.497536735699999</v>
      </c>
      <c r="M938" s="37" t="s">
        <v>509</v>
      </c>
      <c r="N938" s="37">
        <v>479.79317073170722</v>
      </c>
      <c r="O938" s="130">
        <f t="shared" si="84"/>
        <v>13672.923508464808</v>
      </c>
      <c r="P938" s="132">
        <f t="shared" si="85"/>
        <v>12526.970542220199</v>
      </c>
      <c r="Q938" s="262">
        <v>1</v>
      </c>
      <c r="R938" s="92"/>
    </row>
    <row r="939" spans="1:18" x14ac:dyDescent="0.25">
      <c r="A939" s="326">
        <v>40231</v>
      </c>
      <c r="B939" s="326" t="s">
        <v>806</v>
      </c>
      <c r="C939" s="264" t="s">
        <v>712</v>
      </c>
      <c r="D939" s="157" t="s">
        <v>724</v>
      </c>
      <c r="E939" s="44">
        <v>40231</v>
      </c>
      <c r="F939" s="146" t="str">
        <f t="shared" si="83"/>
        <v>2009-10</v>
      </c>
      <c r="G939" s="1"/>
      <c r="H939" s="161"/>
      <c r="I939" s="37"/>
      <c r="J939" s="135">
        <f t="shared" si="86"/>
        <v>0.9161881535038825</v>
      </c>
      <c r="K939" s="112"/>
      <c r="L939" s="37">
        <v>161.93121607</v>
      </c>
      <c r="M939" s="37" t="s">
        <v>509</v>
      </c>
      <c r="N939" s="37">
        <v>479.79317073170722</v>
      </c>
      <c r="O939" s="130">
        <f t="shared" si="84"/>
        <v>77693.491598666486</v>
      </c>
      <c r="P939" s="132">
        <f t="shared" si="85"/>
        <v>71181.856607051654</v>
      </c>
      <c r="Q939" s="262">
        <v>1</v>
      </c>
      <c r="R939" s="92"/>
    </row>
    <row r="940" spans="1:18" x14ac:dyDescent="0.25">
      <c r="A940" s="326">
        <v>40231</v>
      </c>
      <c r="B940" s="326" t="s">
        <v>806</v>
      </c>
      <c r="C940" s="264" t="s">
        <v>712</v>
      </c>
      <c r="D940" s="157" t="s">
        <v>724</v>
      </c>
      <c r="E940" s="44">
        <v>40231</v>
      </c>
      <c r="F940" s="146" t="str">
        <f t="shared" si="83"/>
        <v>2009-10</v>
      </c>
      <c r="G940" s="1"/>
      <c r="H940" s="161"/>
      <c r="I940" s="37"/>
      <c r="J940" s="135">
        <f t="shared" si="86"/>
        <v>0.9161881535038825</v>
      </c>
      <c r="K940" s="112"/>
      <c r="L940" s="37">
        <v>34.128678028899998</v>
      </c>
      <c r="M940" s="37" t="s">
        <v>509</v>
      </c>
      <c r="N940" s="37">
        <v>479.79317073170722</v>
      </c>
      <c r="O940" s="130">
        <f t="shared" si="84"/>
        <v>16374.706644367481</v>
      </c>
      <c r="P940" s="132">
        <f t="shared" si="85"/>
        <v>15002.312244670798</v>
      </c>
      <c r="Q940" s="262">
        <v>1</v>
      </c>
      <c r="R940" s="92"/>
    </row>
    <row r="941" spans="1:18" x14ac:dyDescent="0.25">
      <c r="A941" s="326">
        <v>40231</v>
      </c>
      <c r="B941" s="326" t="s">
        <v>806</v>
      </c>
      <c r="C941" s="264" t="s">
        <v>712</v>
      </c>
      <c r="D941" s="157" t="s">
        <v>724</v>
      </c>
      <c r="E941" s="44">
        <v>40231</v>
      </c>
      <c r="F941" s="146" t="str">
        <f t="shared" si="83"/>
        <v>2009-10</v>
      </c>
      <c r="G941" s="1"/>
      <c r="H941" s="161"/>
      <c r="I941" s="37"/>
      <c r="J941" s="135">
        <f t="shared" si="86"/>
        <v>0.9161881535038825</v>
      </c>
      <c r="K941" s="112"/>
      <c r="L941" s="37">
        <v>15.007302022699999</v>
      </c>
      <c r="M941" s="37" t="s">
        <v>509</v>
      </c>
      <c r="N941" s="37">
        <v>565.21756097560967</v>
      </c>
      <c r="O941" s="130">
        <f t="shared" si="84"/>
        <v>8482.3906460948274</v>
      </c>
      <c r="P941" s="132">
        <f t="shared" si="85"/>
        <v>7771.4658233442251</v>
      </c>
      <c r="Q941" s="262">
        <v>1</v>
      </c>
      <c r="R941" s="92"/>
    </row>
    <row r="942" spans="1:18" x14ac:dyDescent="0.25">
      <c r="A942" s="326">
        <v>40231</v>
      </c>
      <c r="B942" s="326" t="s">
        <v>806</v>
      </c>
      <c r="C942" s="264" t="s">
        <v>712</v>
      </c>
      <c r="D942" s="157" t="s">
        <v>724</v>
      </c>
      <c r="E942" s="44">
        <v>40231</v>
      </c>
      <c r="F942" s="146" t="str">
        <f t="shared" si="83"/>
        <v>2009-10</v>
      </c>
      <c r="G942" s="1"/>
      <c r="H942" s="161"/>
      <c r="I942" s="37"/>
      <c r="J942" s="135">
        <f t="shared" si="86"/>
        <v>0.9161881535038825</v>
      </c>
      <c r="K942" s="112"/>
      <c r="L942" s="37">
        <v>1.4993251815399999</v>
      </c>
      <c r="M942" s="37" t="s">
        <v>509</v>
      </c>
      <c r="N942" s="37">
        <v>404.93951219512189</v>
      </c>
      <c r="O942" s="130">
        <f t="shared" si="84"/>
        <v>607.13600763467014</v>
      </c>
      <c r="P942" s="132">
        <f t="shared" si="85"/>
        <v>556.25081776052753</v>
      </c>
      <c r="Q942" s="262">
        <v>1</v>
      </c>
      <c r="R942" s="92"/>
    </row>
    <row r="943" spans="1:18" x14ac:dyDescent="0.25">
      <c r="A943" s="326">
        <v>40231</v>
      </c>
      <c r="B943" s="326" t="s">
        <v>806</v>
      </c>
      <c r="C943" s="264" t="s">
        <v>712</v>
      </c>
      <c r="D943" s="157" t="s">
        <v>724</v>
      </c>
      <c r="E943" s="44">
        <v>40231</v>
      </c>
      <c r="F943" s="146" t="str">
        <f t="shared" si="83"/>
        <v>2009-10</v>
      </c>
      <c r="G943" s="1"/>
      <c r="H943" s="161"/>
      <c r="I943" s="37"/>
      <c r="J943" s="135">
        <f t="shared" si="86"/>
        <v>0.9161881535038825</v>
      </c>
      <c r="K943" s="112"/>
      <c r="L943" s="37">
        <v>1.4986650726599999</v>
      </c>
      <c r="M943" s="37" t="s">
        <v>509</v>
      </c>
      <c r="N943" s="37">
        <v>404.93951219512189</v>
      </c>
      <c r="O943" s="130">
        <f t="shared" si="84"/>
        <v>606.86870346680723</v>
      </c>
      <c r="P943" s="132">
        <f t="shared" si="85"/>
        <v>556.0059168485493</v>
      </c>
      <c r="Q943" s="262">
        <v>1</v>
      </c>
      <c r="R943" s="92"/>
    </row>
    <row r="944" spans="1:18" x14ac:dyDescent="0.25">
      <c r="A944" s="326">
        <v>40231</v>
      </c>
      <c r="B944" s="326" t="s">
        <v>806</v>
      </c>
      <c r="C944" s="264" t="s">
        <v>712</v>
      </c>
      <c r="D944" s="157" t="s">
        <v>724</v>
      </c>
      <c r="E944" s="44">
        <v>40231</v>
      </c>
      <c r="F944" s="146" t="str">
        <f t="shared" si="83"/>
        <v>2009-10</v>
      </c>
      <c r="G944" s="1"/>
      <c r="H944" s="161"/>
      <c r="I944" s="37"/>
      <c r="J944" s="135">
        <f t="shared" si="86"/>
        <v>0.9161881535038825</v>
      </c>
      <c r="K944" s="112"/>
      <c r="L944" s="37">
        <v>1.9981897533799999</v>
      </c>
      <c r="M944" s="37" t="s">
        <v>509</v>
      </c>
      <c r="N944" s="37">
        <v>404.93951219512189</v>
      </c>
      <c r="O944" s="130">
        <f t="shared" si="84"/>
        <v>809.1459840069881</v>
      </c>
      <c r="P944" s="132">
        <f t="shared" si="85"/>
        <v>741.32996500244451</v>
      </c>
      <c r="Q944" s="262">
        <v>1</v>
      </c>
      <c r="R944" s="92"/>
    </row>
    <row r="945" spans="1:18" x14ac:dyDescent="0.25">
      <c r="A945" s="326">
        <v>40231</v>
      </c>
      <c r="B945" s="326" t="s">
        <v>806</v>
      </c>
      <c r="C945" s="264" t="s">
        <v>712</v>
      </c>
      <c r="D945" s="157" t="s">
        <v>724</v>
      </c>
      <c r="E945" s="44">
        <v>40231</v>
      </c>
      <c r="F945" s="146" t="str">
        <f t="shared" si="83"/>
        <v>2009-10</v>
      </c>
      <c r="G945" s="1"/>
      <c r="H945" s="161"/>
      <c r="I945" s="37"/>
      <c r="J945" s="135">
        <f t="shared" si="86"/>
        <v>0.9161881535038825</v>
      </c>
      <c r="K945" s="112"/>
      <c r="L945" s="37">
        <v>5.2655372014799999</v>
      </c>
      <c r="M945" s="37" t="s">
        <v>509</v>
      </c>
      <c r="N945" s="37">
        <v>565.21756097560967</v>
      </c>
      <c r="O945" s="130">
        <f t="shared" si="84"/>
        <v>2976.1740942468628</v>
      </c>
      <c r="P945" s="132">
        <f t="shared" si="85"/>
        <v>2726.7354479141231</v>
      </c>
      <c r="Q945" s="262">
        <v>1</v>
      </c>
      <c r="R945" s="92"/>
    </row>
    <row r="946" spans="1:18" x14ac:dyDescent="0.25">
      <c r="A946" s="326">
        <v>40231</v>
      </c>
      <c r="B946" s="326" t="s">
        <v>806</v>
      </c>
      <c r="C946" s="264" t="s">
        <v>712</v>
      </c>
      <c r="D946" s="157" t="s">
        <v>724</v>
      </c>
      <c r="E946" s="44">
        <v>40231</v>
      </c>
      <c r="F946" s="146" t="str">
        <f t="shared" si="83"/>
        <v>2009-10</v>
      </c>
      <c r="G946" s="1"/>
      <c r="H946" s="161"/>
      <c r="I946" s="37"/>
      <c r="J946" s="135">
        <f t="shared" si="86"/>
        <v>0.9161881535038825</v>
      </c>
      <c r="K946" s="112"/>
      <c r="L946" s="37">
        <v>1.4375162607800001</v>
      </c>
      <c r="M946" s="37" t="s">
        <v>509</v>
      </c>
      <c r="N946" s="37">
        <v>565.21756097560967</v>
      </c>
      <c r="O946" s="130">
        <f t="shared" si="84"/>
        <v>812.50943478085014</v>
      </c>
      <c r="P946" s="132">
        <f t="shared" si="85"/>
        <v>744.41151875635035</v>
      </c>
      <c r="Q946" s="262">
        <v>1</v>
      </c>
      <c r="R946" s="92"/>
    </row>
    <row r="947" spans="1:18" x14ac:dyDescent="0.25">
      <c r="A947" s="326">
        <v>40284</v>
      </c>
      <c r="B947" s="326" t="s">
        <v>806</v>
      </c>
      <c r="C947" s="264" t="s">
        <v>712</v>
      </c>
      <c r="D947" s="157" t="s">
        <v>725</v>
      </c>
      <c r="E947" s="44">
        <v>40284</v>
      </c>
      <c r="F947" s="146" t="str">
        <f t="shared" si="83"/>
        <v>2009-10</v>
      </c>
      <c r="G947" s="1"/>
      <c r="H947" s="161"/>
      <c r="I947" s="37"/>
      <c r="J947" s="135">
        <f t="shared" si="86"/>
        <v>0.9161881535038825</v>
      </c>
      <c r="K947" s="112"/>
      <c r="L947" s="37">
        <v>156.283830462</v>
      </c>
      <c r="M947" s="37" t="s">
        <v>509</v>
      </c>
      <c r="N947" s="37">
        <v>3336.4019512195118</v>
      </c>
      <c r="O947" s="130">
        <f t="shared" si="84"/>
        <v>521425.67689747619</v>
      </c>
      <c r="P947" s="132">
        <f t="shared" si="85"/>
        <v>477724.02810621075</v>
      </c>
      <c r="Q947" s="262">
        <v>1</v>
      </c>
      <c r="R947" s="92"/>
    </row>
    <row r="948" spans="1:18" x14ac:dyDescent="0.25">
      <c r="A948" s="326">
        <v>40284</v>
      </c>
      <c r="B948" s="326" t="s">
        <v>806</v>
      </c>
      <c r="C948" s="264" t="s">
        <v>712</v>
      </c>
      <c r="D948" s="157" t="s">
        <v>725</v>
      </c>
      <c r="E948" s="44">
        <v>40284</v>
      </c>
      <c r="F948" s="146" t="str">
        <f t="shared" si="83"/>
        <v>2009-10</v>
      </c>
      <c r="G948" s="1"/>
      <c r="H948" s="161"/>
      <c r="I948" s="37"/>
      <c r="J948" s="135">
        <f t="shared" si="86"/>
        <v>0.9161881535038825</v>
      </c>
      <c r="K948" s="112"/>
      <c r="L948" s="37">
        <v>13.407701572400001</v>
      </c>
      <c r="M948" s="37" t="s">
        <v>509</v>
      </c>
      <c r="N948" s="37">
        <v>404.93951219512189</v>
      </c>
      <c r="O948" s="130">
        <f t="shared" si="84"/>
        <v>5429.3081343854246</v>
      </c>
      <c r="P948" s="132">
        <f t="shared" si="85"/>
        <v>4974.2677944461911</v>
      </c>
      <c r="Q948" s="262">
        <v>1</v>
      </c>
      <c r="R948" s="92"/>
    </row>
    <row r="949" spans="1:18" x14ac:dyDescent="0.25">
      <c r="A949" s="326">
        <v>40284</v>
      </c>
      <c r="B949" s="326" t="s">
        <v>806</v>
      </c>
      <c r="C949" s="264" t="s">
        <v>712</v>
      </c>
      <c r="D949" s="157" t="s">
        <v>725</v>
      </c>
      <c r="E949" s="44">
        <v>40284</v>
      </c>
      <c r="F949" s="146" t="str">
        <f t="shared" si="83"/>
        <v>2009-10</v>
      </c>
      <c r="G949" s="1"/>
      <c r="H949" s="161"/>
      <c r="I949" s="37"/>
      <c r="J949" s="135">
        <f t="shared" si="86"/>
        <v>0.9161881535038825</v>
      </c>
      <c r="K949" s="112"/>
      <c r="L949" s="37">
        <v>4.63041952743</v>
      </c>
      <c r="M949" s="37" t="s">
        <v>509</v>
      </c>
      <c r="N949" s="37">
        <v>404.93951219512189</v>
      </c>
      <c r="O949" s="130">
        <f t="shared" si="84"/>
        <v>1875.0398246962711</v>
      </c>
      <c r="P949" s="132">
        <f t="shared" si="85"/>
        <v>1717.8892747347202</v>
      </c>
      <c r="Q949" s="262">
        <v>1</v>
      </c>
      <c r="R949" s="92"/>
    </row>
    <row r="950" spans="1:18" x14ac:dyDescent="0.25">
      <c r="A950" s="326">
        <v>40284</v>
      </c>
      <c r="B950" s="326" t="s">
        <v>806</v>
      </c>
      <c r="C950" s="264" t="s">
        <v>712</v>
      </c>
      <c r="D950" s="157" t="s">
        <v>725</v>
      </c>
      <c r="E950" s="44">
        <v>40284</v>
      </c>
      <c r="F950" s="146" t="str">
        <f t="shared" si="83"/>
        <v>2009-10</v>
      </c>
      <c r="G950" s="1"/>
      <c r="H950" s="161"/>
      <c r="I950" s="37"/>
      <c r="J950" s="135">
        <f t="shared" si="86"/>
        <v>0.9161881535038825</v>
      </c>
      <c r="K950" s="112"/>
      <c r="L950" s="37">
        <v>20.993755972700001</v>
      </c>
      <c r="M950" s="37" t="s">
        <v>509</v>
      </c>
      <c r="N950" s="37">
        <v>404.93951219512189</v>
      </c>
      <c r="O950" s="130">
        <f t="shared" si="84"/>
        <v>8501.2013027285648</v>
      </c>
      <c r="P950" s="132">
        <f t="shared" si="85"/>
        <v>7788.6999241116846</v>
      </c>
      <c r="Q950" s="262">
        <v>1</v>
      </c>
      <c r="R950" s="92"/>
    </row>
    <row r="951" spans="1:18" x14ac:dyDescent="0.25">
      <c r="A951" s="326">
        <v>40284</v>
      </c>
      <c r="B951" s="326" t="s">
        <v>806</v>
      </c>
      <c r="C951" s="264" t="s">
        <v>712</v>
      </c>
      <c r="D951" s="157" t="s">
        <v>725</v>
      </c>
      <c r="E951" s="44">
        <v>40284</v>
      </c>
      <c r="F951" s="146" t="str">
        <f t="shared" si="83"/>
        <v>2009-10</v>
      </c>
      <c r="G951" s="1"/>
      <c r="H951" s="161"/>
      <c r="I951" s="37"/>
      <c r="J951" s="135">
        <f t="shared" si="86"/>
        <v>0.9161881535038825</v>
      </c>
      <c r="K951" s="112"/>
      <c r="L951" s="37">
        <v>21.987229673800002</v>
      </c>
      <c r="M951" s="37" t="s">
        <v>509</v>
      </c>
      <c r="N951" s="37">
        <v>404.93951219512189</v>
      </c>
      <c r="O951" s="130">
        <f t="shared" si="84"/>
        <v>8903.498058630681</v>
      </c>
      <c r="P951" s="132">
        <f t="shared" si="85"/>
        <v>8157.2794460622463</v>
      </c>
      <c r="Q951" s="262">
        <v>1</v>
      </c>
      <c r="R951" s="92"/>
    </row>
    <row r="952" spans="1:18" x14ac:dyDescent="0.25">
      <c r="A952" s="326">
        <v>40284</v>
      </c>
      <c r="B952" s="326" t="s">
        <v>806</v>
      </c>
      <c r="C952" s="264" t="s">
        <v>712</v>
      </c>
      <c r="D952" s="157" t="s">
        <v>725</v>
      </c>
      <c r="E952" s="44">
        <v>40284</v>
      </c>
      <c r="F952" s="146" t="str">
        <f t="shared" si="83"/>
        <v>2009-10</v>
      </c>
      <c r="G952" s="1"/>
      <c r="H952" s="161"/>
      <c r="I952" s="37"/>
      <c r="J952" s="135">
        <f t="shared" si="86"/>
        <v>0.9161881535038825</v>
      </c>
      <c r="K952" s="112"/>
      <c r="L952" s="37">
        <v>33.122508248199999</v>
      </c>
      <c r="M952" s="37" t="s">
        <v>509</v>
      </c>
      <c r="N952" s="37">
        <v>404.93951219512189</v>
      </c>
      <c r="O952" s="130">
        <f t="shared" si="84"/>
        <v>13412.612332705008</v>
      </c>
      <c r="P952" s="132">
        <f t="shared" si="85"/>
        <v>12288.476526764403</v>
      </c>
      <c r="Q952" s="262">
        <v>1</v>
      </c>
      <c r="R952" s="92"/>
    </row>
    <row r="953" spans="1:18" x14ac:dyDescent="0.25">
      <c r="A953" s="326">
        <v>40284</v>
      </c>
      <c r="B953" s="326" t="s">
        <v>806</v>
      </c>
      <c r="C953" s="264" t="s">
        <v>712</v>
      </c>
      <c r="D953" s="157" t="s">
        <v>725</v>
      </c>
      <c r="E953" s="44">
        <v>40284</v>
      </c>
      <c r="F953" s="146" t="str">
        <f t="shared" si="83"/>
        <v>2009-10</v>
      </c>
      <c r="G953" s="1"/>
      <c r="H953" s="161"/>
      <c r="I953" s="37"/>
      <c r="J953" s="135">
        <f t="shared" si="86"/>
        <v>0.9161881535038825</v>
      </c>
      <c r="K953" s="112"/>
      <c r="L953" s="37">
        <v>66.216674625500005</v>
      </c>
      <c r="M953" s="37" t="s">
        <v>509</v>
      </c>
      <c r="N953" s="37">
        <v>404.93951219512189</v>
      </c>
      <c r="O953" s="130">
        <f t="shared" si="84"/>
        <v>26813.747922033079</v>
      </c>
      <c r="P953" s="132">
        <f t="shared" si="85"/>
        <v>24566.438197206051</v>
      </c>
      <c r="Q953" s="262">
        <v>1</v>
      </c>
      <c r="R953" s="92"/>
    </row>
    <row r="954" spans="1:18" x14ac:dyDescent="0.25">
      <c r="A954" s="326">
        <v>40284</v>
      </c>
      <c r="B954" s="326" t="s">
        <v>806</v>
      </c>
      <c r="C954" s="264" t="s">
        <v>712</v>
      </c>
      <c r="D954" s="157" t="s">
        <v>725</v>
      </c>
      <c r="E954" s="44">
        <v>40284</v>
      </c>
      <c r="F954" s="146" t="str">
        <f t="shared" si="83"/>
        <v>2009-10</v>
      </c>
      <c r="G954" s="1"/>
      <c r="H954" s="161"/>
      <c r="I954" s="37"/>
      <c r="J954" s="135">
        <f t="shared" si="86"/>
        <v>0.9161881535038825</v>
      </c>
      <c r="K954" s="112"/>
      <c r="L954" s="37">
        <v>19.3839362748</v>
      </c>
      <c r="M954" s="37" t="s">
        <v>509</v>
      </c>
      <c r="N954" s="37">
        <v>404.93951219512189</v>
      </c>
      <c r="O954" s="130">
        <f t="shared" si="84"/>
        <v>7849.3216995388402</v>
      </c>
      <c r="P954" s="132">
        <f t="shared" si="85"/>
        <v>7191.4555541584468</v>
      </c>
      <c r="Q954" s="262">
        <v>1</v>
      </c>
      <c r="R954" s="92"/>
    </row>
    <row r="955" spans="1:18" x14ac:dyDescent="0.25">
      <c r="A955" s="326">
        <v>40284</v>
      </c>
      <c r="B955" s="326" t="s">
        <v>806</v>
      </c>
      <c r="C955" s="264" t="s">
        <v>712</v>
      </c>
      <c r="D955" s="157" t="s">
        <v>725</v>
      </c>
      <c r="E955" s="44">
        <v>40284</v>
      </c>
      <c r="F955" s="146" t="str">
        <f t="shared" si="83"/>
        <v>2009-10</v>
      </c>
      <c r="G955" s="1"/>
      <c r="H955" s="161"/>
      <c r="I955" s="37"/>
      <c r="J955" s="135">
        <f t="shared" si="86"/>
        <v>0.9161881535038825</v>
      </c>
      <c r="K955" s="112"/>
      <c r="L955" s="37">
        <v>86.642070207299994</v>
      </c>
      <c r="M955" s="37" t="s">
        <v>509</v>
      </c>
      <c r="N955" s="37">
        <v>404.93951219512189</v>
      </c>
      <c r="O955" s="130">
        <f t="shared" si="84"/>
        <v>35084.797645319566</v>
      </c>
      <c r="P955" s="132">
        <f t="shared" si="85"/>
        <v>32144.275970722698</v>
      </c>
      <c r="Q955" s="262">
        <v>1</v>
      </c>
      <c r="R955" s="92"/>
    </row>
    <row r="956" spans="1:18" x14ac:dyDescent="0.25">
      <c r="A956" s="326">
        <v>40284</v>
      </c>
      <c r="B956" s="326" t="s">
        <v>806</v>
      </c>
      <c r="C956" s="264" t="s">
        <v>712</v>
      </c>
      <c r="D956" s="157" t="s">
        <v>725</v>
      </c>
      <c r="E956" s="44">
        <v>40284</v>
      </c>
      <c r="F956" s="146" t="str">
        <f t="shared" si="83"/>
        <v>2009-10</v>
      </c>
      <c r="G956" s="1"/>
      <c r="H956" s="161"/>
      <c r="I956" s="37"/>
      <c r="J956" s="135">
        <f t="shared" si="86"/>
        <v>0.9161881535038825</v>
      </c>
      <c r="K956" s="112"/>
      <c r="L956" s="37">
        <v>31.961983302</v>
      </c>
      <c r="M956" s="37" t="s">
        <v>509</v>
      </c>
      <c r="N956" s="37">
        <v>404.93951219512189</v>
      </c>
      <c r="O956" s="130">
        <f t="shared" si="84"/>
        <v>12942.669927100511</v>
      </c>
      <c r="P956" s="132">
        <f t="shared" si="85"/>
        <v>11857.920861920447</v>
      </c>
      <c r="Q956" s="262">
        <v>1</v>
      </c>
      <c r="R956" s="92"/>
    </row>
    <row r="957" spans="1:18" x14ac:dyDescent="0.25">
      <c r="A957" s="326">
        <v>40284</v>
      </c>
      <c r="B957" s="326" t="s">
        <v>806</v>
      </c>
      <c r="C957" s="264" t="s">
        <v>712</v>
      </c>
      <c r="D957" s="157" t="s">
        <v>725</v>
      </c>
      <c r="E957" s="44">
        <v>40284</v>
      </c>
      <c r="F957" s="146" t="str">
        <f t="shared" si="83"/>
        <v>2009-10</v>
      </c>
      <c r="G957" s="1"/>
      <c r="H957" s="161"/>
      <c r="I957" s="37"/>
      <c r="J957" s="135">
        <f t="shared" si="86"/>
        <v>0.9161881535038825</v>
      </c>
      <c r="K957" s="112"/>
      <c r="L957" s="37">
        <v>6.7217453876000004</v>
      </c>
      <c r="M957" s="37" t="s">
        <v>509</v>
      </c>
      <c r="N957" s="37">
        <v>404.93951219512189</v>
      </c>
      <c r="O957" s="130">
        <f t="shared" si="84"/>
        <v>2721.9002983545547</v>
      </c>
      <c r="P957" s="132">
        <f t="shared" si="85"/>
        <v>2493.7728083711263</v>
      </c>
      <c r="Q957" s="262">
        <v>1</v>
      </c>
      <c r="R957" s="92"/>
    </row>
    <row r="958" spans="1:18" x14ac:dyDescent="0.25">
      <c r="A958" s="326">
        <v>40284</v>
      </c>
      <c r="B958" s="326" t="s">
        <v>806</v>
      </c>
      <c r="C958" s="264" t="s">
        <v>712</v>
      </c>
      <c r="D958" s="157" t="s">
        <v>725</v>
      </c>
      <c r="E958" s="44">
        <v>40284</v>
      </c>
      <c r="F958" s="146" t="str">
        <f t="shared" si="83"/>
        <v>2009-10</v>
      </c>
      <c r="G958" s="1"/>
      <c r="H958" s="161"/>
      <c r="I958" s="37"/>
      <c r="J958" s="135">
        <f t="shared" si="86"/>
        <v>0.9161881535038825</v>
      </c>
      <c r="K958" s="112"/>
      <c r="L958" s="37">
        <v>99.849267546299998</v>
      </c>
      <c r="M958" s="37" t="s">
        <v>509</v>
      </c>
      <c r="N958" s="37">
        <v>404.93951219512189</v>
      </c>
      <c r="O958" s="130">
        <f t="shared" si="84"/>
        <v>40432.913693238937</v>
      </c>
      <c r="P958" s="132">
        <f t="shared" si="85"/>
        <v>37044.15653739043</v>
      </c>
      <c r="Q958" s="262">
        <v>1</v>
      </c>
      <c r="R958" s="92"/>
    </row>
    <row r="959" spans="1:18" x14ac:dyDescent="0.25">
      <c r="A959" s="326">
        <v>40284</v>
      </c>
      <c r="B959" s="326" t="s">
        <v>806</v>
      </c>
      <c r="C959" s="264" t="s">
        <v>712</v>
      </c>
      <c r="D959" s="157" t="s">
        <v>725</v>
      </c>
      <c r="E959" s="44">
        <v>40284</v>
      </c>
      <c r="F959" s="146" t="str">
        <f t="shared" si="83"/>
        <v>2009-10</v>
      </c>
      <c r="G959" s="1"/>
      <c r="H959" s="161"/>
      <c r="I959" s="37"/>
      <c r="J959" s="135">
        <f t="shared" si="86"/>
        <v>0.9161881535038825</v>
      </c>
      <c r="K959" s="112"/>
      <c r="L959" s="37">
        <v>25.103340230899999</v>
      </c>
      <c r="M959" s="37" t="s">
        <v>509</v>
      </c>
      <c r="N959" s="37">
        <v>404.93951219512189</v>
      </c>
      <c r="O959" s="130">
        <f t="shared" si="84"/>
        <v>10165.334347568823</v>
      </c>
      <c r="P959" s="132">
        <f t="shared" si="85"/>
        <v>9313.3589056486744</v>
      </c>
      <c r="Q959" s="262">
        <v>1</v>
      </c>
      <c r="R959" s="92"/>
    </row>
    <row r="960" spans="1:18" x14ac:dyDescent="0.25">
      <c r="A960" s="326">
        <v>40284</v>
      </c>
      <c r="B960" s="326" t="s">
        <v>806</v>
      </c>
      <c r="C960" s="264" t="s">
        <v>712</v>
      </c>
      <c r="D960" s="157" t="s">
        <v>725</v>
      </c>
      <c r="E960" s="44">
        <v>40284</v>
      </c>
      <c r="F960" s="146" t="str">
        <f t="shared" si="83"/>
        <v>2009-10</v>
      </c>
      <c r="G960" s="1"/>
      <c r="H960" s="161"/>
      <c r="I960" s="37"/>
      <c r="J960" s="135">
        <f t="shared" si="86"/>
        <v>0.9161881535038825</v>
      </c>
      <c r="K960" s="112"/>
      <c r="L960" s="37">
        <v>20.741183956899999</v>
      </c>
      <c r="M960" s="37" t="s">
        <v>509</v>
      </c>
      <c r="N960" s="37">
        <v>404.93951219512189</v>
      </c>
      <c r="O960" s="130">
        <f t="shared" si="84"/>
        <v>8398.9249138563737</v>
      </c>
      <c r="P960" s="132">
        <f t="shared" si="85"/>
        <v>7694.9955082438264</v>
      </c>
      <c r="Q960" s="262">
        <v>1</v>
      </c>
      <c r="R960" s="92"/>
    </row>
    <row r="961" spans="1:18" x14ac:dyDescent="0.25">
      <c r="A961" s="326">
        <v>40284</v>
      </c>
      <c r="B961" s="326" t="s">
        <v>806</v>
      </c>
      <c r="C961" s="264" t="s">
        <v>712</v>
      </c>
      <c r="D961" s="157" t="s">
        <v>725</v>
      </c>
      <c r="E961" s="44">
        <v>40284</v>
      </c>
      <c r="F961" s="146" t="str">
        <f t="shared" si="83"/>
        <v>2009-10</v>
      </c>
      <c r="G961" s="1"/>
      <c r="H961" s="161"/>
      <c r="I961" s="37"/>
      <c r="J961" s="135">
        <f t="shared" si="86"/>
        <v>0.9161881535038825</v>
      </c>
      <c r="K961" s="112"/>
      <c r="L961" s="37">
        <v>71.4483451957</v>
      </c>
      <c r="M961" s="37" t="s">
        <v>509</v>
      </c>
      <c r="N961" s="37">
        <v>404.93951219512189</v>
      </c>
      <c r="O961" s="130">
        <f t="shared" si="84"/>
        <v>28932.25805069544</v>
      </c>
      <c r="P961" s="132">
        <f t="shared" si="85"/>
        <v>26507.392080164493</v>
      </c>
      <c r="Q961" s="262">
        <v>1</v>
      </c>
      <c r="R961" s="92"/>
    </row>
    <row r="962" spans="1:18" x14ac:dyDescent="0.25">
      <c r="A962" s="326">
        <v>40284</v>
      </c>
      <c r="B962" s="326" t="s">
        <v>806</v>
      </c>
      <c r="C962" s="264" t="s">
        <v>712</v>
      </c>
      <c r="D962" s="157" t="s">
        <v>725</v>
      </c>
      <c r="E962" s="44">
        <v>40284</v>
      </c>
      <c r="F962" s="146" t="str">
        <f t="shared" si="83"/>
        <v>2009-10</v>
      </c>
      <c r="G962" s="1"/>
      <c r="H962" s="161"/>
      <c r="I962" s="37"/>
      <c r="J962" s="135">
        <f t="shared" si="86"/>
        <v>0.9161881535038825</v>
      </c>
      <c r="K962" s="112"/>
      <c r="L962" s="37">
        <v>46.133405070499997</v>
      </c>
      <c r="M962" s="37" t="s">
        <v>509</v>
      </c>
      <c r="N962" s="37">
        <v>404.93951219512189</v>
      </c>
      <c r="O962" s="130">
        <f t="shared" si="84"/>
        <v>18681.238545148233</v>
      </c>
      <c r="P962" s="132">
        <f t="shared" si="85"/>
        <v>17115.529447844918</v>
      </c>
      <c r="Q962" s="262">
        <v>1</v>
      </c>
      <c r="R962" s="92"/>
    </row>
    <row r="963" spans="1:18" x14ac:dyDescent="0.25">
      <c r="A963" s="326">
        <v>40284</v>
      </c>
      <c r="B963" s="326" t="s">
        <v>806</v>
      </c>
      <c r="C963" s="264" t="s">
        <v>712</v>
      </c>
      <c r="D963" s="157" t="s">
        <v>725</v>
      </c>
      <c r="E963" s="44">
        <v>40284</v>
      </c>
      <c r="F963" s="146" t="str">
        <f t="shared" si="83"/>
        <v>2009-10</v>
      </c>
      <c r="G963" s="1"/>
      <c r="H963" s="161"/>
      <c r="I963" s="37"/>
      <c r="J963" s="135">
        <f t="shared" si="86"/>
        <v>0.9161881535038825</v>
      </c>
      <c r="K963" s="112"/>
      <c r="L963" s="37">
        <v>27.943752101299999</v>
      </c>
      <c r="M963" s="37" t="s">
        <v>509</v>
      </c>
      <c r="N963" s="37">
        <v>404.93951219512189</v>
      </c>
      <c r="O963" s="130">
        <f t="shared" si="84"/>
        <v>11315.529344801835</v>
      </c>
      <c r="P963" s="132">
        <f t="shared" si="85"/>
        <v>10367.15393633299</v>
      </c>
      <c r="Q963" s="262">
        <v>1</v>
      </c>
      <c r="R963" s="92"/>
    </row>
    <row r="964" spans="1:18" x14ac:dyDescent="0.25">
      <c r="A964" s="326">
        <v>40284</v>
      </c>
      <c r="B964" s="326" t="s">
        <v>806</v>
      </c>
      <c r="C964" s="264" t="s">
        <v>712</v>
      </c>
      <c r="D964" s="157" t="s">
        <v>725</v>
      </c>
      <c r="E964" s="44">
        <v>40284</v>
      </c>
      <c r="F964" s="146" t="str">
        <f t="shared" si="83"/>
        <v>2009-10</v>
      </c>
      <c r="G964" s="1"/>
      <c r="H964" s="161"/>
      <c r="I964" s="37"/>
      <c r="J964" s="135">
        <f t="shared" si="86"/>
        <v>0.9161881535038825</v>
      </c>
      <c r="K964" s="112"/>
      <c r="L964" s="37">
        <v>150.01353347700001</v>
      </c>
      <c r="M964" s="37" t="s">
        <v>509</v>
      </c>
      <c r="N964" s="37">
        <v>404.93951219512189</v>
      </c>
      <c r="O964" s="130">
        <f t="shared" si="84"/>
        <v>60746.407068842971</v>
      </c>
      <c r="P964" s="132">
        <f t="shared" si="85"/>
        <v>55655.138524398433</v>
      </c>
      <c r="Q964" s="262">
        <v>1</v>
      </c>
      <c r="R964" s="92"/>
    </row>
    <row r="965" spans="1:18" x14ac:dyDescent="0.25">
      <c r="A965" s="326">
        <v>40284</v>
      </c>
      <c r="B965" s="326" t="s">
        <v>806</v>
      </c>
      <c r="C965" s="264" t="s">
        <v>712</v>
      </c>
      <c r="D965" s="157" t="s">
        <v>725</v>
      </c>
      <c r="E965" s="44">
        <v>40284</v>
      </c>
      <c r="F965" s="146" t="str">
        <f t="shared" si="83"/>
        <v>2009-10</v>
      </c>
      <c r="G965" s="1"/>
      <c r="H965" s="161"/>
      <c r="I965" s="37"/>
      <c r="J965" s="135">
        <f t="shared" si="86"/>
        <v>0.9161881535038825</v>
      </c>
      <c r="K965" s="112"/>
      <c r="L965" s="37">
        <v>86.544181399999999</v>
      </c>
      <c r="M965" s="37" t="s">
        <v>509</v>
      </c>
      <c r="N965" s="37">
        <v>404.93951219512189</v>
      </c>
      <c r="O965" s="130">
        <f t="shared" si="84"/>
        <v>35045.15859944214</v>
      </c>
      <c r="P965" s="132">
        <f t="shared" si="85"/>
        <v>32107.959146473604</v>
      </c>
      <c r="Q965" s="262">
        <v>1</v>
      </c>
      <c r="R965" s="92"/>
    </row>
    <row r="966" spans="1:18" x14ac:dyDescent="0.25">
      <c r="A966" s="326">
        <v>40284</v>
      </c>
      <c r="B966" s="326" t="s">
        <v>806</v>
      </c>
      <c r="C966" s="264" t="s">
        <v>712</v>
      </c>
      <c r="D966" s="157" t="s">
        <v>725</v>
      </c>
      <c r="E966" s="44">
        <v>40284</v>
      </c>
      <c r="F966" s="146" t="str">
        <f t="shared" si="83"/>
        <v>2009-10</v>
      </c>
      <c r="G966" s="1"/>
      <c r="H966" s="161"/>
      <c r="I966" s="37"/>
      <c r="J966" s="135">
        <f t="shared" si="86"/>
        <v>0.9161881535038825</v>
      </c>
      <c r="K966" s="112"/>
      <c r="L966" s="37">
        <v>18.1488159347</v>
      </c>
      <c r="M966" s="37" t="s">
        <v>509</v>
      </c>
      <c r="N966" s="37">
        <v>404.93951219512189</v>
      </c>
      <c r="O966" s="130">
        <f t="shared" si="84"/>
        <v>7349.1726715164732</v>
      </c>
      <c r="P966" s="132">
        <f t="shared" si="85"/>
        <v>6733.2249396978732</v>
      </c>
      <c r="Q966" s="262">
        <v>1</v>
      </c>
      <c r="R966" s="92"/>
    </row>
    <row r="967" spans="1:18" x14ac:dyDescent="0.25">
      <c r="A967" s="326">
        <v>40284</v>
      </c>
      <c r="B967" s="326" t="s">
        <v>806</v>
      </c>
      <c r="C967" s="264" t="s">
        <v>712</v>
      </c>
      <c r="D967" s="157" t="s">
        <v>725</v>
      </c>
      <c r="E967" s="44">
        <v>40284</v>
      </c>
      <c r="F967" s="146" t="str">
        <f t="shared" si="83"/>
        <v>2009-10</v>
      </c>
      <c r="G967" s="1"/>
      <c r="H967" s="161"/>
      <c r="I967" s="37"/>
      <c r="J967" s="135">
        <f t="shared" si="86"/>
        <v>0.9161881535038825</v>
      </c>
      <c r="K967" s="112"/>
      <c r="L967" s="37">
        <v>18.536868206499999</v>
      </c>
      <c r="M967" s="37" t="s">
        <v>509</v>
      </c>
      <c r="N967" s="37">
        <v>404.93951219512189</v>
      </c>
      <c r="O967" s="130">
        <f t="shared" si="84"/>
        <v>7506.3103691653741</v>
      </c>
      <c r="P967" s="132">
        <f t="shared" si="85"/>
        <v>6877.1926367526703</v>
      </c>
      <c r="Q967" s="262">
        <v>1</v>
      </c>
      <c r="R967" s="92"/>
    </row>
    <row r="968" spans="1:18" x14ac:dyDescent="0.25">
      <c r="A968" s="326">
        <v>40284</v>
      </c>
      <c r="B968" s="326" t="s">
        <v>806</v>
      </c>
      <c r="C968" s="264" t="s">
        <v>712</v>
      </c>
      <c r="D968" s="157" t="s">
        <v>725</v>
      </c>
      <c r="E968" s="44">
        <v>40284</v>
      </c>
      <c r="F968" s="146" t="str">
        <f t="shared" si="83"/>
        <v>2009-10</v>
      </c>
      <c r="G968" s="1"/>
      <c r="H968" s="161"/>
      <c r="I968" s="37"/>
      <c r="J968" s="135">
        <f t="shared" si="86"/>
        <v>0.9161881535038825</v>
      </c>
      <c r="K968" s="112"/>
      <c r="L968" s="37">
        <v>14.1456867553</v>
      </c>
      <c r="M968" s="37" t="s">
        <v>509</v>
      </c>
      <c r="N968" s="37">
        <v>404.93951219512189</v>
      </c>
      <c r="O968" s="130">
        <f t="shared" si="84"/>
        <v>5728.1474943561789</v>
      </c>
      <c r="P968" s="132">
        <f t="shared" si="85"/>
        <v>5248.0608758520784</v>
      </c>
      <c r="Q968" s="262">
        <v>1</v>
      </c>
      <c r="R968" s="92"/>
    </row>
    <row r="969" spans="1:18" x14ac:dyDescent="0.25">
      <c r="A969" s="326">
        <v>40284</v>
      </c>
      <c r="B969" s="326" t="s">
        <v>806</v>
      </c>
      <c r="C969" s="264" t="s">
        <v>712</v>
      </c>
      <c r="D969" s="157" t="s">
        <v>725</v>
      </c>
      <c r="E969" s="44">
        <v>40284</v>
      </c>
      <c r="F969" s="146" t="str">
        <f t="shared" ref="F969:F1032" si="87">IF(E969="","-",IF(OR(E969&lt;$E$15,E969&gt;$E$16),"ERROR - date outside of range",IF(MONTH(E969)&gt;=7,YEAR(E969)&amp;"-"&amp;IF(YEAR(E969)=1999,"00",IF(AND(YEAR(E969)&gt;=2000,YEAR(E969)&lt;2009),"0","")&amp;RIGHT(YEAR(E969),2)+1),RIGHT(YEAR(E969),4)-1&amp;"-"&amp;RIGHT(YEAR(E969),2))))</f>
        <v>2009-10</v>
      </c>
      <c r="G969" s="1"/>
      <c r="H969" s="161"/>
      <c r="I969" s="37"/>
      <c r="J969" s="135">
        <f t="shared" si="86"/>
        <v>0.9161881535038825</v>
      </c>
      <c r="K969" s="112"/>
      <c r="L969" s="37">
        <v>85.781204642299997</v>
      </c>
      <c r="M969" s="37" t="s">
        <v>509</v>
      </c>
      <c r="N969" s="37">
        <v>404.93951219512189</v>
      </c>
      <c r="O969" s="130">
        <f t="shared" si="84"/>
        <v>34736.199163362886</v>
      </c>
      <c r="P969" s="132">
        <f t="shared" si="85"/>
        <v>31824.894171224551</v>
      </c>
      <c r="Q969" s="262">
        <v>1</v>
      </c>
      <c r="R969" s="92"/>
    </row>
    <row r="970" spans="1:18" x14ac:dyDescent="0.25">
      <c r="A970" s="326">
        <v>40284</v>
      </c>
      <c r="B970" s="326" t="s">
        <v>806</v>
      </c>
      <c r="C970" s="264" t="s">
        <v>712</v>
      </c>
      <c r="D970" s="157" t="s">
        <v>725</v>
      </c>
      <c r="E970" s="44">
        <v>40284</v>
      </c>
      <c r="F970" s="146" t="str">
        <f t="shared" si="87"/>
        <v>2009-10</v>
      </c>
      <c r="G970" s="1"/>
      <c r="H970" s="161"/>
      <c r="I970" s="37"/>
      <c r="J970" s="135">
        <f t="shared" si="86"/>
        <v>0.9161881535038825</v>
      </c>
      <c r="K970" s="112"/>
      <c r="L970" s="37">
        <v>23.461245780100001</v>
      </c>
      <c r="M970" s="37" t="s">
        <v>509</v>
      </c>
      <c r="N970" s="37">
        <v>404.93951219512189</v>
      </c>
      <c r="O970" s="130">
        <f t="shared" si="84"/>
        <v>9500.3854216835571</v>
      </c>
      <c r="P970" s="132">
        <f t="shared" si="85"/>
        <v>8704.1405770674628</v>
      </c>
      <c r="Q970" s="262">
        <v>1</v>
      </c>
      <c r="R970" s="92"/>
    </row>
    <row r="971" spans="1:18" x14ac:dyDescent="0.25">
      <c r="A971" s="326">
        <v>40284</v>
      </c>
      <c r="B971" s="326" t="s">
        <v>806</v>
      </c>
      <c r="C971" s="264" t="s">
        <v>712</v>
      </c>
      <c r="D971" s="157" t="s">
        <v>725</v>
      </c>
      <c r="E971" s="44">
        <v>40284</v>
      </c>
      <c r="F971" s="146" t="str">
        <f t="shared" si="87"/>
        <v>2009-10</v>
      </c>
      <c r="G971" s="1"/>
      <c r="H971" s="161"/>
      <c r="I971" s="37"/>
      <c r="J971" s="135">
        <f t="shared" si="86"/>
        <v>0.9161881535038825</v>
      </c>
      <c r="K971" s="112"/>
      <c r="L971" s="37">
        <v>51.108870374299997</v>
      </c>
      <c r="M971" s="37" t="s">
        <v>509</v>
      </c>
      <c r="N971" s="37">
        <v>404.93951219512189</v>
      </c>
      <c r="O971" s="130">
        <f t="shared" si="84"/>
        <v>20696.001038212758</v>
      </c>
      <c r="P971" s="132">
        <f t="shared" si="85"/>
        <v>18961.430976114581</v>
      </c>
      <c r="Q971" s="262">
        <v>1</v>
      </c>
      <c r="R971" s="92"/>
    </row>
    <row r="972" spans="1:18" x14ac:dyDescent="0.25">
      <c r="A972" s="326">
        <v>40284</v>
      </c>
      <c r="B972" s="326" t="s">
        <v>806</v>
      </c>
      <c r="C972" s="264" t="s">
        <v>712</v>
      </c>
      <c r="D972" s="157" t="s">
        <v>725</v>
      </c>
      <c r="E972" s="44">
        <v>40284</v>
      </c>
      <c r="F972" s="146" t="str">
        <f t="shared" si="87"/>
        <v>2009-10</v>
      </c>
      <c r="G972" s="1"/>
      <c r="H972" s="161"/>
      <c r="I972" s="37"/>
      <c r="J972" s="135">
        <f t="shared" si="86"/>
        <v>0.9161881535038825</v>
      </c>
      <c r="K972" s="112"/>
      <c r="L972" s="37">
        <v>2.4975838324300002</v>
      </c>
      <c r="M972" s="37" t="s">
        <v>509</v>
      </c>
      <c r="N972" s="37">
        <v>404.93951219512189</v>
      </c>
      <c r="O972" s="130">
        <f t="shared" si="84"/>
        <v>1011.3703787706273</v>
      </c>
      <c r="P972" s="132">
        <f t="shared" si="85"/>
        <v>926.60555983438326</v>
      </c>
      <c r="Q972" s="262">
        <v>1</v>
      </c>
      <c r="R972" s="92"/>
    </row>
    <row r="973" spans="1:18" x14ac:dyDescent="0.25">
      <c r="A973" s="326">
        <v>40284</v>
      </c>
      <c r="B973" s="326" t="s">
        <v>806</v>
      </c>
      <c r="C973" s="264" t="s">
        <v>712</v>
      </c>
      <c r="D973" s="157" t="s">
        <v>725</v>
      </c>
      <c r="E973" s="44">
        <v>40284</v>
      </c>
      <c r="F973" s="146" t="str">
        <f t="shared" si="87"/>
        <v>2009-10</v>
      </c>
      <c r="G973" s="1"/>
      <c r="H973" s="161"/>
      <c r="I973" s="37"/>
      <c r="J973" s="135">
        <f t="shared" si="86"/>
        <v>0.9161881535038825</v>
      </c>
      <c r="K973" s="112"/>
      <c r="L973" s="37">
        <v>26.9619028762</v>
      </c>
      <c r="M973" s="37" t="s">
        <v>509</v>
      </c>
      <c r="N973" s="37">
        <v>404.93951219512189</v>
      </c>
      <c r="O973" s="130">
        <f t="shared" si="84"/>
        <v>10917.939798540681</v>
      </c>
      <c r="P973" s="132">
        <f t="shared" si="85"/>
        <v>10002.887104091538</v>
      </c>
      <c r="Q973" s="262">
        <v>1</v>
      </c>
      <c r="R973" s="92"/>
    </row>
    <row r="974" spans="1:18" x14ac:dyDescent="0.25">
      <c r="A974" s="326">
        <v>40284</v>
      </c>
      <c r="B974" s="326" t="s">
        <v>806</v>
      </c>
      <c r="C974" s="264" t="s">
        <v>712</v>
      </c>
      <c r="D974" s="157" t="s">
        <v>725</v>
      </c>
      <c r="E974" s="44">
        <v>40284</v>
      </c>
      <c r="F974" s="146" t="str">
        <f t="shared" si="87"/>
        <v>2009-10</v>
      </c>
      <c r="G974" s="1"/>
      <c r="H974" s="161"/>
      <c r="I974" s="37"/>
      <c r="J974" s="135">
        <f t="shared" si="86"/>
        <v>0.9161881535038825</v>
      </c>
      <c r="K974" s="112"/>
      <c r="L974" s="37">
        <v>170.09412908300001</v>
      </c>
      <c r="M974" s="37" t="s">
        <v>509</v>
      </c>
      <c r="N974" s="37">
        <v>3336.4019512195118</v>
      </c>
      <c r="O974" s="130">
        <f t="shared" si="84"/>
        <v>567502.3841635047</v>
      </c>
      <c r="P974" s="132">
        <f t="shared" si="85"/>
        <v>519938.96145581233</v>
      </c>
      <c r="Q974" s="262">
        <v>1</v>
      </c>
      <c r="R974" s="92"/>
    </row>
    <row r="975" spans="1:18" x14ac:dyDescent="0.25">
      <c r="A975" s="326">
        <v>40284</v>
      </c>
      <c r="B975" s="326" t="s">
        <v>806</v>
      </c>
      <c r="C975" s="264" t="s">
        <v>712</v>
      </c>
      <c r="D975" s="157" t="s">
        <v>725</v>
      </c>
      <c r="E975" s="44">
        <v>40284</v>
      </c>
      <c r="F975" s="146" t="str">
        <f t="shared" si="87"/>
        <v>2009-10</v>
      </c>
      <c r="G975" s="1"/>
      <c r="H975" s="161"/>
      <c r="I975" s="37"/>
      <c r="J975" s="135">
        <f t="shared" si="86"/>
        <v>0.9161881535038825</v>
      </c>
      <c r="K975" s="112"/>
      <c r="L975" s="37">
        <v>28.449418765000001</v>
      </c>
      <c r="M975" s="37" t="s">
        <v>509</v>
      </c>
      <c r="N975" s="37">
        <v>404.93951219512189</v>
      </c>
      <c r="O975" s="130">
        <f t="shared" ref="O975:O1038" si="88">IF(N975="","-",L975*N975)</f>
        <v>11520.293756933848</v>
      </c>
      <c r="P975" s="132">
        <f t="shared" ref="P975:P1038" si="89">IF(O975="-","-",IF(OR(E975&lt;$E$15,E975&gt;$E$16),0,O975*J975))*Q975</f>
        <v>10554.756664987528</v>
      </c>
      <c r="Q975" s="262">
        <v>1</v>
      </c>
      <c r="R975" s="92"/>
    </row>
    <row r="976" spans="1:18" x14ac:dyDescent="0.25">
      <c r="A976" s="326">
        <v>40284</v>
      </c>
      <c r="B976" s="326" t="s">
        <v>806</v>
      </c>
      <c r="C976" s="264" t="s">
        <v>712</v>
      </c>
      <c r="D976" s="157" t="s">
        <v>725</v>
      </c>
      <c r="E976" s="44">
        <v>40284</v>
      </c>
      <c r="F976" s="146" t="str">
        <f t="shared" si="87"/>
        <v>2009-10</v>
      </c>
      <c r="G976" s="1"/>
      <c r="H976" s="161"/>
      <c r="I976" s="37"/>
      <c r="J976" s="135">
        <f t="shared" si="86"/>
        <v>0.9161881535038825</v>
      </c>
      <c r="K976" s="112"/>
      <c r="L976" s="37">
        <v>51.116784512800002</v>
      </c>
      <c r="M976" s="37" t="s">
        <v>509</v>
      </c>
      <c r="N976" s="37">
        <v>404.93951219512189</v>
      </c>
      <c r="O976" s="130">
        <f t="shared" si="88"/>
        <v>20699.205785596394</v>
      </c>
      <c r="P976" s="132">
        <f t="shared" si="89"/>
        <v>18964.36712770244</v>
      </c>
      <c r="Q976" s="262">
        <v>1</v>
      </c>
      <c r="R976" s="92"/>
    </row>
    <row r="977" spans="1:18" x14ac:dyDescent="0.25">
      <c r="A977" s="326">
        <v>40284</v>
      </c>
      <c r="B977" s="326" t="s">
        <v>806</v>
      </c>
      <c r="C977" s="264" t="s">
        <v>712</v>
      </c>
      <c r="D977" s="157" t="s">
        <v>725</v>
      </c>
      <c r="E977" s="44">
        <v>40284</v>
      </c>
      <c r="F977" s="146" t="str">
        <f t="shared" si="87"/>
        <v>2009-10</v>
      </c>
      <c r="G977" s="1"/>
      <c r="H977" s="161"/>
      <c r="I977" s="37"/>
      <c r="J977" s="135">
        <f t="shared" si="86"/>
        <v>0.9161881535038825</v>
      </c>
      <c r="K977" s="112"/>
      <c r="L977" s="37">
        <v>107.50817132100001</v>
      </c>
      <c r="M977" s="37" t="s">
        <v>509</v>
      </c>
      <c r="N977" s="37">
        <v>404.93951219512189</v>
      </c>
      <c r="O977" s="130">
        <f t="shared" si="88"/>
        <v>43534.306451715333</v>
      </c>
      <c r="P977" s="132">
        <f t="shared" si="89"/>
        <v>39885.61584206923</v>
      </c>
      <c r="Q977" s="262">
        <v>1</v>
      </c>
      <c r="R977" s="92"/>
    </row>
    <row r="978" spans="1:18" x14ac:dyDescent="0.25">
      <c r="A978" s="326">
        <v>40284</v>
      </c>
      <c r="B978" s="326" t="s">
        <v>806</v>
      </c>
      <c r="C978" s="264" t="s">
        <v>712</v>
      </c>
      <c r="D978" s="157" t="s">
        <v>725</v>
      </c>
      <c r="E978" s="44">
        <v>40284</v>
      </c>
      <c r="F978" s="146" t="str">
        <f t="shared" si="87"/>
        <v>2009-10</v>
      </c>
      <c r="G978" s="1"/>
      <c r="H978" s="161"/>
      <c r="I978" s="37"/>
      <c r="J978" s="135">
        <f t="shared" si="86"/>
        <v>0.9161881535038825</v>
      </c>
      <c r="K978" s="112"/>
      <c r="L978" s="37">
        <v>127.55170014300001</v>
      </c>
      <c r="M978" s="37" t="s">
        <v>509</v>
      </c>
      <c r="N978" s="37">
        <v>404.93951219512189</v>
      </c>
      <c r="O978" s="130">
        <f t="shared" si="88"/>
        <v>51650.723235564881</v>
      </c>
      <c r="P978" s="132">
        <f t="shared" si="89"/>
        <v>47321.780748332269</v>
      </c>
      <c r="Q978" s="262">
        <v>1</v>
      </c>
      <c r="R978" s="92"/>
    </row>
    <row r="979" spans="1:18" x14ac:dyDescent="0.25">
      <c r="A979" s="326">
        <v>40284</v>
      </c>
      <c r="B979" s="326" t="s">
        <v>806</v>
      </c>
      <c r="C979" s="264" t="s">
        <v>712</v>
      </c>
      <c r="D979" s="157" t="s">
        <v>725</v>
      </c>
      <c r="E979" s="44">
        <v>40284</v>
      </c>
      <c r="F979" s="146" t="str">
        <f t="shared" si="87"/>
        <v>2009-10</v>
      </c>
      <c r="G979" s="1"/>
      <c r="H979" s="161"/>
      <c r="I979" s="37"/>
      <c r="J979" s="135">
        <f t="shared" si="86"/>
        <v>0.9161881535038825</v>
      </c>
      <c r="K979" s="112"/>
      <c r="L979" s="37">
        <v>102.10725574999999</v>
      </c>
      <c r="M979" s="37" t="s">
        <v>509</v>
      </c>
      <c r="N979" s="37">
        <v>404.93951219512189</v>
      </c>
      <c r="O979" s="130">
        <f t="shared" si="88"/>
        <v>41347.26233498755</v>
      </c>
      <c r="P979" s="132">
        <f t="shared" si="89"/>
        <v>37881.871931132875</v>
      </c>
      <c r="Q979" s="262">
        <v>1</v>
      </c>
      <c r="R979" s="92"/>
    </row>
    <row r="980" spans="1:18" x14ac:dyDescent="0.25">
      <c r="A980" s="326">
        <v>40284</v>
      </c>
      <c r="B980" s="326" t="s">
        <v>806</v>
      </c>
      <c r="C980" s="264" t="s">
        <v>712</v>
      </c>
      <c r="D980" s="157" t="s">
        <v>725</v>
      </c>
      <c r="E980" s="44">
        <v>40284</v>
      </c>
      <c r="F980" s="146" t="str">
        <f t="shared" si="87"/>
        <v>2009-10</v>
      </c>
      <c r="G980" s="1"/>
      <c r="H980" s="161"/>
      <c r="I980" s="37"/>
      <c r="J980" s="135">
        <f t="shared" si="86"/>
        <v>0.9161881535038825</v>
      </c>
      <c r="K980" s="112"/>
      <c r="L980" s="37">
        <v>66.196089147099997</v>
      </c>
      <c r="M980" s="37" t="s">
        <v>509</v>
      </c>
      <c r="N980" s="37">
        <v>404.93951219512189</v>
      </c>
      <c r="O980" s="130">
        <f t="shared" si="88"/>
        <v>26805.412048451475</v>
      </c>
      <c r="P980" s="132">
        <f t="shared" si="89"/>
        <v>24558.800968581483</v>
      </c>
      <c r="Q980" s="262">
        <v>1</v>
      </c>
      <c r="R980" s="92"/>
    </row>
    <row r="981" spans="1:18" x14ac:dyDescent="0.25">
      <c r="A981" s="326">
        <v>40284</v>
      </c>
      <c r="B981" s="326" t="s">
        <v>806</v>
      </c>
      <c r="C981" s="264" t="s">
        <v>712</v>
      </c>
      <c r="D981" s="157" t="s">
        <v>725</v>
      </c>
      <c r="E981" s="44">
        <v>40284</v>
      </c>
      <c r="F981" s="146" t="str">
        <f t="shared" si="87"/>
        <v>2009-10</v>
      </c>
      <c r="G981" s="1"/>
      <c r="H981" s="161"/>
      <c r="I981" s="37"/>
      <c r="J981" s="135">
        <f t="shared" si="86"/>
        <v>0.9161881535038825</v>
      </c>
      <c r="K981" s="112"/>
      <c r="L981" s="37">
        <v>42.3935930353</v>
      </c>
      <c r="M981" s="37" t="s">
        <v>509</v>
      </c>
      <c r="N981" s="37">
        <v>404.93951219512189</v>
      </c>
      <c r="O981" s="130">
        <f t="shared" si="88"/>
        <v>17166.840883912901</v>
      </c>
      <c r="P981" s="132">
        <f t="shared" si="89"/>
        <v>15728.056250927119</v>
      </c>
      <c r="Q981" s="262">
        <v>1</v>
      </c>
      <c r="R981" s="92"/>
    </row>
    <row r="982" spans="1:18" x14ac:dyDescent="0.25">
      <c r="A982" s="326">
        <v>40284</v>
      </c>
      <c r="B982" s="326" t="s">
        <v>806</v>
      </c>
      <c r="C982" s="264" t="s">
        <v>712</v>
      </c>
      <c r="D982" s="157" t="s">
        <v>725</v>
      </c>
      <c r="E982" s="44">
        <v>40284</v>
      </c>
      <c r="F982" s="146" t="str">
        <f t="shared" si="87"/>
        <v>2009-10</v>
      </c>
      <c r="G982" s="1"/>
      <c r="H982" s="161"/>
      <c r="I982" s="37"/>
      <c r="J982" s="135">
        <f t="shared" si="86"/>
        <v>0.9161881535038825</v>
      </c>
      <c r="K982" s="112"/>
      <c r="L982" s="37">
        <v>40.041683659199997</v>
      </c>
      <c r="M982" s="37" t="s">
        <v>509</v>
      </c>
      <c r="N982" s="37">
        <v>404.93951219512189</v>
      </c>
      <c r="O982" s="130">
        <f t="shared" si="88"/>
        <v>16214.45984842783</v>
      </c>
      <c r="P982" s="132">
        <f t="shared" si="89"/>
        <v>14855.496028593936</v>
      </c>
      <c r="Q982" s="262">
        <v>1</v>
      </c>
      <c r="R982" s="92"/>
    </row>
    <row r="983" spans="1:18" x14ac:dyDescent="0.25">
      <c r="A983" s="326">
        <v>40284</v>
      </c>
      <c r="B983" s="326" t="s">
        <v>806</v>
      </c>
      <c r="C983" s="264" t="s">
        <v>712</v>
      </c>
      <c r="D983" s="157" t="s">
        <v>725</v>
      </c>
      <c r="E983" s="44">
        <v>40284</v>
      </c>
      <c r="F983" s="146" t="str">
        <f t="shared" si="87"/>
        <v>2009-10</v>
      </c>
      <c r="G983" s="1"/>
      <c r="H983" s="161"/>
      <c r="I983" s="37"/>
      <c r="J983" s="135">
        <f t="shared" si="86"/>
        <v>0.9161881535038825</v>
      </c>
      <c r="K983" s="112"/>
      <c r="L983" s="37">
        <v>16.597191106899999</v>
      </c>
      <c r="M983" s="37" t="s">
        <v>509</v>
      </c>
      <c r="N983" s="37">
        <v>404.93951219512189</v>
      </c>
      <c r="O983" s="130">
        <f t="shared" si="88"/>
        <v>6720.8584706373003</v>
      </c>
      <c r="P983" s="132">
        <f t="shared" si="89"/>
        <v>6157.5709121741156</v>
      </c>
      <c r="Q983" s="262">
        <v>1</v>
      </c>
      <c r="R983" s="92"/>
    </row>
    <row r="984" spans="1:18" x14ac:dyDescent="0.25">
      <c r="A984" s="326">
        <v>40284</v>
      </c>
      <c r="B984" s="326" t="s">
        <v>806</v>
      </c>
      <c r="C984" s="264" t="s">
        <v>712</v>
      </c>
      <c r="D984" s="157" t="s">
        <v>725</v>
      </c>
      <c r="E984" s="44">
        <v>40284</v>
      </c>
      <c r="F984" s="146" t="str">
        <f t="shared" si="87"/>
        <v>2009-10</v>
      </c>
      <c r="G984" s="1"/>
      <c r="H984" s="161"/>
      <c r="I984" s="37"/>
      <c r="J984" s="135">
        <f t="shared" si="86"/>
        <v>0.9161881535038825</v>
      </c>
      <c r="K984" s="112"/>
      <c r="L984" s="37">
        <v>96.946143612900002</v>
      </c>
      <c r="M984" s="37" t="s">
        <v>509</v>
      </c>
      <c r="N984" s="37">
        <v>404.93951219512189</v>
      </c>
      <c r="O984" s="130">
        <f t="shared" si="88"/>
        <v>39257.324103805957</v>
      </c>
      <c r="P984" s="132">
        <f t="shared" si="89"/>
        <v>35967.095282169437</v>
      </c>
      <c r="Q984" s="262">
        <v>1</v>
      </c>
      <c r="R984" s="92"/>
    </row>
    <row r="985" spans="1:18" x14ac:dyDescent="0.25">
      <c r="A985" s="326">
        <v>40284</v>
      </c>
      <c r="B985" s="326" t="s">
        <v>806</v>
      </c>
      <c r="C985" s="264" t="s">
        <v>712</v>
      </c>
      <c r="D985" s="157" t="s">
        <v>725</v>
      </c>
      <c r="E985" s="44">
        <v>40284</v>
      </c>
      <c r="F985" s="146" t="str">
        <f t="shared" si="87"/>
        <v>2009-10</v>
      </c>
      <c r="G985" s="1"/>
      <c r="H985" s="161"/>
      <c r="I985" s="37"/>
      <c r="J985" s="135">
        <f t="shared" si="86"/>
        <v>0.9161881535038825</v>
      </c>
      <c r="K985" s="112"/>
      <c r="L985" s="37">
        <v>113.125553716</v>
      </c>
      <c r="M985" s="37" t="s">
        <v>509</v>
      </c>
      <c r="N985" s="37">
        <v>404.93951219512189</v>
      </c>
      <c r="O985" s="130">
        <f t="shared" si="88"/>
        <v>45809.006538560097</v>
      </c>
      <c r="P985" s="132">
        <f t="shared" si="89"/>
        <v>41969.669114410659</v>
      </c>
      <c r="Q985" s="262">
        <v>1</v>
      </c>
      <c r="R985" s="92"/>
    </row>
    <row r="986" spans="1:18" x14ac:dyDescent="0.25">
      <c r="A986" s="326">
        <v>40284</v>
      </c>
      <c r="B986" s="326" t="s">
        <v>806</v>
      </c>
      <c r="C986" s="264" t="s">
        <v>712</v>
      </c>
      <c r="D986" s="157" t="s">
        <v>725</v>
      </c>
      <c r="E986" s="44">
        <v>40284</v>
      </c>
      <c r="F986" s="146" t="str">
        <f t="shared" si="87"/>
        <v>2009-10</v>
      </c>
      <c r="G986" s="1"/>
      <c r="H986" s="161"/>
      <c r="I986" s="37"/>
      <c r="J986" s="135">
        <f t="shared" si="86"/>
        <v>0.9161881535038825</v>
      </c>
      <c r="K986" s="112"/>
      <c r="L986" s="37">
        <v>59.164166163700003</v>
      </c>
      <c r="M986" s="37" t="s">
        <v>509</v>
      </c>
      <c r="N986" s="37">
        <v>404.93951219512189</v>
      </c>
      <c r="O986" s="130">
        <f t="shared" si="88"/>
        <v>23957.908585759815</v>
      </c>
      <c r="P986" s="132">
        <f t="shared" si="89"/>
        <v>21949.952029002099</v>
      </c>
      <c r="Q986" s="262">
        <v>1</v>
      </c>
      <c r="R986" s="92"/>
    </row>
    <row r="987" spans="1:18" x14ac:dyDescent="0.25">
      <c r="A987" s="326">
        <v>40284</v>
      </c>
      <c r="B987" s="326" t="s">
        <v>806</v>
      </c>
      <c r="C987" s="264" t="s">
        <v>712</v>
      </c>
      <c r="D987" s="157" t="s">
        <v>725</v>
      </c>
      <c r="E987" s="44">
        <v>40284</v>
      </c>
      <c r="F987" s="146" t="str">
        <f t="shared" si="87"/>
        <v>2009-10</v>
      </c>
      <c r="G987" s="1"/>
      <c r="H987" s="161"/>
      <c r="I987" s="37"/>
      <c r="J987" s="135">
        <f t="shared" si="86"/>
        <v>0.9161881535038825</v>
      </c>
      <c r="K987" s="112"/>
      <c r="L987" s="37">
        <v>1.99802502487</v>
      </c>
      <c r="M987" s="37" t="s">
        <v>509</v>
      </c>
      <c r="N987" s="37">
        <v>404.93951219512189</v>
      </c>
      <c r="O987" s="130">
        <f t="shared" si="88"/>
        <v>809.07927892450414</v>
      </c>
      <c r="P987" s="132">
        <f t="shared" si="89"/>
        <v>741.26885059609413</v>
      </c>
      <c r="Q987" s="262">
        <v>1</v>
      </c>
      <c r="R987" s="92"/>
    </row>
    <row r="988" spans="1:18" x14ac:dyDescent="0.25">
      <c r="A988" s="326">
        <v>40284</v>
      </c>
      <c r="B988" s="326" t="s">
        <v>806</v>
      </c>
      <c r="C988" s="264" t="s">
        <v>712</v>
      </c>
      <c r="D988" s="157" t="s">
        <v>725</v>
      </c>
      <c r="E988" s="44">
        <v>40284</v>
      </c>
      <c r="F988" s="146" t="str">
        <f t="shared" si="87"/>
        <v>2009-10</v>
      </c>
      <c r="G988" s="1"/>
      <c r="H988" s="161"/>
      <c r="I988" s="37"/>
      <c r="J988" s="135">
        <f t="shared" si="86"/>
        <v>0.9161881535038825</v>
      </c>
      <c r="K988" s="112"/>
      <c r="L988" s="37">
        <v>99.691868573299999</v>
      </c>
      <c r="M988" s="37" t="s">
        <v>509</v>
      </c>
      <c r="N988" s="37">
        <v>404.93951219512189</v>
      </c>
      <c r="O988" s="130">
        <f t="shared" si="88"/>
        <v>40369.176629892303</v>
      </c>
      <c r="P988" s="132">
        <f t="shared" si="89"/>
        <v>36985.761395013113</v>
      </c>
      <c r="Q988" s="262">
        <v>1</v>
      </c>
      <c r="R988" s="92"/>
    </row>
    <row r="989" spans="1:18" x14ac:dyDescent="0.25">
      <c r="A989" s="326">
        <v>40284</v>
      </c>
      <c r="B989" s="326" t="s">
        <v>806</v>
      </c>
      <c r="C989" s="264" t="s">
        <v>712</v>
      </c>
      <c r="D989" s="157" t="s">
        <v>725</v>
      </c>
      <c r="E989" s="44">
        <v>40284</v>
      </c>
      <c r="F989" s="146" t="str">
        <f t="shared" si="87"/>
        <v>2009-10</v>
      </c>
      <c r="G989" s="1"/>
      <c r="H989" s="161"/>
      <c r="I989" s="37"/>
      <c r="J989" s="135">
        <f t="shared" ref="J989:J1052" si="90">J988</f>
        <v>0.9161881535038825</v>
      </c>
      <c r="K989" s="112"/>
      <c r="L989" s="37">
        <v>40.401999075100001</v>
      </c>
      <c r="M989" s="37" t="s">
        <v>509</v>
      </c>
      <c r="N989" s="37">
        <v>404.93951219512189</v>
      </c>
      <c r="O989" s="130">
        <f t="shared" si="88"/>
        <v>16360.36579717876</v>
      </c>
      <c r="P989" s="132">
        <f t="shared" si="89"/>
        <v>14989.173330365282</v>
      </c>
      <c r="Q989" s="262">
        <v>1</v>
      </c>
      <c r="R989" s="92"/>
    </row>
    <row r="990" spans="1:18" x14ac:dyDescent="0.25">
      <c r="A990" s="326">
        <v>40284</v>
      </c>
      <c r="B990" s="326" t="s">
        <v>806</v>
      </c>
      <c r="C990" s="264" t="s">
        <v>712</v>
      </c>
      <c r="D990" s="157" t="s">
        <v>725</v>
      </c>
      <c r="E990" s="44">
        <v>40284</v>
      </c>
      <c r="F990" s="146" t="str">
        <f t="shared" si="87"/>
        <v>2009-10</v>
      </c>
      <c r="G990" s="1"/>
      <c r="H990" s="161"/>
      <c r="I990" s="37"/>
      <c r="J990" s="135">
        <f t="shared" si="90"/>
        <v>0.9161881535038825</v>
      </c>
      <c r="K990" s="112"/>
      <c r="L990" s="37">
        <v>24.284597622100002</v>
      </c>
      <c r="M990" s="37" t="s">
        <v>509</v>
      </c>
      <c r="N990" s="37">
        <v>404.93951219512189</v>
      </c>
      <c r="O990" s="130">
        <f t="shared" si="88"/>
        <v>9833.7931149479919</v>
      </c>
      <c r="P990" s="132">
        <f t="shared" si="89"/>
        <v>9009.6047559233939</v>
      </c>
      <c r="Q990" s="262">
        <v>1</v>
      </c>
      <c r="R990" s="92"/>
    </row>
    <row r="991" spans="1:18" x14ac:dyDescent="0.25">
      <c r="A991" s="326">
        <v>40284</v>
      </c>
      <c r="B991" s="326" t="s">
        <v>806</v>
      </c>
      <c r="C991" s="264" t="s">
        <v>712</v>
      </c>
      <c r="D991" s="157" t="s">
        <v>725</v>
      </c>
      <c r="E991" s="44">
        <v>40284</v>
      </c>
      <c r="F991" s="146" t="str">
        <f t="shared" si="87"/>
        <v>2009-10</v>
      </c>
      <c r="G991" s="1"/>
      <c r="H991" s="161"/>
      <c r="I991" s="37"/>
      <c r="J991" s="135">
        <f t="shared" si="90"/>
        <v>0.9161881535038825</v>
      </c>
      <c r="K991" s="112"/>
      <c r="L991" s="37">
        <v>44.980379264699998</v>
      </c>
      <c r="M991" s="37" t="s">
        <v>509</v>
      </c>
      <c r="N991" s="37">
        <v>404.93951219512189</v>
      </c>
      <c r="O991" s="130">
        <f t="shared" si="88"/>
        <v>18214.332837799193</v>
      </c>
      <c r="P991" s="132">
        <f t="shared" si="89"/>
        <v>16687.755969968373</v>
      </c>
      <c r="Q991" s="262">
        <v>1</v>
      </c>
      <c r="R991" s="92"/>
    </row>
    <row r="992" spans="1:18" x14ac:dyDescent="0.25">
      <c r="A992" s="326">
        <v>40284</v>
      </c>
      <c r="B992" s="326" t="s">
        <v>806</v>
      </c>
      <c r="C992" s="264" t="s">
        <v>712</v>
      </c>
      <c r="D992" s="157" t="s">
        <v>725</v>
      </c>
      <c r="E992" s="44">
        <v>40284</v>
      </c>
      <c r="F992" s="146" t="str">
        <f t="shared" si="87"/>
        <v>2009-10</v>
      </c>
      <c r="G992" s="1"/>
      <c r="H992" s="161"/>
      <c r="I992" s="37"/>
      <c r="J992" s="135">
        <f t="shared" si="90"/>
        <v>0.9161881535038825</v>
      </c>
      <c r="K992" s="112"/>
      <c r="L992" s="37">
        <v>27.6404535687</v>
      </c>
      <c r="M992" s="37" t="s">
        <v>509</v>
      </c>
      <c r="N992" s="37">
        <v>404.93951219512189</v>
      </c>
      <c r="O992" s="130">
        <f t="shared" si="88"/>
        <v>11192.711784961293</v>
      </c>
      <c r="P992" s="132">
        <f t="shared" si="89"/>
        <v>10254.629942964832</v>
      </c>
      <c r="Q992" s="262">
        <v>1</v>
      </c>
      <c r="R992" s="92"/>
    </row>
    <row r="993" spans="1:18" x14ac:dyDescent="0.25">
      <c r="A993" s="326">
        <v>40284</v>
      </c>
      <c r="B993" s="326" t="s">
        <v>806</v>
      </c>
      <c r="C993" s="264" t="s">
        <v>712</v>
      </c>
      <c r="D993" s="157" t="s">
        <v>725</v>
      </c>
      <c r="E993" s="44">
        <v>40284</v>
      </c>
      <c r="F993" s="146" t="str">
        <f t="shared" si="87"/>
        <v>2009-10</v>
      </c>
      <c r="G993" s="1"/>
      <c r="H993" s="161"/>
      <c r="I993" s="37"/>
      <c r="J993" s="135">
        <f t="shared" si="90"/>
        <v>0.9161881535038825</v>
      </c>
      <c r="K993" s="112"/>
      <c r="L993" s="37">
        <v>16.921873841099998</v>
      </c>
      <c r="M993" s="37" t="s">
        <v>509</v>
      </c>
      <c r="N993" s="37">
        <v>404.93951219512189</v>
      </c>
      <c r="O993" s="130">
        <f t="shared" si="88"/>
        <v>6852.3353386424269</v>
      </c>
      <c r="P993" s="132">
        <f t="shared" si="89"/>
        <v>6278.0284611002062</v>
      </c>
      <c r="Q993" s="262">
        <v>1</v>
      </c>
      <c r="R993" s="92"/>
    </row>
    <row r="994" spans="1:18" x14ac:dyDescent="0.25">
      <c r="A994" s="326">
        <v>40284</v>
      </c>
      <c r="B994" s="326" t="s">
        <v>806</v>
      </c>
      <c r="C994" s="264" t="s">
        <v>712</v>
      </c>
      <c r="D994" s="157" t="s">
        <v>725</v>
      </c>
      <c r="E994" s="44">
        <v>40284</v>
      </c>
      <c r="F994" s="146" t="str">
        <f t="shared" si="87"/>
        <v>2009-10</v>
      </c>
      <c r="G994" s="1"/>
      <c r="H994" s="161"/>
      <c r="I994" s="37"/>
      <c r="J994" s="135">
        <f t="shared" si="90"/>
        <v>0.9161881535038825</v>
      </c>
      <c r="K994" s="112"/>
      <c r="L994" s="37">
        <v>28.1170748493</v>
      </c>
      <c r="M994" s="37" t="s">
        <v>509</v>
      </c>
      <c r="N994" s="37">
        <v>404.93951219512189</v>
      </c>
      <c r="O994" s="130">
        <f t="shared" si="88"/>
        <v>11385.714573829273</v>
      </c>
      <c r="P994" s="132">
        <f t="shared" si="89"/>
        <v>10431.456811718886</v>
      </c>
      <c r="Q994" s="262">
        <v>1</v>
      </c>
      <c r="R994" s="92"/>
    </row>
    <row r="995" spans="1:18" x14ac:dyDescent="0.25">
      <c r="A995" s="326">
        <v>40284</v>
      </c>
      <c r="B995" s="326" t="s">
        <v>806</v>
      </c>
      <c r="C995" s="264" t="s">
        <v>712</v>
      </c>
      <c r="D995" s="157" t="s">
        <v>725</v>
      </c>
      <c r="E995" s="44">
        <v>40284</v>
      </c>
      <c r="F995" s="146" t="str">
        <f t="shared" si="87"/>
        <v>2009-10</v>
      </c>
      <c r="G995" s="1"/>
      <c r="H995" s="161"/>
      <c r="I995" s="37"/>
      <c r="J995" s="135">
        <f t="shared" si="90"/>
        <v>0.9161881535038825</v>
      </c>
      <c r="K995" s="112"/>
      <c r="L995" s="37">
        <v>8.8148252960600004</v>
      </c>
      <c r="M995" s="37" t="s">
        <v>509</v>
      </c>
      <c r="N995" s="37">
        <v>404.93951219512189</v>
      </c>
      <c r="O995" s="130">
        <f t="shared" si="88"/>
        <v>3569.4710554717576</v>
      </c>
      <c r="P995" s="132">
        <f t="shared" si="89"/>
        <v>3270.3070952982243</v>
      </c>
      <c r="Q995" s="262">
        <v>1</v>
      </c>
      <c r="R995" s="92"/>
    </row>
    <row r="996" spans="1:18" x14ac:dyDescent="0.25">
      <c r="A996" s="326">
        <v>40284</v>
      </c>
      <c r="B996" s="326" t="s">
        <v>806</v>
      </c>
      <c r="C996" s="264" t="s">
        <v>712</v>
      </c>
      <c r="D996" s="157" t="s">
        <v>725</v>
      </c>
      <c r="E996" s="44">
        <v>40284</v>
      </c>
      <c r="F996" s="146" t="str">
        <f t="shared" si="87"/>
        <v>2009-10</v>
      </c>
      <c r="G996" s="1"/>
      <c r="H996" s="161"/>
      <c r="I996" s="37"/>
      <c r="J996" s="135">
        <f t="shared" si="90"/>
        <v>0.9161881535038825</v>
      </c>
      <c r="K996" s="112"/>
      <c r="L996" s="37">
        <v>25.297409857400002</v>
      </c>
      <c r="M996" s="37" t="s">
        <v>509</v>
      </c>
      <c r="N996" s="37">
        <v>404.93951219512189</v>
      </c>
      <c r="O996" s="130">
        <f t="shared" si="88"/>
        <v>10243.920807455625</v>
      </c>
      <c r="P996" s="132">
        <f t="shared" si="89"/>
        <v>9385.358889222769</v>
      </c>
      <c r="Q996" s="262">
        <v>1</v>
      </c>
      <c r="R996" s="92"/>
    </row>
    <row r="997" spans="1:18" x14ac:dyDescent="0.25">
      <c r="A997" s="326">
        <v>40284</v>
      </c>
      <c r="B997" s="326" t="s">
        <v>806</v>
      </c>
      <c r="C997" s="264" t="s">
        <v>712</v>
      </c>
      <c r="D997" s="157" t="s">
        <v>725</v>
      </c>
      <c r="E997" s="44">
        <v>40284</v>
      </c>
      <c r="F997" s="146" t="str">
        <f t="shared" si="87"/>
        <v>2009-10</v>
      </c>
      <c r="G997" s="1"/>
      <c r="H997" s="161"/>
      <c r="I997" s="37"/>
      <c r="J997" s="135">
        <f t="shared" si="90"/>
        <v>0.9161881535038825</v>
      </c>
      <c r="K997" s="112"/>
      <c r="L997" s="37">
        <v>27.1105161917</v>
      </c>
      <c r="M997" s="37" t="s">
        <v>509</v>
      </c>
      <c r="N997" s="37">
        <v>404.93951219512189</v>
      </c>
      <c r="O997" s="130">
        <f t="shared" si="88"/>
        <v>10978.119202024951</v>
      </c>
      <c r="P997" s="132">
        <f t="shared" si="89"/>
        <v>10058.022760648755</v>
      </c>
      <c r="Q997" s="262">
        <v>1</v>
      </c>
      <c r="R997" s="92"/>
    </row>
    <row r="998" spans="1:18" x14ac:dyDescent="0.25">
      <c r="A998" s="326">
        <v>40284</v>
      </c>
      <c r="B998" s="326" t="s">
        <v>806</v>
      </c>
      <c r="C998" s="264" t="s">
        <v>712</v>
      </c>
      <c r="D998" s="157" t="s">
        <v>725</v>
      </c>
      <c r="E998" s="44">
        <v>40284</v>
      </c>
      <c r="F998" s="146" t="str">
        <f t="shared" si="87"/>
        <v>2009-10</v>
      </c>
      <c r="G998" s="1"/>
      <c r="H998" s="161"/>
      <c r="I998" s="37"/>
      <c r="J998" s="135">
        <f t="shared" si="90"/>
        <v>0.9161881535038825</v>
      </c>
      <c r="K998" s="112"/>
      <c r="L998" s="37">
        <v>25.7164387975</v>
      </c>
      <c r="M998" s="37" t="s">
        <v>509</v>
      </c>
      <c r="N998" s="37">
        <v>404.93951219512189</v>
      </c>
      <c r="O998" s="130">
        <f t="shared" si="88"/>
        <v>10413.602182055358</v>
      </c>
      <c r="P998" s="132">
        <f t="shared" si="89"/>
        <v>9540.8189545012992</v>
      </c>
      <c r="Q998" s="262">
        <v>1</v>
      </c>
      <c r="R998" s="92"/>
    </row>
    <row r="999" spans="1:18" x14ac:dyDescent="0.25">
      <c r="A999" s="326">
        <v>39416</v>
      </c>
      <c r="B999" s="326" t="s">
        <v>806</v>
      </c>
      <c r="C999" s="264" t="s">
        <v>726</v>
      </c>
      <c r="D999" s="157" t="s">
        <v>727</v>
      </c>
      <c r="E999" s="44">
        <v>39416</v>
      </c>
      <c r="F999" s="146" t="str">
        <f t="shared" si="87"/>
        <v>2007-08</v>
      </c>
      <c r="G999" s="1"/>
      <c r="H999" s="161"/>
      <c r="I999" s="37"/>
      <c r="J999" s="135">
        <f t="shared" si="90"/>
        <v>0.9161881535038825</v>
      </c>
      <c r="K999" s="112"/>
      <c r="L999" s="37">
        <v>2.9973531618</v>
      </c>
      <c r="M999" s="37" t="s">
        <v>509</v>
      </c>
      <c r="N999" s="37">
        <v>404.93951219512189</v>
      </c>
      <c r="O999" s="130">
        <f t="shared" si="88"/>
        <v>1213.7467272157983</v>
      </c>
      <c r="P999" s="132">
        <f t="shared" si="89"/>
        <v>1112.0203728292229</v>
      </c>
      <c r="Q999" s="262">
        <v>1</v>
      </c>
      <c r="R999" s="92"/>
    </row>
    <row r="1000" spans="1:18" x14ac:dyDescent="0.25">
      <c r="A1000" s="326">
        <v>40284</v>
      </c>
      <c r="B1000" s="326" t="s">
        <v>806</v>
      </c>
      <c r="C1000" s="264" t="s">
        <v>712</v>
      </c>
      <c r="D1000" s="157" t="s">
        <v>724</v>
      </c>
      <c r="E1000" s="44">
        <v>40284</v>
      </c>
      <c r="F1000" s="146" t="str">
        <f t="shared" si="87"/>
        <v>2009-10</v>
      </c>
      <c r="G1000" s="1"/>
      <c r="H1000" s="161"/>
      <c r="I1000" s="37"/>
      <c r="J1000" s="135">
        <f t="shared" si="90"/>
        <v>0.9161881535038825</v>
      </c>
      <c r="K1000" s="112"/>
      <c r="L1000" s="37">
        <v>30.215317566700001</v>
      </c>
      <c r="M1000" s="37" t="s">
        <v>509</v>
      </c>
      <c r="N1000" s="37">
        <v>404.93951219512189</v>
      </c>
      <c r="O1000" s="130">
        <f t="shared" si="88"/>
        <v>12235.375956280195</v>
      </c>
      <c r="P1000" s="132">
        <f t="shared" si="89"/>
        <v>11209.906504810153</v>
      </c>
      <c r="Q1000" s="262">
        <v>1</v>
      </c>
      <c r="R1000" s="92"/>
    </row>
    <row r="1001" spans="1:18" x14ac:dyDescent="0.25">
      <c r="A1001" s="326">
        <v>40284</v>
      </c>
      <c r="B1001" s="326" t="s">
        <v>806</v>
      </c>
      <c r="C1001" s="264" t="s">
        <v>712</v>
      </c>
      <c r="D1001" s="157" t="s">
        <v>724</v>
      </c>
      <c r="E1001" s="44">
        <v>40284</v>
      </c>
      <c r="F1001" s="146" t="str">
        <f t="shared" si="87"/>
        <v>2009-10</v>
      </c>
      <c r="G1001" s="1"/>
      <c r="H1001" s="161"/>
      <c r="I1001" s="37"/>
      <c r="J1001" s="135">
        <f t="shared" si="90"/>
        <v>0.9161881535038825</v>
      </c>
      <c r="K1001" s="112"/>
      <c r="L1001" s="37">
        <v>38.195021912199998</v>
      </c>
      <c r="M1001" s="37" t="s">
        <v>509</v>
      </c>
      <c r="N1001" s="37">
        <v>404.93951219512189</v>
      </c>
      <c r="O1001" s="130">
        <f t="shared" si="88"/>
        <v>15466.67354140826</v>
      </c>
      <c r="P1001" s="132">
        <f t="shared" si="89"/>
        <v>14170.383072750188</v>
      </c>
      <c r="Q1001" s="262">
        <v>1</v>
      </c>
      <c r="R1001" s="92"/>
    </row>
    <row r="1002" spans="1:18" x14ac:dyDescent="0.25">
      <c r="A1002" s="326">
        <v>40284</v>
      </c>
      <c r="B1002" s="326" t="s">
        <v>806</v>
      </c>
      <c r="C1002" s="264" t="s">
        <v>712</v>
      </c>
      <c r="D1002" s="157" t="s">
        <v>725</v>
      </c>
      <c r="E1002" s="44">
        <v>40284</v>
      </c>
      <c r="F1002" s="146" t="str">
        <f t="shared" si="87"/>
        <v>2009-10</v>
      </c>
      <c r="G1002" s="1"/>
      <c r="H1002" s="161"/>
      <c r="I1002" s="37"/>
      <c r="J1002" s="135">
        <f t="shared" si="90"/>
        <v>0.9161881535038825</v>
      </c>
      <c r="K1002" s="112"/>
      <c r="L1002" s="37">
        <v>30.585972976400001</v>
      </c>
      <c r="M1002" s="37" t="s">
        <v>509</v>
      </c>
      <c r="N1002" s="37">
        <v>404.93951219512189</v>
      </c>
      <c r="O1002" s="130">
        <f t="shared" si="88"/>
        <v>12385.468977076596</v>
      </c>
      <c r="P1002" s="132">
        <f t="shared" si="89"/>
        <v>11347.419952387427</v>
      </c>
      <c r="Q1002" s="262">
        <v>1</v>
      </c>
      <c r="R1002" s="92"/>
    </row>
    <row r="1003" spans="1:18" x14ac:dyDescent="0.25">
      <c r="A1003" s="326">
        <v>40284</v>
      </c>
      <c r="B1003" s="326" t="s">
        <v>806</v>
      </c>
      <c r="C1003" s="264" t="s">
        <v>712</v>
      </c>
      <c r="D1003" s="157" t="s">
        <v>724</v>
      </c>
      <c r="E1003" s="44">
        <v>40284</v>
      </c>
      <c r="F1003" s="146" t="str">
        <f t="shared" si="87"/>
        <v>2009-10</v>
      </c>
      <c r="G1003" s="1"/>
      <c r="H1003" s="161"/>
      <c r="I1003" s="37"/>
      <c r="J1003" s="135">
        <f t="shared" si="90"/>
        <v>0.9161881535038825</v>
      </c>
      <c r="K1003" s="112"/>
      <c r="L1003" s="37">
        <v>13.453834880800001</v>
      </c>
      <c r="M1003" s="37" t="s">
        <v>509</v>
      </c>
      <c r="N1003" s="37">
        <v>404.93951219512189</v>
      </c>
      <c r="O1003" s="130">
        <f t="shared" si="88"/>
        <v>5447.989333784868</v>
      </c>
      <c r="P1003" s="132">
        <f t="shared" si="89"/>
        <v>4991.3832880292048</v>
      </c>
      <c r="Q1003" s="262">
        <v>1</v>
      </c>
      <c r="R1003" s="92"/>
    </row>
    <row r="1004" spans="1:18" x14ac:dyDescent="0.25">
      <c r="A1004" s="326">
        <v>40284</v>
      </c>
      <c r="B1004" s="326" t="s">
        <v>806</v>
      </c>
      <c r="C1004" s="264" t="s">
        <v>712</v>
      </c>
      <c r="D1004" s="157" t="s">
        <v>724</v>
      </c>
      <c r="E1004" s="44">
        <v>40284</v>
      </c>
      <c r="F1004" s="146" t="str">
        <f t="shared" si="87"/>
        <v>2009-10</v>
      </c>
      <c r="G1004" s="1"/>
      <c r="H1004" s="161"/>
      <c r="I1004" s="37"/>
      <c r="J1004" s="135">
        <f t="shared" si="90"/>
        <v>0.9161881535038825</v>
      </c>
      <c r="K1004" s="112"/>
      <c r="L1004" s="37">
        <v>49.370306791399997</v>
      </c>
      <c r="M1004" s="37" t="s">
        <v>509</v>
      </c>
      <c r="N1004" s="37">
        <v>404.93951219512189</v>
      </c>
      <c r="O1004" s="130">
        <f t="shared" si="88"/>
        <v>19991.987949033028</v>
      </c>
      <c r="P1004" s="132">
        <f t="shared" si="89"/>
        <v>18316.422523896439</v>
      </c>
      <c r="Q1004" s="262">
        <v>1</v>
      </c>
      <c r="R1004" s="92"/>
    </row>
    <row r="1005" spans="1:18" x14ac:dyDescent="0.25">
      <c r="A1005" s="326">
        <v>40284</v>
      </c>
      <c r="B1005" s="326" t="s">
        <v>806</v>
      </c>
      <c r="C1005" s="264" t="s">
        <v>712</v>
      </c>
      <c r="D1005" s="157" t="s">
        <v>724</v>
      </c>
      <c r="E1005" s="44">
        <v>40284</v>
      </c>
      <c r="F1005" s="146" t="str">
        <f t="shared" si="87"/>
        <v>2009-10</v>
      </c>
      <c r="G1005" s="1"/>
      <c r="H1005" s="161"/>
      <c r="I1005" s="37"/>
      <c r="J1005" s="135">
        <f t="shared" si="90"/>
        <v>0.9161881535038825</v>
      </c>
      <c r="K1005" s="112"/>
      <c r="L1005" s="37">
        <v>40.315287333800001</v>
      </c>
      <c r="M1005" s="37" t="s">
        <v>509</v>
      </c>
      <c r="N1005" s="37">
        <v>404.93951219512189</v>
      </c>
      <c r="O1005" s="130">
        <f t="shared" si="88"/>
        <v>16325.252786955149</v>
      </c>
      <c r="P1005" s="132">
        <f t="shared" si="89"/>
        <v>14957.003206364549</v>
      </c>
      <c r="Q1005" s="262">
        <v>1</v>
      </c>
      <c r="R1005" s="92"/>
    </row>
    <row r="1006" spans="1:18" x14ac:dyDescent="0.25">
      <c r="A1006" s="326">
        <v>40284</v>
      </c>
      <c r="B1006" s="326" t="s">
        <v>806</v>
      </c>
      <c r="C1006" s="264" t="s">
        <v>712</v>
      </c>
      <c r="D1006" s="157" t="s">
        <v>724</v>
      </c>
      <c r="E1006" s="44">
        <v>40284</v>
      </c>
      <c r="F1006" s="146" t="str">
        <f t="shared" si="87"/>
        <v>2009-10</v>
      </c>
      <c r="G1006" s="1"/>
      <c r="H1006" s="161"/>
      <c r="I1006" s="37"/>
      <c r="J1006" s="135">
        <f t="shared" si="90"/>
        <v>0.9161881535038825</v>
      </c>
      <c r="K1006" s="112"/>
      <c r="L1006" s="37">
        <v>2.9973276430800002</v>
      </c>
      <c r="M1006" s="37" t="s">
        <v>509</v>
      </c>
      <c r="N1006" s="37">
        <v>404.93951219512189</v>
      </c>
      <c r="O1006" s="130">
        <f t="shared" si="88"/>
        <v>1213.7363936777697</v>
      </c>
      <c r="P1006" s="132">
        <f t="shared" si="89"/>
        <v>1112.0109053640972</v>
      </c>
      <c r="Q1006" s="262">
        <v>1</v>
      </c>
      <c r="R1006" s="92"/>
    </row>
    <row r="1007" spans="1:18" x14ac:dyDescent="0.25">
      <c r="A1007" s="326">
        <v>40284</v>
      </c>
      <c r="B1007" s="326" t="s">
        <v>806</v>
      </c>
      <c r="C1007" s="264" t="s">
        <v>712</v>
      </c>
      <c r="D1007" s="157" t="s">
        <v>724</v>
      </c>
      <c r="E1007" s="44">
        <v>40284</v>
      </c>
      <c r="F1007" s="146" t="str">
        <f t="shared" si="87"/>
        <v>2009-10</v>
      </c>
      <c r="G1007" s="1"/>
      <c r="H1007" s="161"/>
      <c r="I1007" s="37"/>
      <c r="J1007" s="135">
        <f t="shared" si="90"/>
        <v>0.9161881535038825</v>
      </c>
      <c r="K1007" s="112"/>
      <c r="L1007" s="37">
        <v>54.674178106200003</v>
      </c>
      <c r="M1007" s="37" t="s">
        <v>509</v>
      </c>
      <c r="N1007" s="37">
        <v>404.93951219512189</v>
      </c>
      <c r="O1007" s="130">
        <f t="shared" si="88"/>
        <v>22139.735011993842</v>
      </c>
      <c r="P1007" s="132">
        <f t="shared" si="89"/>
        <v>20284.162939703896</v>
      </c>
      <c r="Q1007" s="262">
        <v>1</v>
      </c>
      <c r="R1007" s="92"/>
    </row>
    <row r="1008" spans="1:18" x14ac:dyDescent="0.25">
      <c r="A1008" s="326">
        <v>40284</v>
      </c>
      <c r="B1008" s="326" t="s">
        <v>806</v>
      </c>
      <c r="C1008" s="264" t="s">
        <v>712</v>
      </c>
      <c r="D1008" s="157" t="s">
        <v>724</v>
      </c>
      <c r="E1008" s="44">
        <v>40284</v>
      </c>
      <c r="F1008" s="146" t="str">
        <f t="shared" si="87"/>
        <v>2009-10</v>
      </c>
      <c r="G1008" s="1"/>
      <c r="H1008" s="161"/>
      <c r="I1008" s="37"/>
      <c r="J1008" s="135">
        <f t="shared" si="90"/>
        <v>0.9161881535038825</v>
      </c>
      <c r="K1008" s="112"/>
      <c r="L1008" s="37">
        <v>28.1521273251</v>
      </c>
      <c r="M1008" s="37" t="s">
        <v>509</v>
      </c>
      <c r="N1008" s="37">
        <v>404.93951219512189</v>
      </c>
      <c r="O1008" s="130">
        <f t="shared" si="88"/>
        <v>11399.908706280956</v>
      </c>
      <c r="P1008" s="132">
        <f t="shared" si="89"/>
        <v>10444.461307720383</v>
      </c>
      <c r="Q1008" s="262">
        <v>1</v>
      </c>
      <c r="R1008" s="92"/>
    </row>
    <row r="1009" spans="1:18" x14ac:dyDescent="0.25">
      <c r="A1009" s="326">
        <v>40284</v>
      </c>
      <c r="B1009" s="326" t="s">
        <v>806</v>
      </c>
      <c r="C1009" s="264" t="s">
        <v>712</v>
      </c>
      <c r="D1009" s="157" t="s">
        <v>724</v>
      </c>
      <c r="E1009" s="44">
        <v>40284</v>
      </c>
      <c r="F1009" s="146" t="str">
        <f t="shared" si="87"/>
        <v>2009-10</v>
      </c>
      <c r="G1009" s="1"/>
      <c r="H1009" s="161"/>
      <c r="I1009" s="37"/>
      <c r="J1009" s="135">
        <f t="shared" si="90"/>
        <v>0.9161881535038825</v>
      </c>
      <c r="K1009" s="112"/>
      <c r="L1009" s="37">
        <v>17.869997791900001</v>
      </c>
      <c r="M1009" s="37" t="s">
        <v>509</v>
      </c>
      <c r="N1009" s="37">
        <v>565.21756097560967</v>
      </c>
      <c r="O1009" s="130">
        <f t="shared" si="88"/>
        <v>10100.436566577249</v>
      </c>
      <c r="P1009" s="132">
        <f t="shared" si="89"/>
        <v>9253.9003275155046</v>
      </c>
      <c r="Q1009" s="262">
        <v>1</v>
      </c>
      <c r="R1009" s="92"/>
    </row>
    <row r="1010" spans="1:18" x14ac:dyDescent="0.25">
      <c r="A1010" s="326">
        <v>40284</v>
      </c>
      <c r="B1010" s="326" t="s">
        <v>806</v>
      </c>
      <c r="C1010" s="264" t="s">
        <v>712</v>
      </c>
      <c r="D1010" s="157" t="s">
        <v>724</v>
      </c>
      <c r="E1010" s="44">
        <v>40284</v>
      </c>
      <c r="F1010" s="146" t="str">
        <f t="shared" si="87"/>
        <v>2009-10</v>
      </c>
      <c r="G1010" s="1"/>
      <c r="H1010" s="161"/>
      <c r="I1010" s="37"/>
      <c r="J1010" s="135">
        <f t="shared" si="90"/>
        <v>0.9161881535038825</v>
      </c>
      <c r="K1010" s="112"/>
      <c r="L1010" s="37">
        <v>14.1465431746</v>
      </c>
      <c r="M1010" s="37" t="s">
        <v>509</v>
      </c>
      <c r="N1010" s="37">
        <v>565.21756097560967</v>
      </c>
      <c r="O1010" s="130">
        <f t="shared" si="88"/>
        <v>7995.8746293835702</v>
      </c>
      <c r="P1010" s="132">
        <f t="shared" si="89"/>
        <v>7325.7256123434736</v>
      </c>
      <c r="Q1010" s="262">
        <v>1</v>
      </c>
      <c r="R1010" s="92"/>
    </row>
    <row r="1011" spans="1:18" x14ac:dyDescent="0.25">
      <c r="A1011" s="326">
        <v>40284</v>
      </c>
      <c r="B1011" s="326" t="s">
        <v>806</v>
      </c>
      <c r="C1011" s="264" t="s">
        <v>712</v>
      </c>
      <c r="D1011" s="157" t="s">
        <v>724</v>
      </c>
      <c r="E1011" s="44">
        <v>40284</v>
      </c>
      <c r="F1011" s="146" t="str">
        <f t="shared" si="87"/>
        <v>2009-10</v>
      </c>
      <c r="G1011" s="1"/>
      <c r="H1011" s="161"/>
      <c r="I1011" s="37"/>
      <c r="J1011" s="135">
        <f t="shared" si="90"/>
        <v>0.9161881535038825</v>
      </c>
      <c r="K1011" s="112"/>
      <c r="L1011" s="37">
        <v>4.12705342829</v>
      </c>
      <c r="M1011" s="37" t="s">
        <v>509</v>
      </c>
      <c r="N1011" s="37">
        <v>565.21756097560967</v>
      </c>
      <c r="O1011" s="130">
        <f t="shared" si="88"/>
        <v>2332.6830727541019</v>
      </c>
      <c r="P1011" s="132">
        <f t="shared" si="89"/>
        <v>2137.1765971363434</v>
      </c>
      <c r="Q1011" s="262">
        <v>1</v>
      </c>
      <c r="R1011" s="92"/>
    </row>
    <row r="1012" spans="1:18" x14ac:dyDescent="0.25">
      <c r="A1012" s="326">
        <v>40284</v>
      </c>
      <c r="B1012" s="326" t="s">
        <v>806</v>
      </c>
      <c r="C1012" s="264" t="s">
        <v>712</v>
      </c>
      <c r="D1012" s="157" t="s">
        <v>724</v>
      </c>
      <c r="E1012" s="44">
        <v>40284</v>
      </c>
      <c r="F1012" s="146" t="str">
        <f t="shared" si="87"/>
        <v>2009-10</v>
      </c>
      <c r="G1012" s="1"/>
      <c r="H1012" s="161"/>
      <c r="I1012" s="37"/>
      <c r="J1012" s="135">
        <f t="shared" si="90"/>
        <v>0.9161881535038825</v>
      </c>
      <c r="K1012" s="112"/>
      <c r="L1012" s="37">
        <v>1.4482199418599999</v>
      </c>
      <c r="M1012" s="37" t="s">
        <v>509</v>
      </c>
      <c r="N1012" s="37">
        <v>565.21756097560967</v>
      </c>
      <c r="O1012" s="130">
        <f t="shared" si="88"/>
        <v>818.55934329434842</v>
      </c>
      <c r="P1012" s="132">
        <f t="shared" si="89"/>
        <v>749.9543732661997</v>
      </c>
      <c r="Q1012" s="262">
        <v>1</v>
      </c>
      <c r="R1012" s="92"/>
    </row>
    <row r="1013" spans="1:18" x14ac:dyDescent="0.25">
      <c r="A1013" s="326">
        <v>40284</v>
      </c>
      <c r="B1013" s="326" t="s">
        <v>806</v>
      </c>
      <c r="C1013" s="264" t="s">
        <v>712</v>
      </c>
      <c r="D1013" s="157" t="s">
        <v>724</v>
      </c>
      <c r="E1013" s="44">
        <v>40284</v>
      </c>
      <c r="F1013" s="146" t="str">
        <f t="shared" si="87"/>
        <v>2009-10</v>
      </c>
      <c r="G1013" s="1"/>
      <c r="H1013" s="161"/>
      <c r="I1013" s="37"/>
      <c r="J1013" s="135">
        <f t="shared" si="90"/>
        <v>0.9161881535038825</v>
      </c>
      <c r="K1013" s="112"/>
      <c r="L1013" s="37">
        <v>22.137449529600001</v>
      </c>
      <c r="M1013" s="37" t="s">
        <v>509</v>
      </c>
      <c r="N1013" s="37">
        <v>565.21756097560967</v>
      </c>
      <c r="O1013" s="130">
        <f t="shared" si="88"/>
        <v>12512.475229341171</v>
      </c>
      <c r="P1013" s="132">
        <f t="shared" si="89"/>
        <v>11463.781576133157</v>
      </c>
      <c r="Q1013" s="262">
        <v>1</v>
      </c>
      <c r="R1013" s="92"/>
    </row>
    <row r="1014" spans="1:18" x14ac:dyDescent="0.25">
      <c r="A1014" s="326">
        <v>40284</v>
      </c>
      <c r="B1014" s="326" t="s">
        <v>806</v>
      </c>
      <c r="C1014" s="264" t="s">
        <v>712</v>
      </c>
      <c r="D1014" s="157" t="s">
        <v>724</v>
      </c>
      <c r="E1014" s="44">
        <v>40284</v>
      </c>
      <c r="F1014" s="146" t="str">
        <f t="shared" si="87"/>
        <v>2009-10</v>
      </c>
      <c r="G1014" s="1"/>
      <c r="H1014" s="161"/>
      <c r="I1014" s="37"/>
      <c r="J1014" s="135">
        <f t="shared" si="90"/>
        <v>0.9161881535038825</v>
      </c>
      <c r="K1014" s="112"/>
      <c r="L1014" s="37">
        <v>13.0852779234</v>
      </c>
      <c r="M1014" s="37" t="s">
        <v>509</v>
      </c>
      <c r="N1014" s="37">
        <v>565.21756097560967</v>
      </c>
      <c r="O1014" s="130">
        <f t="shared" si="88"/>
        <v>7396.0288725521386</v>
      </c>
      <c r="P1014" s="132">
        <f t="shared" si="89"/>
        <v>6776.1540360049457</v>
      </c>
      <c r="Q1014" s="262">
        <v>1</v>
      </c>
      <c r="R1014" s="92"/>
    </row>
    <row r="1015" spans="1:18" x14ac:dyDescent="0.25">
      <c r="A1015" s="326">
        <v>40284</v>
      </c>
      <c r="B1015" s="326" t="s">
        <v>806</v>
      </c>
      <c r="C1015" s="264" t="s">
        <v>712</v>
      </c>
      <c r="D1015" s="157" t="s">
        <v>724</v>
      </c>
      <c r="E1015" s="44">
        <v>40284</v>
      </c>
      <c r="F1015" s="146" t="str">
        <f t="shared" si="87"/>
        <v>2009-10</v>
      </c>
      <c r="G1015" s="1"/>
      <c r="H1015" s="161"/>
      <c r="I1015" s="37"/>
      <c r="J1015" s="135">
        <f t="shared" si="90"/>
        <v>0.9161881535038825</v>
      </c>
      <c r="K1015" s="112"/>
      <c r="L1015" s="37">
        <v>7.8475349632900002</v>
      </c>
      <c r="M1015" s="37" t="s">
        <v>509</v>
      </c>
      <c r="N1015" s="37">
        <v>565.21756097560967</v>
      </c>
      <c r="O1015" s="130">
        <f t="shared" si="88"/>
        <v>4435.564571621595</v>
      </c>
      <c r="P1015" s="132">
        <f t="shared" si="89"/>
        <v>4063.8117146212285</v>
      </c>
      <c r="Q1015" s="262">
        <v>1</v>
      </c>
      <c r="R1015" s="92"/>
    </row>
    <row r="1016" spans="1:18" x14ac:dyDescent="0.25">
      <c r="A1016" s="326">
        <v>40284</v>
      </c>
      <c r="B1016" s="326" t="s">
        <v>806</v>
      </c>
      <c r="C1016" s="264" t="s">
        <v>712</v>
      </c>
      <c r="D1016" s="157" t="s">
        <v>724</v>
      </c>
      <c r="E1016" s="44">
        <v>40284</v>
      </c>
      <c r="F1016" s="146" t="str">
        <f t="shared" si="87"/>
        <v>2009-10</v>
      </c>
      <c r="G1016" s="1"/>
      <c r="H1016" s="161"/>
      <c r="I1016" s="37"/>
      <c r="J1016" s="135">
        <f t="shared" si="90"/>
        <v>0.9161881535038825</v>
      </c>
      <c r="K1016" s="112"/>
      <c r="L1016" s="37">
        <v>1.3643672526099999</v>
      </c>
      <c r="M1016" s="37" t="s">
        <v>509</v>
      </c>
      <c r="N1016" s="37">
        <v>565.21756097560967</v>
      </c>
      <c r="O1016" s="130">
        <f t="shared" si="88"/>
        <v>771.16433079521767</v>
      </c>
      <c r="P1016" s="132">
        <f t="shared" si="89"/>
        <v>706.53162427932773</v>
      </c>
      <c r="Q1016" s="262">
        <v>1</v>
      </c>
      <c r="R1016" s="92"/>
    </row>
    <row r="1017" spans="1:18" x14ac:dyDescent="0.25">
      <c r="A1017" s="326">
        <v>40284</v>
      </c>
      <c r="B1017" s="326" t="s">
        <v>806</v>
      </c>
      <c r="C1017" s="264" t="s">
        <v>712</v>
      </c>
      <c r="D1017" s="157" t="s">
        <v>724</v>
      </c>
      <c r="E1017" s="44">
        <v>40284</v>
      </c>
      <c r="F1017" s="146" t="str">
        <f t="shared" si="87"/>
        <v>2009-10</v>
      </c>
      <c r="G1017" s="1"/>
      <c r="H1017" s="161"/>
      <c r="I1017" s="37"/>
      <c r="J1017" s="135">
        <f t="shared" si="90"/>
        <v>0.9161881535038825</v>
      </c>
      <c r="K1017" s="112"/>
      <c r="L1017" s="37">
        <v>6.5611344968600003</v>
      </c>
      <c r="M1017" s="37" t="s">
        <v>509</v>
      </c>
      <c r="N1017" s="37">
        <v>565.21756097560967</v>
      </c>
      <c r="O1017" s="130">
        <f t="shared" si="88"/>
        <v>3708.4684375481434</v>
      </c>
      <c r="P1017" s="132">
        <f t="shared" si="89"/>
        <v>3397.6548501246616</v>
      </c>
      <c r="Q1017" s="262">
        <v>1</v>
      </c>
      <c r="R1017" s="92"/>
    </row>
    <row r="1018" spans="1:18" x14ac:dyDescent="0.25">
      <c r="A1018" s="326">
        <v>40284</v>
      </c>
      <c r="B1018" s="326" t="s">
        <v>806</v>
      </c>
      <c r="C1018" s="264" t="s">
        <v>712</v>
      </c>
      <c r="D1018" s="157" t="s">
        <v>724</v>
      </c>
      <c r="E1018" s="44">
        <v>40284</v>
      </c>
      <c r="F1018" s="146" t="str">
        <f t="shared" si="87"/>
        <v>2009-10</v>
      </c>
      <c r="G1018" s="1"/>
      <c r="H1018" s="161"/>
      <c r="I1018" s="37"/>
      <c r="J1018" s="135">
        <f t="shared" si="90"/>
        <v>0.9161881535038825</v>
      </c>
      <c r="K1018" s="112"/>
      <c r="L1018" s="37">
        <v>13.604578034199999</v>
      </c>
      <c r="M1018" s="37" t="s">
        <v>509</v>
      </c>
      <c r="N1018" s="37">
        <v>565.21756097560967</v>
      </c>
      <c r="O1018" s="130">
        <f t="shared" si="88"/>
        <v>7689.5464145928781</v>
      </c>
      <c r="P1018" s="132">
        <f t="shared" si="89"/>
        <v>7045.0713308682489</v>
      </c>
      <c r="Q1018" s="262">
        <v>1</v>
      </c>
      <c r="R1018" s="92"/>
    </row>
    <row r="1019" spans="1:18" x14ac:dyDescent="0.25">
      <c r="A1019" s="326">
        <v>40284</v>
      </c>
      <c r="B1019" s="326" t="s">
        <v>806</v>
      </c>
      <c r="C1019" s="264" t="s">
        <v>712</v>
      </c>
      <c r="D1019" s="157" t="s">
        <v>724</v>
      </c>
      <c r="E1019" s="44">
        <v>40284</v>
      </c>
      <c r="F1019" s="146" t="str">
        <f t="shared" si="87"/>
        <v>2009-10</v>
      </c>
      <c r="G1019" s="1"/>
      <c r="H1019" s="161"/>
      <c r="I1019" s="37"/>
      <c r="J1019" s="135">
        <f t="shared" si="90"/>
        <v>0.9161881535038825</v>
      </c>
      <c r="K1019" s="112"/>
      <c r="L1019" s="37">
        <v>1.1181448922199999</v>
      </c>
      <c r="M1019" s="37" t="s">
        <v>509</v>
      </c>
      <c r="N1019" s="37">
        <v>565.21756097560967</v>
      </c>
      <c r="O1019" s="130">
        <f t="shared" si="88"/>
        <v>631.99512879792428</v>
      </c>
      <c r="P1019" s="132">
        <f t="shared" si="89"/>
        <v>579.02645007681861</v>
      </c>
      <c r="Q1019" s="262">
        <v>1</v>
      </c>
      <c r="R1019" s="92"/>
    </row>
    <row r="1020" spans="1:18" x14ac:dyDescent="0.25">
      <c r="A1020" s="326">
        <v>40284</v>
      </c>
      <c r="B1020" s="326" t="s">
        <v>806</v>
      </c>
      <c r="C1020" s="264" t="s">
        <v>712</v>
      </c>
      <c r="D1020" s="157" t="s">
        <v>724</v>
      </c>
      <c r="E1020" s="44">
        <v>40284</v>
      </c>
      <c r="F1020" s="146" t="str">
        <f t="shared" si="87"/>
        <v>2009-10</v>
      </c>
      <c r="G1020" s="1"/>
      <c r="H1020" s="161"/>
      <c r="I1020" s="37"/>
      <c r="J1020" s="135">
        <f t="shared" si="90"/>
        <v>0.9161881535038825</v>
      </c>
      <c r="K1020" s="112"/>
      <c r="L1020" s="37">
        <v>2.85522748656</v>
      </c>
      <c r="M1020" s="37" t="s">
        <v>509</v>
      </c>
      <c r="N1020" s="37">
        <v>565.21756097560967</v>
      </c>
      <c r="O1020" s="130">
        <f t="shared" si="88"/>
        <v>1613.8247159839636</v>
      </c>
      <c r="P1020" s="132">
        <f t="shared" si="89"/>
        <v>1478.5670866162752</v>
      </c>
      <c r="Q1020" s="262">
        <v>1</v>
      </c>
      <c r="R1020" s="92"/>
    </row>
    <row r="1021" spans="1:18" x14ac:dyDescent="0.25">
      <c r="A1021" s="326">
        <v>40284</v>
      </c>
      <c r="B1021" s="326" t="s">
        <v>806</v>
      </c>
      <c r="C1021" s="264" t="s">
        <v>712</v>
      </c>
      <c r="D1021" s="157" t="s">
        <v>724</v>
      </c>
      <c r="E1021" s="44">
        <v>40284</v>
      </c>
      <c r="F1021" s="146" t="str">
        <f t="shared" si="87"/>
        <v>2009-10</v>
      </c>
      <c r="G1021" s="1"/>
      <c r="H1021" s="161"/>
      <c r="I1021" s="37"/>
      <c r="J1021" s="135">
        <f t="shared" si="90"/>
        <v>0.9161881535038825</v>
      </c>
      <c r="K1021" s="112"/>
      <c r="L1021" s="37">
        <v>45.278520164500001</v>
      </c>
      <c r="M1021" s="37" t="s">
        <v>509</v>
      </c>
      <c r="N1021" s="37">
        <v>404.93951219512189</v>
      </c>
      <c r="O1021" s="130">
        <f t="shared" si="88"/>
        <v>18335.06186832962</v>
      </c>
      <c r="P1021" s="132">
        <f t="shared" si="89"/>
        <v>16798.36647752436</v>
      </c>
      <c r="Q1021" s="262">
        <v>1</v>
      </c>
      <c r="R1021" s="92"/>
    </row>
    <row r="1022" spans="1:18" x14ac:dyDescent="0.25">
      <c r="A1022" s="326">
        <v>40284</v>
      </c>
      <c r="B1022" s="326" t="s">
        <v>806</v>
      </c>
      <c r="C1022" s="264" t="s">
        <v>712</v>
      </c>
      <c r="D1022" s="157" t="s">
        <v>724</v>
      </c>
      <c r="E1022" s="44">
        <v>40284</v>
      </c>
      <c r="F1022" s="146" t="str">
        <f t="shared" si="87"/>
        <v>2009-10</v>
      </c>
      <c r="G1022" s="1"/>
      <c r="H1022" s="161"/>
      <c r="I1022" s="37"/>
      <c r="J1022" s="135">
        <f t="shared" si="90"/>
        <v>0.9161881535038825</v>
      </c>
      <c r="K1022" s="112"/>
      <c r="L1022" s="37">
        <v>124.148530095</v>
      </c>
      <c r="M1022" s="37" t="s">
        <v>509</v>
      </c>
      <c r="N1022" s="37">
        <v>404.93951219512189</v>
      </c>
      <c r="O1022" s="130">
        <f t="shared" si="88"/>
        <v>50272.64521641071</v>
      </c>
      <c r="P1022" s="132">
        <f t="shared" si="89"/>
        <v>46059.201992579117</v>
      </c>
      <c r="Q1022" s="262">
        <v>1</v>
      </c>
      <c r="R1022" s="92"/>
    </row>
    <row r="1023" spans="1:18" x14ac:dyDescent="0.25">
      <c r="A1023" s="326">
        <v>40284</v>
      </c>
      <c r="B1023" s="326" t="s">
        <v>806</v>
      </c>
      <c r="C1023" s="264" t="s">
        <v>712</v>
      </c>
      <c r="D1023" s="157" t="s">
        <v>724</v>
      </c>
      <c r="E1023" s="44">
        <v>40284</v>
      </c>
      <c r="F1023" s="146" t="str">
        <f t="shared" si="87"/>
        <v>2009-10</v>
      </c>
      <c r="G1023" s="1"/>
      <c r="H1023" s="161"/>
      <c r="I1023" s="37"/>
      <c r="J1023" s="135">
        <f t="shared" si="90"/>
        <v>0.9161881535038825</v>
      </c>
      <c r="K1023" s="112"/>
      <c r="L1023" s="37">
        <v>114.62795319600001</v>
      </c>
      <c r="M1023" s="37" t="s">
        <v>509</v>
      </c>
      <c r="N1023" s="37">
        <v>565.21756097560967</v>
      </c>
      <c r="O1023" s="130">
        <f t="shared" si="88"/>
        <v>64789.732125069466</v>
      </c>
      <c r="P1023" s="132">
        <f t="shared" si="89"/>
        <v>59359.585041678569</v>
      </c>
      <c r="Q1023" s="262">
        <v>1</v>
      </c>
      <c r="R1023" s="92"/>
    </row>
    <row r="1024" spans="1:18" x14ac:dyDescent="0.25">
      <c r="A1024" s="326">
        <v>40284</v>
      </c>
      <c r="B1024" s="326" t="s">
        <v>806</v>
      </c>
      <c r="C1024" s="264" t="s">
        <v>712</v>
      </c>
      <c r="D1024" s="157" t="s">
        <v>724</v>
      </c>
      <c r="E1024" s="44">
        <v>40284</v>
      </c>
      <c r="F1024" s="146" t="str">
        <f t="shared" si="87"/>
        <v>2009-10</v>
      </c>
      <c r="G1024" s="1"/>
      <c r="H1024" s="161"/>
      <c r="I1024" s="37"/>
      <c r="J1024" s="135">
        <f t="shared" si="90"/>
        <v>0.9161881535038825</v>
      </c>
      <c r="K1024" s="112"/>
      <c r="L1024" s="37">
        <v>18.216348645699998</v>
      </c>
      <c r="M1024" s="37" t="s">
        <v>509</v>
      </c>
      <c r="N1024" s="37">
        <v>565.21756097560967</v>
      </c>
      <c r="O1024" s="130">
        <f t="shared" si="88"/>
        <v>10296.200151403904</v>
      </c>
      <c r="P1024" s="132">
        <f t="shared" si="89"/>
        <v>9433.2566048211374</v>
      </c>
      <c r="Q1024" s="262">
        <v>1</v>
      </c>
      <c r="R1024" s="92"/>
    </row>
    <row r="1025" spans="1:18" x14ac:dyDescent="0.25">
      <c r="A1025" s="326">
        <v>40284</v>
      </c>
      <c r="B1025" s="326" t="s">
        <v>806</v>
      </c>
      <c r="C1025" s="264" t="s">
        <v>712</v>
      </c>
      <c r="D1025" s="157" t="s">
        <v>724</v>
      </c>
      <c r="E1025" s="44">
        <v>40284</v>
      </c>
      <c r="F1025" s="146" t="str">
        <f t="shared" si="87"/>
        <v>2009-10</v>
      </c>
      <c r="G1025" s="1"/>
      <c r="H1025" s="161"/>
      <c r="I1025" s="37"/>
      <c r="J1025" s="135">
        <f t="shared" si="90"/>
        <v>0.9161881535038825</v>
      </c>
      <c r="K1025" s="112"/>
      <c r="L1025" s="37">
        <v>53.463415246499999</v>
      </c>
      <c r="M1025" s="37" t="s">
        <v>509</v>
      </c>
      <c r="N1025" s="37">
        <v>565.21756097560967</v>
      </c>
      <c r="O1025" s="130">
        <f t="shared" si="88"/>
        <v>30218.461167052952</v>
      </c>
      <c r="P1025" s="132">
        <f t="shared" si="89"/>
        <v>27685.796138371021</v>
      </c>
      <c r="Q1025" s="262">
        <v>1</v>
      </c>
      <c r="R1025" s="92"/>
    </row>
    <row r="1026" spans="1:18" x14ac:dyDescent="0.25">
      <c r="A1026" s="326">
        <v>40284</v>
      </c>
      <c r="B1026" s="326" t="s">
        <v>806</v>
      </c>
      <c r="C1026" s="264" t="s">
        <v>712</v>
      </c>
      <c r="D1026" s="157" t="s">
        <v>724</v>
      </c>
      <c r="E1026" s="44">
        <v>40284</v>
      </c>
      <c r="F1026" s="146" t="str">
        <f t="shared" si="87"/>
        <v>2009-10</v>
      </c>
      <c r="G1026" s="1"/>
      <c r="H1026" s="161"/>
      <c r="I1026" s="37"/>
      <c r="J1026" s="135">
        <f t="shared" si="90"/>
        <v>0.9161881535038825</v>
      </c>
      <c r="K1026" s="112"/>
      <c r="L1026" s="37">
        <v>77.351000981300004</v>
      </c>
      <c r="M1026" s="37" t="s">
        <v>509</v>
      </c>
      <c r="N1026" s="37">
        <v>404.93951219512189</v>
      </c>
      <c r="O1026" s="130">
        <f t="shared" si="88"/>
        <v>31322.476605172018</v>
      </c>
      <c r="P1026" s="132">
        <f t="shared" si="89"/>
        <v>28697.282004061108</v>
      </c>
      <c r="Q1026" s="262">
        <v>1</v>
      </c>
      <c r="R1026" s="92"/>
    </row>
    <row r="1027" spans="1:18" x14ac:dyDescent="0.25">
      <c r="A1027" s="326">
        <v>40284</v>
      </c>
      <c r="B1027" s="326" t="s">
        <v>806</v>
      </c>
      <c r="C1027" s="264" t="s">
        <v>712</v>
      </c>
      <c r="D1027" s="157" t="s">
        <v>724</v>
      </c>
      <c r="E1027" s="44">
        <v>40284</v>
      </c>
      <c r="F1027" s="146" t="str">
        <f t="shared" si="87"/>
        <v>2009-10</v>
      </c>
      <c r="G1027" s="1"/>
      <c r="H1027" s="161"/>
      <c r="I1027" s="37"/>
      <c r="J1027" s="135">
        <f t="shared" si="90"/>
        <v>0.9161881535038825</v>
      </c>
      <c r="K1027" s="112"/>
      <c r="L1027" s="37">
        <v>0.68514305075699999</v>
      </c>
      <c r="M1027" s="37" t="s">
        <v>509</v>
      </c>
      <c r="N1027" s="37">
        <v>565.21756097560967</v>
      </c>
      <c r="O1027" s="130">
        <f t="shared" si="88"/>
        <v>387.25488406825986</v>
      </c>
      <c r="P1027" s="132">
        <f t="shared" si="89"/>
        <v>354.79833716985905</v>
      </c>
      <c r="Q1027" s="262">
        <v>1</v>
      </c>
      <c r="R1027" s="92"/>
    </row>
    <row r="1028" spans="1:18" x14ac:dyDescent="0.25">
      <c r="A1028" s="326">
        <v>40284</v>
      </c>
      <c r="B1028" s="326" t="s">
        <v>806</v>
      </c>
      <c r="C1028" s="264" t="s">
        <v>712</v>
      </c>
      <c r="D1028" s="157" t="s">
        <v>725</v>
      </c>
      <c r="E1028" s="44">
        <v>40284</v>
      </c>
      <c r="F1028" s="146" t="str">
        <f t="shared" si="87"/>
        <v>2009-10</v>
      </c>
      <c r="G1028" s="1"/>
      <c r="H1028" s="161"/>
      <c r="I1028" s="37"/>
      <c r="J1028" s="135">
        <f t="shared" si="90"/>
        <v>0.9161881535038825</v>
      </c>
      <c r="K1028" s="112"/>
      <c r="L1028" s="37">
        <v>158.56413542000001</v>
      </c>
      <c r="M1028" s="37" t="s">
        <v>509</v>
      </c>
      <c r="N1028" s="37">
        <v>404.93951219512189</v>
      </c>
      <c r="O1028" s="130">
        <f t="shared" si="88"/>
        <v>64208.883648616058</v>
      </c>
      <c r="P1028" s="132">
        <f t="shared" si="89"/>
        <v>58827.418548571179</v>
      </c>
      <c r="Q1028" s="262">
        <v>1</v>
      </c>
      <c r="R1028" s="92"/>
    </row>
    <row r="1029" spans="1:18" x14ac:dyDescent="0.25">
      <c r="A1029" s="326">
        <v>40284</v>
      </c>
      <c r="B1029" s="326" t="s">
        <v>806</v>
      </c>
      <c r="C1029" s="264" t="s">
        <v>712</v>
      </c>
      <c r="D1029" s="157" t="s">
        <v>725</v>
      </c>
      <c r="E1029" s="44">
        <v>40284</v>
      </c>
      <c r="F1029" s="146" t="str">
        <f t="shared" si="87"/>
        <v>2009-10</v>
      </c>
      <c r="G1029" s="1"/>
      <c r="H1029" s="161"/>
      <c r="I1029" s="37"/>
      <c r="J1029" s="135">
        <f t="shared" si="90"/>
        <v>0.9161881535038825</v>
      </c>
      <c r="K1029" s="112"/>
      <c r="L1029" s="37">
        <v>41.209292360600003</v>
      </c>
      <c r="M1029" s="37" t="s">
        <v>509</v>
      </c>
      <c r="N1029" s="37">
        <v>404.93951219512189</v>
      </c>
      <c r="O1029" s="130">
        <f t="shared" si="88"/>
        <v>16687.270746407528</v>
      </c>
      <c r="P1029" s="132">
        <f t="shared" si="89"/>
        <v>15288.679772170468</v>
      </c>
      <c r="Q1029" s="262">
        <v>1</v>
      </c>
      <c r="R1029" s="92"/>
    </row>
    <row r="1030" spans="1:18" x14ac:dyDescent="0.25">
      <c r="A1030" s="326">
        <v>40284</v>
      </c>
      <c r="B1030" s="326" t="s">
        <v>806</v>
      </c>
      <c r="C1030" s="264" t="s">
        <v>712</v>
      </c>
      <c r="D1030" s="157" t="s">
        <v>725</v>
      </c>
      <c r="E1030" s="44">
        <v>40284</v>
      </c>
      <c r="F1030" s="146" t="str">
        <f t="shared" si="87"/>
        <v>2009-10</v>
      </c>
      <c r="G1030" s="1"/>
      <c r="H1030" s="161"/>
      <c r="I1030" s="37"/>
      <c r="J1030" s="135">
        <f t="shared" si="90"/>
        <v>0.9161881535038825</v>
      </c>
      <c r="K1030" s="112"/>
      <c r="L1030" s="37">
        <v>55.856672811400003</v>
      </c>
      <c r="M1030" s="37" t="s">
        <v>509</v>
      </c>
      <c r="N1030" s="37">
        <v>404.93951219512189</v>
      </c>
      <c r="O1030" s="130">
        <f t="shared" si="88"/>
        <v>22618.573841090845</v>
      </c>
      <c r="P1030" s="132">
        <f t="shared" si="89"/>
        <v>20722.86940236024</v>
      </c>
      <c r="Q1030" s="262">
        <v>1</v>
      </c>
      <c r="R1030" s="92"/>
    </row>
    <row r="1031" spans="1:18" x14ac:dyDescent="0.25">
      <c r="A1031" s="326">
        <v>40284</v>
      </c>
      <c r="B1031" s="326" t="s">
        <v>806</v>
      </c>
      <c r="C1031" s="264" t="s">
        <v>712</v>
      </c>
      <c r="D1031" s="157" t="s">
        <v>725</v>
      </c>
      <c r="E1031" s="44">
        <v>40284</v>
      </c>
      <c r="F1031" s="146" t="str">
        <f t="shared" si="87"/>
        <v>2009-10</v>
      </c>
      <c r="G1031" s="1"/>
      <c r="H1031" s="161"/>
      <c r="I1031" s="37"/>
      <c r="J1031" s="135">
        <f t="shared" si="90"/>
        <v>0.9161881535038825</v>
      </c>
      <c r="K1031" s="112"/>
      <c r="L1031" s="37">
        <v>76.161172220400005</v>
      </c>
      <c r="M1031" s="37" t="s">
        <v>509</v>
      </c>
      <c r="N1031" s="37">
        <v>404.93951219512189</v>
      </c>
      <c r="O1031" s="130">
        <f t="shared" si="88"/>
        <v>30840.667927137445</v>
      </c>
      <c r="P1031" s="132">
        <f t="shared" si="89"/>
        <v>28255.854600990468</v>
      </c>
      <c r="Q1031" s="262">
        <v>1</v>
      </c>
      <c r="R1031" s="92"/>
    </row>
    <row r="1032" spans="1:18" x14ac:dyDescent="0.25">
      <c r="A1032" s="326">
        <v>40284</v>
      </c>
      <c r="B1032" s="326" t="s">
        <v>806</v>
      </c>
      <c r="C1032" s="264" t="s">
        <v>712</v>
      </c>
      <c r="D1032" s="157" t="s">
        <v>725</v>
      </c>
      <c r="E1032" s="44">
        <v>40284</v>
      </c>
      <c r="F1032" s="146" t="str">
        <f t="shared" si="87"/>
        <v>2009-10</v>
      </c>
      <c r="G1032" s="1"/>
      <c r="H1032" s="161"/>
      <c r="I1032" s="37"/>
      <c r="J1032" s="135">
        <f t="shared" si="90"/>
        <v>0.9161881535038825</v>
      </c>
      <c r="K1032" s="112"/>
      <c r="L1032" s="37">
        <v>2.4976038516900001</v>
      </c>
      <c r="M1032" s="37" t="s">
        <v>509</v>
      </c>
      <c r="N1032" s="37">
        <v>404.93951219512189</v>
      </c>
      <c r="O1032" s="130">
        <f t="shared" si="88"/>
        <v>1011.3784853600062</v>
      </c>
      <c r="P1032" s="132">
        <f t="shared" si="89"/>
        <v>926.61298699553754</v>
      </c>
      <c r="Q1032" s="262">
        <v>1</v>
      </c>
      <c r="R1032" s="92"/>
    </row>
    <row r="1033" spans="1:18" x14ac:dyDescent="0.25">
      <c r="A1033" s="326">
        <v>40284</v>
      </c>
      <c r="B1033" s="326" t="s">
        <v>806</v>
      </c>
      <c r="C1033" s="264" t="s">
        <v>712</v>
      </c>
      <c r="D1033" s="157" t="s">
        <v>725</v>
      </c>
      <c r="E1033" s="44">
        <v>40284</v>
      </c>
      <c r="F1033" s="146" t="str">
        <f t="shared" ref="F1033:F1082" si="91">IF(E1033="","-",IF(OR(E1033&lt;$E$15,E1033&gt;$E$16),"ERROR - date outside of range",IF(MONTH(E1033)&gt;=7,YEAR(E1033)&amp;"-"&amp;IF(YEAR(E1033)=1999,"00",IF(AND(YEAR(E1033)&gt;=2000,YEAR(E1033)&lt;2009),"0","")&amp;RIGHT(YEAR(E1033),2)+1),RIGHT(YEAR(E1033),4)-1&amp;"-"&amp;RIGHT(YEAR(E1033),2))))</f>
        <v>2009-10</v>
      </c>
      <c r="G1033" s="1"/>
      <c r="H1033" s="161"/>
      <c r="I1033" s="37"/>
      <c r="J1033" s="135">
        <f t="shared" si="90"/>
        <v>0.9161881535038825</v>
      </c>
      <c r="K1033" s="112"/>
      <c r="L1033" s="37">
        <v>15.1909353052</v>
      </c>
      <c r="M1033" s="37" t="s">
        <v>509</v>
      </c>
      <c r="N1033" s="37">
        <v>404.93951219512189</v>
      </c>
      <c r="O1033" s="130">
        <f t="shared" si="88"/>
        <v>6151.4099322753427</v>
      </c>
      <c r="P1033" s="132">
        <f t="shared" si="89"/>
        <v>5635.8489072967895</v>
      </c>
      <c r="Q1033" s="262">
        <v>1</v>
      </c>
      <c r="R1033" s="92"/>
    </row>
    <row r="1034" spans="1:18" x14ac:dyDescent="0.25">
      <c r="A1034" s="326">
        <v>40284</v>
      </c>
      <c r="B1034" s="326" t="s">
        <v>806</v>
      </c>
      <c r="C1034" s="264" t="s">
        <v>712</v>
      </c>
      <c r="D1034" s="157" t="s">
        <v>725</v>
      </c>
      <c r="E1034" s="44">
        <v>40284</v>
      </c>
      <c r="F1034" s="146" t="str">
        <f t="shared" si="91"/>
        <v>2009-10</v>
      </c>
      <c r="G1034" s="1"/>
      <c r="H1034" s="161"/>
      <c r="I1034" s="37"/>
      <c r="J1034" s="135">
        <f t="shared" si="90"/>
        <v>0.9161881535038825</v>
      </c>
      <c r="K1034" s="112"/>
      <c r="L1034" s="37">
        <v>20.844055880999999</v>
      </c>
      <c r="M1034" s="37" t="s">
        <v>509</v>
      </c>
      <c r="N1034" s="37">
        <v>404.93951219512189</v>
      </c>
      <c r="O1034" s="130">
        <f t="shared" si="88"/>
        <v>8440.581820620002</v>
      </c>
      <c r="P1034" s="132">
        <f t="shared" si="89"/>
        <v>7733.1610727322786</v>
      </c>
      <c r="Q1034" s="262">
        <v>1</v>
      </c>
      <c r="R1034" s="92"/>
    </row>
    <row r="1035" spans="1:18" x14ac:dyDescent="0.25">
      <c r="A1035" s="326">
        <v>40284</v>
      </c>
      <c r="B1035" s="326" t="s">
        <v>806</v>
      </c>
      <c r="C1035" s="264" t="s">
        <v>712</v>
      </c>
      <c r="D1035" s="157" t="s">
        <v>725</v>
      </c>
      <c r="E1035" s="44">
        <v>40284</v>
      </c>
      <c r="F1035" s="146" t="str">
        <f t="shared" si="91"/>
        <v>2009-10</v>
      </c>
      <c r="G1035" s="1"/>
      <c r="H1035" s="161"/>
      <c r="I1035" s="37"/>
      <c r="J1035" s="135">
        <f t="shared" si="90"/>
        <v>0.9161881535038825</v>
      </c>
      <c r="K1035" s="112"/>
      <c r="L1035" s="37">
        <v>38.710930071100002</v>
      </c>
      <c r="M1035" s="37" t="s">
        <v>509</v>
      </c>
      <c r="N1035" s="37">
        <v>404.93951219512189</v>
      </c>
      <c r="O1035" s="130">
        <f t="shared" si="88"/>
        <v>15675.58513961071</v>
      </c>
      <c r="P1035" s="132">
        <f t="shared" si="89"/>
        <v>14361.785404152837</v>
      </c>
      <c r="Q1035" s="262">
        <v>1</v>
      </c>
      <c r="R1035" s="92"/>
    </row>
    <row r="1036" spans="1:18" x14ac:dyDescent="0.25">
      <c r="A1036" s="326">
        <v>40284</v>
      </c>
      <c r="B1036" s="326" t="s">
        <v>806</v>
      </c>
      <c r="C1036" s="264" t="s">
        <v>712</v>
      </c>
      <c r="D1036" s="157" t="s">
        <v>725</v>
      </c>
      <c r="E1036" s="44">
        <v>40284</v>
      </c>
      <c r="F1036" s="146" t="str">
        <f t="shared" si="91"/>
        <v>2009-10</v>
      </c>
      <c r="G1036" s="1"/>
      <c r="H1036" s="161"/>
      <c r="I1036" s="37"/>
      <c r="J1036" s="135">
        <f t="shared" si="90"/>
        <v>0.9161881535038825</v>
      </c>
      <c r="K1036" s="112"/>
      <c r="L1036" s="37">
        <v>75.383260353699995</v>
      </c>
      <c r="M1036" s="37" t="s">
        <v>509</v>
      </c>
      <c r="N1036" s="37">
        <v>404.93951219512189</v>
      </c>
      <c r="O1036" s="130">
        <f t="shared" si="88"/>
        <v>30525.660675305149</v>
      </c>
      <c r="P1036" s="132">
        <f t="shared" si="89"/>
        <v>27967.248688593903</v>
      </c>
      <c r="Q1036" s="262">
        <v>1</v>
      </c>
      <c r="R1036" s="92"/>
    </row>
    <row r="1037" spans="1:18" x14ac:dyDescent="0.25">
      <c r="A1037" s="326">
        <v>40284</v>
      </c>
      <c r="B1037" s="326" t="s">
        <v>806</v>
      </c>
      <c r="C1037" s="264" t="s">
        <v>712</v>
      </c>
      <c r="D1037" s="157" t="s">
        <v>725</v>
      </c>
      <c r="E1037" s="44">
        <v>40284</v>
      </c>
      <c r="F1037" s="146" t="str">
        <f t="shared" si="91"/>
        <v>2009-10</v>
      </c>
      <c r="G1037" s="1"/>
      <c r="H1037" s="161"/>
      <c r="I1037" s="37"/>
      <c r="J1037" s="135">
        <f t="shared" si="90"/>
        <v>0.9161881535038825</v>
      </c>
      <c r="K1037" s="112"/>
      <c r="L1037" s="37">
        <v>52.9345042474</v>
      </c>
      <c r="M1037" s="37" t="s">
        <v>509</v>
      </c>
      <c r="N1037" s="37">
        <v>404.93951219512189</v>
      </c>
      <c r="O1037" s="130">
        <f t="shared" si="88"/>
        <v>21435.272328232764</v>
      </c>
      <c r="P1037" s="132">
        <f t="shared" si="89"/>
        <v>19638.742574256445</v>
      </c>
      <c r="Q1037" s="262">
        <v>1</v>
      </c>
      <c r="R1037" s="92"/>
    </row>
    <row r="1038" spans="1:18" x14ac:dyDescent="0.25">
      <c r="C1038" s="264"/>
      <c r="D1038" s="157"/>
      <c r="E1038" s="44"/>
      <c r="F1038" s="146" t="str">
        <f t="shared" si="91"/>
        <v>-</v>
      </c>
      <c r="G1038" s="1"/>
      <c r="H1038" s="161"/>
      <c r="I1038" s="37"/>
      <c r="J1038" s="135">
        <f t="shared" si="90"/>
        <v>0.9161881535038825</v>
      </c>
      <c r="K1038" s="112"/>
      <c r="L1038" s="37"/>
      <c r="M1038" s="37"/>
      <c r="N1038" s="37"/>
      <c r="O1038" s="130" t="str">
        <f t="shared" si="88"/>
        <v>-</v>
      </c>
      <c r="P1038" s="132" t="e">
        <f t="shared" si="89"/>
        <v>#VALUE!</v>
      </c>
      <c r="Q1038" s="262"/>
      <c r="R1038" s="92"/>
    </row>
    <row r="1039" spans="1:18" x14ac:dyDescent="0.25">
      <c r="C1039" s="264"/>
      <c r="D1039" s="157"/>
      <c r="E1039" s="44"/>
      <c r="F1039" s="146" t="str">
        <f t="shared" si="91"/>
        <v>-</v>
      </c>
      <c r="G1039" s="1"/>
      <c r="H1039" s="161"/>
      <c r="I1039" s="37"/>
      <c r="J1039" s="135">
        <f t="shared" si="90"/>
        <v>0.9161881535038825</v>
      </c>
      <c r="K1039" s="112"/>
      <c r="L1039" s="37"/>
      <c r="M1039" s="37"/>
      <c r="N1039" s="37"/>
      <c r="O1039" s="130" t="str">
        <f t="shared" ref="O1039:O1082" si="92">IF(N1039="","-",L1039*N1039)</f>
        <v>-</v>
      </c>
      <c r="P1039" s="132" t="e">
        <f t="shared" ref="P1039:P1082" si="93">IF(O1039="-","-",IF(OR(E1039&lt;$E$15,E1039&gt;$E$16),0,O1039*J1039))*Q1039</f>
        <v>#VALUE!</v>
      </c>
      <c r="Q1039" s="262"/>
      <c r="R1039" s="92"/>
    </row>
    <row r="1040" spans="1:18" x14ac:dyDescent="0.25">
      <c r="A1040" s="326">
        <v>2003</v>
      </c>
      <c r="B1040" s="326" t="s">
        <v>285</v>
      </c>
      <c r="C1040" s="264" t="s">
        <v>728</v>
      </c>
      <c r="D1040" s="157" t="s">
        <v>656</v>
      </c>
      <c r="E1040" s="44">
        <v>37802</v>
      </c>
      <c r="F1040" s="146" t="str">
        <f t="shared" si="91"/>
        <v>2002-03</v>
      </c>
      <c r="G1040" s="1"/>
      <c r="H1040" s="161"/>
      <c r="I1040" s="37"/>
      <c r="J1040" s="135">
        <f t="shared" si="90"/>
        <v>0.9161881535038825</v>
      </c>
      <c r="K1040" s="112"/>
      <c r="L1040" s="37">
        <v>1</v>
      </c>
      <c r="M1040" s="37" t="s">
        <v>529</v>
      </c>
      <c r="N1040" s="37">
        <v>949586.8733308498</v>
      </c>
      <c r="O1040" s="130">
        <f t="shared" si="92"/>
        <v>949586.8733308498</v>
      </c>
      <c r="P1040" s="132">
        <f t="shared" si="93"/>
        <v>87000.024406851648</v>
      </c>
      <c r="Q1040" s="262">
        <v>0.1</v>
      </c>
      <c r="R1040" s="92"/>
    </row>
    <row r="1041" spans="1:18" x14ac:dyDescent="0.25">
      <c r="A1041" s="326">
        <v>2003</v>
      </c>
      <c r="B1041" s="326" t="s">
        <v>285</v>
      </c>
      <c r="C1041" s="264" t="s">
        <v>728</v>
      </c>
      <c r="D1041" s="157" t="s">
        <v>729</v>
      </c>
      <c r="E1041" s="44">
        <v>37802</v>
      </c>
      <c r="F1041" s="146" t="str">
        <f t="shared" si="91"/>
        <v>2002-03</v>
      </c>
      <c r="G1041" s="1"/>
      <c r="H1041" s="161"/>
      <c r="I1041" s="37"/>
      <c r="J1041" s="135">
        <f t="shared" si="90"/>
        <v>0.9161881535038825</v>
      </c>
      <c r="K1041" s="112"/>
      <c r="L1041" s="37">
        <v>1</v>
      </c>
      <c r="M1041" s="37" t="s">
        <v>529</v>
      </c>
      <c r="N1041" s="37">
        <v>882047.66017788125</v>
      </c>
      <c r="O1041" s="130">
        <f t="shared" si="92"/>
        <v>882047.66017788125</v>
      </c>
      <c r="P1041" s="132">
        <f t="shared" si="93"/>
        <v>80812.161708079308</v>
      </c>
      <c r="Q1041" s="262">
        <v>0.1</v>
      </c>
      <c r="R1041" s="92"/>
    </row>
    <row r="1042" spans="1:18" x14ac:dyDescent="0.25">
      <c r="A1042" s="326">
        <v>2002</v>
      </c>
      <c r="B1042" s="326" t="s">
        <v>285</v>
      </c>
      <c r="C1042" s="264" t="s">
        <v>728</v>
      </c>
      <c r="D1042" s="157" t="s">
        <v>730</v>
      </c>
      <c r="E1042" s="44">
        <v>37437</v>
      </c>
      <c r="F1042" s="146" t="str">
        <f t="shared" si="91"/>
        <v>2001-02</v>
      </c>
      <c r="G1042" s="1"/>
      <c r="H1042" s="161"/>
      <c r="I1042" s="37"/>
      <c r="J1042" s="135">
        <f t="shared" si="90"/>
        <v>0.9161881535038825</v>
      </c>
      <c r="K1042" s="112"/>
      <c r="L1042" s="37">
        <v>1</v>
      </c>
      <c r="M1042" s="37" t="s">
        <v>529</v>
      </c>
      <c r="N1042" s="37">
        <v>918857.36082887091</v>
      </c>
      <c r="O1042" s="130">
        <f t="shared" si="92"/>
        <v>918857.36082887091</v>
      </c>
      <c r="P1042" s="132">
        <f t="shared" si="93"/>
        <v>84184.622875125395</v>
      </c>
      <c r="Q1042" s="262">
        <v>0.1</v>
      </c>
      <c r="R1042" s="92"/>
    </row>
    <row r="1043" spans="1:18" x14ac:dyDescent="0.25">
      <c r="A1043" s="326">
        <v>2002</v>
      </c>
      <c r="B1043" s="326" t="s">
        <v>285</v>
      </c>
      <c r="C1043" s="264" t="s">
        <v>728</v>
      </c>
      <c r="D1043" s="157" t="s">
        <v>731</v>
      </c>
      <c r="E1043" s="44">
        <v>37437</v>
      </c>
      <c r="F1043" s="146" t="str">
        <f t="shared" si="91"/>
        <v>2001-02</v>
      </c>
      <c r="G1043" s="1"/>
      <c r="H1043" s="161"/>
      <c r="I1043" s="37"/>
      <c r="J1043" s="135">
        <f t="shared" si="90"/>
        <v>0.9161881535038825</v>
      </c>
      <c r="K1043" s="112"/>
      <c r="L1043" s="37">
        <v>1</v>
      </c>
      <c r="M1043" s="37" t="s">
        <v>529</v>
      </c>
      <c r="N1043" s="37">
        <v>730044.5670984867</v>
      </c>
      <c r="O1043" s="130">
        <f t="shared" si="92"/>
        <v>730044.5670984867</v>
      </c>
      <c r="P1043" s="132">
        <f t="shared" si="93"/>
        <v>167214.54597637596</v>
      </c>
      <c r="Q1043" s="262">
        <v>0.25</v>
      </c>
      <c r="R1043" s="92"/>
    </row>
    <row r="1044" spans="1:18" x14ac:dyDescent="0.25">
      <c r="A1044" s="326">
        <v>2002</v>
      </c>
      <c r="B1044" s="326" t="s">
        <v>285</v>
      </c>
      <c r="C1044" s="264" t="s">
        <v>728</v>
      </c>
      <c r="D1044" s="157" t="s">
        <v>732</v>
      </c>
      <c r="E1044" s="44">
        <v>37437</v>
      </c>
      <c r="F1044" s="146" t="str">
        <f t="shared" si="91"/>
        <v>2001-02</v>
      </c>
      <c r="G1044" s="1"/>
      <c r="H1044" s="161"/>
      <c r="I1044" s="37"/>
      <c r="J1044" s="135">
        <f t="shared" si="90"/>
        <v>0.9161881535038825</v>
      </c>
      <c r="K1044" s="112"/>
      <c r="L1044" s="37">
        <v>1</v>
      </c>
      <c r="M1044" s="37" t="s">
        <v>529</v>
      </c>
      <c r="N1044" s="37">
        <v>448801.63898207224</v>
      </c>
      <c r="O1044" s="130">
        <f t="shared" si="92"/>
        <v>448801.63898207224</v>
      </c>
      <c r="P1044" s="132">
        <f t="shared" si="93"/>
        <v>41118.674490850091</v>
      </c>
      <c r="Q1044" s="262">
        <v>0.1</v>
      </c>
      <c r="R1044" s="92"/>
    </row>
    <row r="1045" spans="1:18" x14ac:dyDescent="0.25">
      <c r="A1045" s="326">
        <v>2002</v>
      </c>
      <c r="B1045" s="326" t="s">
        <v>285</v>
      </c>
      <c r="C1045" s="264" t="s">
        <v>728</v>
      </c>
      <c r="D1045" s="157" t="s">
        <v>733</v>
      </c>
      <c r="E1045" s="44">
        <v>37437</v>
      </c>
      <c r="F1045" s="146" t="str">
        <f t="shared" si="91"/>
        <v>2001-02</v>
      </c>
      <c r="G1045" s="1"/>
      <c r="H1045" s="161"/>
      <c r="I1045" s="37"/>
      <c r="J1045" s="135">
        <f t="shared" si="90"/>
        <v>0.9161881535038825</v>
      </c>
      <c r="K1045" s="112"/>
      <c r="L1045" s="37">
        <v>1</v>
      </c>
      <c r="M1045" s="37" t="s">
        <v>529</v>
      </c>
      <c r="N1045" s="37">
        <v>839470.2366761351</v>
      </c>
      <c r="O1045" s="130">
        <f t="shared" si="92"/>
        <v>839470.2366761351</v>
      </c>
      <c r="P1045" s="132">
        <f t="shared" si="93"/>
        <v>38455.634303088773</v>
      </c>
      <c r="Q1045" s="262">
        <v>0.05</v>
      </c>
      <c r="R1045" s="92"/>
    </row>
    <row r="1046" spans="1:18" x14ac:dyDescent="0.25">
      <c r="A1046" s="326">
        <v>2002</v>
      </c>
      <c r="B1046" s="326" t="s">
        <v>285</v>
      </c>
      <c r="C1046" s="264" t="s">
        <v>728</v>
      </c>
      <c r="D1046" s="157" t="s">
        <v>655</v>
      </c>
      <c r="E1046" s="44">
        <v>37437</v>
      </c>
      <c r="F1046" s="146" t="str">
        <f t="shared" si="91"/>
        <v>2001-02</v>
      </c>
      <c r="G1046" s="1"/>
      <c r="H1046" s="161"/>
      <c r="I1046" s="37"/>
      <c r="J1046" s="135">
        <f t="shared" si="90"/>
        <v>0.9161881535038825</v>
      </c>
      <c r="K1046" s="112"/>
      <c r="L1046" s="37">
        <v>1</v>
      </c>
      <c r="M1046" s="37" t="s">
        <v>529</v>
      </c>
      <c r="N1046" s="37">
        <v>918857.36082887091</v>
      </c>
      <c r="O1046" s="130">
        <f t="shared" si="92"/>
        <v>918857.36082887091</v>
      </c>
      <c r="P1046" s="132">
        <f t="shared" si="93"/>
        <v>84184.622875125395</v>
      </c>
      <c r="Q1046" s="262">
        <v>0.1</v>
      </c>
      <c r="R1046" s="92"/>
    </row>
    <row r="1047" spans="1:18" x14ac:dyDescent="0.25">
      <c r="A1047" s="326">
        <v>2003</v>
      </c>
      <c r="B1047" s="326" t="s">
        <v>285</v>
      </c>
      <c r="C1047" s="264" t="s">
        <v>728</v>
      </c>
      <c r="D1047" s="157" t="s">
        <v>734</v>
      </c>
      <c r="E1047" s="44">
        <v>37802</v>
      </c>
      <c r="F1047" s="146" t="str">
        <f t="shared" si="91"/>
        <v>2002-03</v>
      </c>
      <c r="G1047" s="1"/>
      <c r="H1047" s="161"/>
      <c r="I1047" s="37"/>
      <c r="J1047" s="135">
        <f t="shared" si="90"/>
        <v>0.9161881535038825</v>
      </c>
      <c r="K1047" s="112"/>
      <c r="L1047" s="37">
        <v>1</v>
      </c>
      <c r="M1047" s="37" t="s">
        <v>529</v>
      </c>
      <c r="N1047" s="37">
        <v>571413.66627520381</v>
      </c>
      <c r="O1047" s="130">
        <f t="shared" si="92"/>
        <v>571413.66627520381</v>
      </c>
      <c r="P1047" s="132">
        <f t="shared" si="93"/>
        <v>104704.48635831254</v>
      </c>
      <c r="Q1047" s="262">
        <v>0.2</v>
      </c>
      <c r="R1047" s="92"/>
    </row>
    <row r="1048" spans="1:18" x14ac:dyDescent="0.25">
      <c r="A1048" s="326">
        <v>2003</v>
      </c>
      <c r="B1048" s="326" t="s">
        <v>285</v>
      </c>
      <c r="C1048" s="264" t="s">
        <v>728</v>
      </c>
      <c r="D1048" s="157" t="s">
        <v>669</v>
      </c>
      <c r="E1048" s="44">
        <v>37802</v>
      </c>
      <c r="F1048" s="146" t="str">
        <f t="shared" si="91"/>
        <v>2002-03</v>
      </c>
      <c r="G1048" s="1"/>
      <c r="H1048" s="161"/>
      <c r="I1048" s="37"/>
      <c r="J1048" s="135">
        <f t="shared" si="90"/>
        <v>0.9161881535038825</v>
      </c>
      <c r="K1048" s="112"/>
      <c r="L1048" s="37">
        <v>1</v>
      </c>
      <c r="M1048" s="37" t="s">
        <v>529</v>
      </c>
      <c r="N1048" s="37">
        <v>730044.5670984867</v>
      </c>
      <c r="O1048" s="130">
        <f t="shared" si="92"/>
        <v>730044.5670984867</v>
      </c>
      <c r="P1048" s="132">
        <f t="shared" si="93"/>
        <v>66885.818390550383</v>
      </c>
      <c r="Q1048" s="262">
        <v>0.1</v>
      </c>
      <c r="R1048" s="92"/>
    </row>
    <row r="1049" spans="1:18" x14ac:dyDescent="0.25">
      <c r="A1049" s="326">
        <v>2003</v>
      </c>
      <c r="B1049" s="326" t="s">
        <v>285</v>
      </c>
      <c r="C1049" s="264" t="s">
        <v>728</v>
      </c>
      <c r="D1049" s="157" t="s">
        <v>735</v>
      </c>
      <c r="E1049" s="44">
        <v>37802</v>
      </c>
      <c r="F1049" s="146" t="str">
        <f t="shared" si="91"/>
        <v>2002-03</v>
      </c>
      <c r="G1049" s="1"/>
      <c r="H1049" s="161"/>
      <c r="I1049" s="37"/>
      <c r="J1049" s="135">
        <f t="shared" si="90"/>
        <v>0.9161881535038825</v>
      </c>
      <c r="K1049" s="112"/>
      <c r="L1049" s="37">
        <v>1</v>
      </c>
      <c r="M1049" s="37" t="s">
        <v>529</v>
      </c>
      <c r="N1049" s="37">
        <v>448801.63898207224</v>
      </c>
      <c r="O1049" s="130">
        <f t="shared" si="92"/>
        <v>448801.63898207224</v>
      </c>
      <c r="P1049" s="132">
        <f t="shared" si="93"/>
        <v>41118.674490850091</v>
      </c>
      <c r="Q1049" s="262">
        <v>0.1</v>
      </c>
      <c r="R1049" s="92"/>
    </row>
    <row r="1050" spans="1:18" x14ac:dyDescent="0.25">
      <c r="A1050" s="326">
        <v>2003</v>
      </c>
      <c r="B1050" s="326" t="s">
        <v>285</v>
      </c>
      <c r="C1050" s="264" t="s">
        <v>728</v>
      </c>
      <c r="D1050" s="157" t="s">
        <v>736</v>
      </c>
      <c r="E1050" s="44">
        <v>37802</v>
      </c>
      <c r="F1050" s="146" t="str">
        <f t="shared" si="91"/>
        <v>2002-03</v>
      </c>
      <c r="G1050" s="1"/>
      <c r="H1050" s="161"/>
      <c r="I1050" s="37"/>
      <c r="J1050" s="135">
        <f t="shared" si="90"/>
        <v>0.9161881535038825</v>
      </c>
      <c r="K1050" s="112"/>
      <c r="L1050" s="37">
        <v>1</v>
      </c>
      <c r="M1050" s="37" t="s">
        <v>529</v>
      </c>
      <c r="N1050" s="37">
        <v>1118804.5494398137</v>
      </c>
      <c r="O1050" s="130">
        <f t="shared" si="92"/>
        <v>1118804.5494398137</v>
      </c>
      <c r="P1050" s="132">
        <f t="shared" si="93"/>
        <v>153755.32114245091</v>
      </c>
      <c r="Q1050" s="262">
        <v>0.15</v>
      </c>
      <c r="R1050" s="92"/>
    </row>
    <row r="1051" spans="1:18" x14ac:dyDescent="0.25">
      <c r="A1051" s="326">
        <v>2003</v>
      </c>
      <c r="B1051" s="326" t="s">
        <v>285</v>
      </c>
      <c r="C1051" s="264" t="s">
        <v>728</v>
      </c>
      <c r="D1051" s="157" t="s">
        <v>737</v>
      </c>
      <c r="E1051" s="44">
        <v>37802</v>
      </c>
      <c r="F1051" s="146" t="str">
        <f t="shared" si="91"/>
        <v>2002-03</v>
      </c>
      <c r="G1051" s="1"/>
      <c r="H1051" s="161"/>
      <c r="I1051" s="37"/>
      <c r="J1051" s="135">
        <f t="shared" si="90"/>
        <v>0.9161881535038825</v>
      </c>
      <c r="K1051" s="112"/>
      <c r="L1051" s="37">
        <v>1</v>
      </c>
      <c r="M1051" s="37" t="s">
        <v>529</v>
      </c>
      <c r="N1051" s="37">
        <v>840824.78985052381</v>
      </c>
      <c r="O1051" s="130">
        <f t="shared" si="92"/>
        <v>840824.78985052381</v>
      </c>
      <c r="P1051" s="132">
        <f t="shared" si="93"/>
        <v>154070.74232668831</v>
      </c>
      <c r="Q1051" s="262">
        <v>0.2</v>
      </c>
      <c r="R1051" s="92"/>
    </row>
    <row r="1052" spans="1:18" x14ac:dyDescent="0.25">
      <c r="A1052" s="326">
        <v>2003</v>
      </c>
      <c r="B1052" s="326" t="s">
        <v>285</v>
      </c>
      <c r="C1052" s="264" t="s">
        <v>728</v>
      </c>
      <c r="D1052" s="157" t="s">
        <v>658</v>
      </c>
      <c r="E1052" s="44">
        <v>37802</v>
      </c>
      <c r="F1052" s="146" t="str">
        <f t="shared" si="91"/>
        <v>2002-03</v>
      </c>
      <c r="G1052" s="1"/>
      <c r="H1052" s="161"/>
      <c r="I1052" s="37"/>
      <c r="J1052" s="135">
        <f t="shared" si="90"/>
        <v>0.9161881535038825</v>
      </c>
      <c r="K1052" s="112"/>
      <c r="L1052" s="37">
        <v>1</v>
      </c>
      <c r="M1052" s="37" t="s">
        <v>529</v>
      </c>
      <c r="N1052" s="37">
        <v>1198264.1526565775</v>
      </c>
      <c r="O1052" s="130">
        <f t="shared" si="92"/>
        <v>1198264.1526565775</v>
      </c>
      <c r="P1052" s="132">
        <f t="shared" si="93"/>
        <v>109783.54214323242</v>
      </c>
      <c r="Q1052" s="262">
        <v>0.1</v>
      </c>
      <c r="R1052" s="92"/>
    </row>
    <row r="1053" spans="1:18" x14ac:dyDescent="0.25">
      <c r="A1053" s="326">
        <v>39414</v>
      </c>
      <c r="B1053" s="326" t="s">
        <v>285</v>
      </c>
      <c r="C1053" s="264"/>
      <c r="D1053" s="157" t="s">
        <v>738</v>
      </c>
      <c r="E1053" s="44">
        <v>39414</v>
      </c>
      <c r="F1053" s="146" t="str">
        <f t="shared" si="91"/>
        <v>2007-08</v>
      </c>
      <c r="G1053" s="1"/>
      <c r="H1053" s="161"/>
      <c r="I1053" s="37"/>
      <c r="J1053" s="135">
        <f t="shared" ref="J1053:J1082" si="94">J1052</f>
        <v>0.9161881535038825</v>
      </c>
      <c r="K1053" s="112"/>
      <c r="L1053" s="37">
        <v>1</v>
      </c>
      <c r="M1053" s="37" t="s">
        <v>529</v>
      </c>
      <c r="N1053" s="37">
        <v>720689.28920642019</v>
      </c>
      <c r="O1053" s="130">
        <f t="shared" si="92"/>
        <v>720689.28920642019</v>
      </c>
      <c r="P1053" s="132">
        <f t="shared" si="93"/>
        <v>660286.98912805563</v>
      </c>
      <c r="Q1053" s="262">
        <v>1</v>
      </c>
      <c r="R1053" s="92"/>
    </row>
    <row r="1054" spans="1:18" x14ac:dyDescent="0.25">
      <c r="C1054" s="264"/>
      <c r="D1054" s="157"/>
      <c r="E1054" s="44"/>
      <c r="F1054" s="146" t="str">
        <f t="shared" si="91"/>
        <v>-</v>
      </c>
      <c r="G1054" s="1"/>
      <c r="H1054" s="161"/>
      <c r="I1054" s="37"/>
      <c r="J1054" s="135">
        <f t="shared" si="94"/>
        <v>0.9161881535038825</v>
      </c>
      <c r="K1054" s="112"/>
      <c r="L1054" s="37"/>
      <c r="M1054" s="37"/>
      <c r="N1054" s="37"/>
      <c r="O1054" s="130" t="str">
        <f t="shared" si="92"/>
        <v>-</v>
      </c>
      <c r="P1054" s="132"/>
      <c r="Q1054" s="262"/>
      <c r="R1054" s="92"/>
    </row>
    <row r="1055" spans="1:18" ht="34.5" x14ac:dyDescent="0.25">
      <c r="A1055" s="326">
        <v>1996</v>
      </c>
      <c r="B1055" s="326" t="s">
        <v>287</v>
      </c>
      <c r="C1055" s="264"/>
      <c r="D1055" s="157" t="s">
        <v>739</v>
      </c>
      <c r="E1055" s="44">
        <v>35246</v>
      </c>
      <c r="F1055" s="146" t="str">
        <f t="shared" si="91"/>
        <v>1995-96</v>
      </c>
      <c r="G1055" s="1"/>
      <c r="H1055" s="161"/>
      <c r="I1055" s="37"/>
      <c r="J1055" s="135">
        <f t="shared" si="94"/>
        <v>0.9161881535038825</v>
      </c>
      <c r="K1055" s="112"/>
      <c r="L1055" s="37">
        <v>1</v>
      </c>
      <c r="M1055" s="37" t="s">
        <v>530</v>
      </c>
      <c r="N1055" s="37">
        <v>31861699.757869251</v>
      </c>
      <c r="O1055" s="130">
        <f t="shared" si="92"/>
        <v>31861699.757869251</v>
      </c>
      <c r="P1055" s="132">
        <f t="shared" si="93"/>
        <v>29191311.868657328</v>
      </c>
      <c r="Q1055" s="262">
        <v>1</v>
      </c>
      <c r="R1055" s="92"/>
    </row>
    <row r="1056" spans="1:18" ht="23" x14ac:dyDescent="0.25">
      <c r="A1056" s="326">
        <v>1999</v>
      </c>
      <c r="B1056" s="326" t="s">
        <v>287</v>
      </c>
      <c r="C1056" s="264"/>
      <c r="D1056" s="157" t="s">
        <v>740</v>
      </c>
      <c r="E1056" s="44">
        <v>36341</v>
      </c>
      <c r="F1056" s="146" t="str">
        <f t="shared" si="91"/>
        <v>1998-99</v>
      </c>
      <c r="G1056" s="1"/>
      <c r="H1056" s="161"/>
      <c r="I1056" s="37"/>
      <c r="J1056" s="135">
        <f t="shared" si="94"/>
        <v>0.9161881535038825</v>
      </c>
      <c r="K1056" s="112"/>
      <c r="L1056" s="37">
        <v>1</v>
      </c>
      <c r="M1056" s="37" t="s">
        <v>530</v>
      </c>
      <c r="N1056" s="37">
        <v>4153685.2300242134</v>
      </c>
      <c r="O1056" s="130">
        <f t="shared" si="92"/>
        <v>4153685.2300242134</v>
      </c>
      <c r="P1056" s="132">
        <f t="shared" si="93"/>
        <v>3805557.2011322337</v>
      </c>
      <c r="Q1056" s="262">
        <v>1</v>
      </c>
      <c r="R1056" s="92"/>
    </row>
    <row r="1057" spans="1:18" x14ac:dyDescent="0.25">
      <c r="A1057" s="326">
        <v>2002</v>
      </c>
      <c r="B1057" s="326" t="s">
        <v>287</v>
      </c>
      <c r="C1057" s="264"/>
      <c r="D1057" s="157" t="s">
        <v>741</v>
      </c>
      <c r="E1057" s="44">
        <v>37437</v>
      </c>
      <c r="F1057" s="146" t="str">
        <f t="shared" si="91"/>
        <v>2001-02</v>
      </c>
      <c r="G1057" s="1"/>
      <c r="H1057" s="161"/>
      <c r="I1057" s="37"/>
      <c r="J1057" s="135">
        <f t="shared" si="94"/>
        <v>0.9161881535038825</v>
      </c>
      <c r="K1057" s="112"/>
      <c r="L1057" s="37">
        <v>1</v>
      </c>
      <c r="M1057" s="37" t="s">
        <v>530</v>
      </c>
      <c r="N1057" s="37">
        <v>509032.46397599531</v>
      </c>
      <c r="O1057" s="130">
        <f t="shared" si="92"/>
        <v>509032.46397599531</v>
      </c>
      <c r="P1057" s="132">
        <f t="shared" si="93"/>
        <v>466369.51324369875</v>
      </c>
      <c r="Q1057" s="262">
        <v>1</v>
      </c>
      <c r="R1057" s="92"/>
    </row>
    <row r="1058" spans="1:18" x14ac:dyDescent="0.25">
      <c r="C1058" s="264"/>
      <c r="D1058" s="157"/>
      <c r="E1058" s="44"/>
      <c r="F1058" s="146" t="str">
        <f t="shared" si="91"/>
        <v>-</v>
      </c>
      <c r="G1058" s="1"/>
      <c r="H1058" s="161"/>
      <c r="I1058" s="37"/>
      <c r="J1058" s="135">
        <f t="shared" si="94"/>
        <v>0.9161881535038825</v>
      </c>
      <c r="K1058" s="112"/>
      <c r="L1058" s="37"/>
      <c r="M1058" s="37"/>
      <c r="N1058" s="37"/>
      <c r="O1058" s="130" t="str">
        <f t="shared" si="92"/>
        <v>-</v>
      </c>
      <c r="P1058" s="132" t="e">
        <f t="shared" si="93"/>
        <v>#VALUE!</v>
      </c>
      <c r="Q1058" s="262"/>
      <c r="R1058" s="92"/>
    </row>
    <row r="1059" spans="1:18" x14ac:dyDescent="0.25">
      <c r="A1059" s="326">
        <v>38854</v>
      </c>
      <c r="B1059" s="326" t="s">
        <v>805</v>
      </c>
      <c r="C1059" s="264"/>
      <c r="D1059" s="157" t="s">
        <v>742</v>
      </c>
      <c r="E1059" s="44">
        <v>38854</v>
      </c>
      <c r="F1059" s="146" t="str">
        <f t="shared" si="91"/>
        <v>2005-06</v>
      </c>
      <c r="G1059" s="1"/>
      <c r="H1059" s="161"/>
      <c r="I1059" s="37"/>
      <c r="J1059" s="135">
        <f t="shared" si="94"/>
        <v>0.9161881535038825</v>
      </c>
      <c r="K1059" s="112"/>
      <c r="L1059" s="37">
        <v>10.661773847399999</v>
      </c>
      <c r="M1059" s="37" t="s">
        <v>509</v>
      </c>
      <c r="N1059" s="37">
        <v>1162.6195121951216</v>
      </c>
      <c r="O1059" s="130">
        <f t="shared" si="92"/>
        <v>12395.586309598892</v>
      </c>
      <c r="P1059" s="132">
        <f t="shared" si="93"/>
        <v>11356.689332589414</v>
      </c>
      <c r="Q1059" s="262">
        <v>1</v>
      </c>
      <c r="R1059" s="92"/>
    </row>
    <row r="1060" spans="1:18" x14ac:dyDescent="0.25">
      <c r="A1060" s="326">
        <v>38991</v>
      </c>
      <c r="B1060" s="326" t="s">
        <v>805</v>
      </c>
      <c r="C1060" s="264" t="s">
        <v>743</v>
      </c>
      <c r="D1060" s="157" t="s">
        <v>742</v>
      </c>
      <c r="E1060" s="44">
        <v>38991</v>
      </c>
      <c r="F1060" s="146" t="str">
        <f t="shared" si="91"/>
        <v>2006-07</v>
      </c>
      <c r="G1060" s="1"/>
      <c r="H1060" s="161"/>
      <c r="I1060" s="37"/>
      <c r="J1060" s="135">
        <f t="shared" si="94"/>
        <v>0.9161881535038825</v>
      </c>
      <c r="K1060" s="112"/>
      <c r="L1060" s="37">
        <v>22.446782152499999</v>
      </c>
      <c r="M1060" s="37" t="s">
        <v>509</v>
      </c>
      <c r="N1060" s="37">
        <v>1162.6195121951216</v>
      </c>
      <c r="O1060" s="130">
        <f t="shared" si="92"/>
        <v>26097.066916489712</v>
      </c>
      <c r="P1060" s="132">
        <f t="shared" si="93"/>
        <v>23909.82355008597</v>
      </c>
      <c r="Q1060" s="262">
        <v>1</v>
      </c>
      <c r="R1060" s="92"/>
    </row>
    <row r="1061" spans="1:18" x14ac:dyDescent="0.25">
      <c r="A1061" s="326">
        <v>38991</v>
      </c>
      <c r="B1061" s="326" t="s">
        <v>805</v>
      </c>
      <c r="C1061" s="264" t="s">
        <v>743</v>
      </c>
      <c r="D1061" s="157" t="s">
        <v>742</v>
      </c>
      <c r="E1061" s="44">
        <v>38991</v>
      </c>
      <c r="F1061" s="146" t="str">
        <f t="shared" si="91"/>
        <v>2006-07</v>
      </c>
      <c r="G1061" s="1"/>
      <c r="H1061" s="161"/>
      <c r="I1061" s="37"/>
      <c r="J1061" s="135">
        <f t="shared" si="94"/>
        <v>0.9161881535038825</v>
      </c>
      <c r="K1061" s="112"/>
      <c r="L1061" s="37">
        <v>12.2026282228</v>
      </c>
      <c r="M1061" s="37" t="s">
        <v>509</v>
      </c>
      <c r="N1061" s="37">
        <v>1162.6195121951216</v>
      </c>
      <c r="O1061" s="130">
        <f t="shared" si="92"/>
        <v>14187.013671890159</v>
      </c>
      <c r="P1061" s="132">
        <f t="shared" si="93"/>
        <v>12997.97385978338</v>
      </c>
      <c r="Q1061" s="262">
        <v>1</v>
      </c>
      <c r="R1061" s="92"/>
    </row>
    <row r="1062" spans="1:18" x14ac:dyDescent="0.25">
      <c r="A1062" s="326">
        <v>38854</v>
      </c>
      <c r="B1062" s="326" t="s">
        <v>805</v>
      </c>
      <c r="C1062" s="264"/>
      <c r="D1062" s="157" t="s">
        <v>742</v>
      </c>
      <c r="E1062" s="44">
        <v>38854</v>
      </c>
      <c r="F1062" s="146" t="str">
        <f t="shared" si="91"/>
        <v>2005-06</v>
      </c>
      <c r="G1062" s="1"/>
      <c r="H1062" s="161"/>
      <c r="I1062" s="37"/>
      <c r="J1062" s="135">
        <f t="shared" si="94"/>
        <v>0.9161881535038825</v>
      </c>
      <c r="K1062" s="112"/>
      <c r="L1062" s="37">
        <v>5.9456994294400003</v>
      </c>
      <c r="M1062" s="37" t="s">
        <v>509</v>
      </c>
      <c r="N1062" s="37">
        <v>1162.6195121951216</v>
      </c>
      <c r="O1062" s="130">
        <f t="shared" si="92"/>
        <v>6912.5861703143464</v>
      </c>
      <c r="P1062" s="132">
        <f t="shared" si="93"/>
        <v>6333.2295593167755</v>
      </c>
      <c r="Q1062" s="262">
        <v>1</v>
      </c>
      <c r="R1062" s="92"/>
    </row>
    <row r="1063" spans="1:18" x14ac:dyDescent="0.25">
      <c r="A1063" s="326">
        <v>38854</v>
      </c>
      <c r="B1063" s="326" t="s">
        <v>805</v>
      </c>
      <c r="C1063" s="264"/>
      <c r="D1063" s="157" t="s">
        <v>742</v>
      </c>
      <c r="E1063" s="44">
        <v>38854</v>
      </c>
      <c r="F1063" s="146" t="str">
        <f t="shared" si="91"/>
        <v>2005-06</v>
      </c>
      <c r="G1063" s="1"/>
      <c r="H1063" s="161"/>
      <c r="I1063" s="37"/>
      <c r="J1063" s="135">
        <f t="shared" si="94"/>
        <v>0.9161881535038825</v>
      </c>
      <c r="K1063" s="112"/>
      <c r="L1063" s="37">
        <v>5.9443440607199998</v>
      </c>
      <c r="M1063" s="37" t="s">
        <v>509</v>
      </c>
      <c r="N1063" s="37">
        <v>1162.6195121951216</v>
      </c>
      <c r="O1063" s="130">
        <f t="shared" si="92"/>
        <v>6911.0103921942546</v>
      </c>
      <c r="P1063" s="132">
        <f t="shared" si="93"/>
        <v>6331.785850070597</v>
      </c>
      <c r="Q1063" s="262">
        <v>1</v>
      </c>
      <c r="R1063" s="92"/>
    </row>
    <row r="1064" spans="1:18" x14ac:dyDescent="0.25">
      <c r="A1064" s="326">
        <v>38991</v>
      </c>
      <c r="B1064" s="326" t="s">
        <v>805</v>
      </c>
      <c r="C1064" s="264" t="s">
        <v>743</v>
      </c>
      <c r="D1064" s="157" t="s">
        <v>742</v>
      </c>
      <c r="E1064" s="44">
        <v>38991</v>
      </c>
      <c r="F1064" s="146" t="str">
        <f t="shared" si="91"/>
        <v>2006-07</v>
      </c>
      <c r="G1064" s="1"/>
      <c r="H1064" s="161"/>
      <c r="I1064" s="37"/>
      <c r="J1064" s="135">
        <f t="shared" si="94"/>
        <v>0.9161881535038825</v>
      </c>
      <c r="K1064" s="112"/>
      <c r="L1064" s="37">
        <v>61.453065136100001</v>
      </c>
      <c r="M1064" s="37" t="s">
        <v>509</v>
      </c>
      <c r="N1064" s="37">
        <v>3875.3912195121943</v>
      </c>
      <c r="O1064" s="130">
        <f t="shared" si="92"/>
        <v>238154.66904055289</v>
      </c>
      <c r="P1064" s="132">
        <f t="shared" si="93"/>
        <v>218194.4864765924</v>
      </c>
      <c r="Q1064" s="262">
        <v>1</v>
      </c>
      <c r="R1064" s="92"/>
    </row>
    <row r="1065" spans="1:18" x14ac:dyDescent="0.25">
      <c r="A1065" s="326">
        <v>38991</v>
      </c>
      <c r="B1065" s="326" t="s">
        <v>805</v>
      </c>
      <c r="C1065" s="264" t="s">
        <v>743</v>
      </c>
      <c r="D1065" s="157" t="s">
        <v>742</v>
      </c>
      <c r="E1065" s="44">
        <v>38991</v>
      </c>
      <c r="F1065" s="146" t="str">
        <f t="shared" si="91"/>
        <v>2006-07</v>
      </c>
      <c r="G1065" s="1"/>
      <c r="H1065" s="161"/>
      <c r="I1065" s="37"/>
      <c r="J1065" s="135">
        <f t="shared" si="94"/>
        <v>0.9161881535038825</v>
      </c>
      <c r="K1065" s="112"/>
      <c r="L1065" s="37">
        <v>0.61502276380599996</v>
      </c>
      <c r="M1065" s="37" t="s">
        <v>509</v>
      </c>
      <c r="N1065" s="37">
        <v>1162.6195121951216</v>
      </c>
      <c r="O1065" s="130">
        <f t="shared" si="92"/>
        <v>715.03746564502717</v>
      </c>
      <c r="P1065" s="132">
        <f t="shared" si="93"/>
        <v>655.1088553354133</v>
      </c>
      <c r="Q1065" s="262">
        <v>1</v>
      </c>
      <c r="R1065" s="92"/>
    </row>
    <row r="1066" spans="1:18" x14ac:dyDescent="0.25">
      <c r="A1066" s="326">
        <v>38991</v>
      </c>
      <c r="B1066" s="326" t="s">
        <v>805</v>
      </c>
      <c r="C1066" s="264" t="s">
        <v>743</v>
      </c>
      <c r="D1066" s="157" t="s">
        <v>742</v>
      </c>
      <c r="E1066" s="44">
        <v>38991</v>
      </c>
      <c r="F1066" s="146" t="str">
        <f t="shared" si="91"/>
        <v>2006-07</v>
      </c>
      <c r="G1066" s="1"/>
      <c r="H1066" s="161"/>
      <c r="I1066" s="37"/>
      <c r="J1066" s="135">
        <f t="shared" si="94"/>
        <v>0.9161881535038825</v>
      </c>
      <c r="K1066" s="112"/>
      <c r="L1066" s="37">
        <v>9.3721376963799994</v>
      </c>
      <c r="M1066" s="37" t="s">
        <v>509</v>
      </c>
      <c r="N1066" s="37">
        <v>1162.6195121951216</v>
      </c>
      <c r="O1066" s="130">
        <f t="shared" si="92"/>
        <v>10896.230156790825</v>
      </c>
      <c r="P1066" s="132">
        <f t="shared" si="93"/>
        <v>9982.9969875035058</v>
      </c>
      <c r="Q1066" s="262">
        <v>1</v>
      </c>
      <c r="R1066" s="92"/>
    </row>
    <row r="1067" spans="1:18" x14ac:dyDescent="0.25">
      <c r="A1067" s="326">
        <v>38991</v>
      </c>
      <c r="B1067" s="326" t="s">
        <v>805</v>
      </c>
      <c r="C1067" s="264" t="s">
        <v>743</v>
      </c>
      <c r="D1067" s="157" t="s">
        <v>742</v>
      </c>
      <c r="E1067" s="44">
        <v>38991</v>
      </c>
      <c r="F1067" s="146" t="str">
        <f t="shared" si="91"/>
        <v>2006-07</v>
      </c>
      <c r="G1067" s="1"/>
      <c r="H1067" s="161"/>
      <c r="I1067" s="37"/>
      <c r="J1067" s="135">
        <f t="shared" si="94"/>
        <v>0.9161881535038825</v>
      </c>
      <c r="K1067" s="112"/>
      <c r="L1067" s="37">
        <v>0.61424587910700001</v>
      </c>
      <c r="M1067" s="37" t="s">
        <v>509</v>
      </c>
      <c r="N1067" s="37">
        <v>1162.6195121951216</v>
      </c>
      <c r="O1067" s="130">
        <f t="shared" si="92"/>
        <v>714.13424433524403</v>
      </c>
      <c r="P1067" s="132">
        <f t="shared" si="93"/>
        <v>654.28133467139764</v>
      </c>
      <c r="Q1067" s="262">
        <v>1</v>
      </c>
      <c r="R1067" s="92"/>
    </row>
    <row r="1068" spans="1:18" x14ac:dyDescent="0.25">
      <c r="A1068" s="326">
        <v>38991</v>
      </c>
      <c r="B1068" s="326" t="s">
        <v>805</v>
      </c>
      <c r="C1068" s="264" t="s">
        <v>743</v>
      </c>
      <c r="D1068" s="157" t="s">
        <v>742</v>
      </c>
      <c r="E1068" s="44">
        <v>38991</v>
      </c>
      <c r="F1068" s="146" t="str">
        <f t="shared" si="91"/>
        <v>2006-07</v>
      </c>
      <c r="G1068" s="1"/>
      <c r="H1068" s="161"/>
      <c r="I1068" s="37"/>
      <c r="J1068" s="135">
        <f t="shared" si="94"/>
        <v>0.9161881535038825</v>
      </c>
      <c r="K1068" s="112"/>
      <c r="L1068" s="37">
        <v>12.6490765671</v>
      </c>
      <c r="M1068" s="37" t="s">
        <v>509</v>
      </c>
      <c r="N1068" s="37">
        <v>1162.6195121951216</v>
      </c>
      <c r="O1068" s="130">
        <f t="shared" si="92"/>
        <v>14706.063228160545</v>
      </c>
      <c r="P1068" s="132">
        <f t="shared" si="93"/>
        <v>13473.520914319755</v>
      </c>
      <c r="Q1068" s="262">
        <v>1</v>
      </c>
      <c r="R1068" s="92"/>
    </row>
    <row r="1069" spans="1:18" x14ac:dyDescent="0.25">
      <c r="A1069" s="326">
        <v>38991</v>
      </c>
      <c r="B1069" s="326" t="s">
        <v>805</v>
      </c>
      <c r="C1069" s="264" t="s">
        <v>743</v>
      </c>
      <c r="D1069" s="157" t="s">
        <v>742</v>
      </c>
      <c r="E1069" s="44">
        <v>38991</v>
      </c>
      <c r="F1069" s="146" t="str">
        <f t="shared" si="91"/>
        <v>2006-07</v>
      </c>
      <c r="G1069" s="1"/>
      <c r="H1069" s="161"/>
      <c r="I1069" s="37"/>
      <c r="J1069" s="135">
        <f t="shared" si="94"/>
        <v>0.9161881535038825</v>
      </c>
      <c r="K1069" s="112"/>
      <c r="L1069" s="37">
        <v>1.08055402456</v>
      </c>
      <c r="M1069" s="37" t="s">
        <v>509</v>
      </c>
      <c r="N1069" s="37">
        <v>1162.6195121951216</v>
      </c>
      <c r="O1069" s="130">
        <f t="shared" si="92"/>
        <v>1256.2731929344227</v>
      </c>
      <c r="P1069" s="132">
        <f t="shared" si="93"/>
        <v>1150.9826169310154</v>
      </c>
      <c r="Q1069" s="262">
        <v>1</v>
      </c>
      <c r="R1069" s="92"/>
    </row>
    <row r="1070" spans="1:18" x14ac:dyDescent="0.25">
      <c r="A1070" s="326">
        <v>38991</v>
      </c>
      <c r="B1070" s="326" t="s">
        <v>805</v>
      </c>
      <c r="C1070" s="264" t="s">
        <v>743</v>
      </c>
      <c r="D1070" s="157" t="s">
        <v>742</v>
      </c>
      <c r="E1070" s="44">
        <v>38991</v>
      </c>
      <c r="F1070" s="146" t="str">
        <f t="shared" si="91"/>
        <v>2006-07</v>
      </c>
      <c r="G1070" s="1"/>
      <c r="H1070" s="161"/>
      <c r="I1070" s="37"/>
      <c r="J1070" s="135">
        <f t="shared" si="94"/>
        <v>0.9161881535038825</v>
      </c>
      <c r="K1070" s="112"/>
      <c r="L1070" s="37">
        <v>5.1911048920200002</v>
      </c>
      <c r="M1070" s="37" t="s">
        <v>509</v>
      </c>
      <c r="N1070" s="37">
        <v>1162.6195121951216</v>
      </c>
      <c r="O1070" s="130">
        <f t="shared" si="92"/>
        <v>6035.2798373140022</v>
      </c>
      <c r="P1070" s="132">
        <f t="shared" si="93"/>
        <v>5529.4518900279281</v>
      </c>
      <c r="Q1070" s="262">
        <v>1</v>
      </c>
      <c r="R1070" s="92"/>
    </row>
    <row r="1071" spans="1:18" x14ac:dyDescent="0.25">
      <c r="A1071" s="326">
        <v>38991</v>
      </c>
      <c r="B1071" s="326" t="s">
        <v>805</v>
      </c>
      <c r="C1071" s="264" t="s">
        <v>743</v>
      </c>
      <c r="D1071" s="157" t="s">
        <v>742</v>
      </c>
      <c r="E1071" s="44">
        <v>38991</v>
      </c>
      <c r="F1071" s="146" t="str">
        <f t="shared" si="91"/>
        <v>2006-07</v>
      </c>
      <c r="G1071" s="1"/>
      <c r="H1071" s="161"/>
      <c r="I1071" s="37"/>
      <c r="J1071" s="135">
        <f t="shared" si="94"/>
        <v>0.9161881535038825</v>
      </c>
      <c r="K1071" s="112"/>
      <c r="L1071" s="37">
        <v>3.3064930061900002</v>
      </c>
      <c r="M1071" s="37" t="s">
        <v>509</v>
      </c>
      <c r="N1071" s="37">
        <v>1162.6195121951216</v>
      </c>
      <c r="O1071" s="130">
        <f t="shared" si="92"/>
        <v>3844.1932859331991</v>
      </c>
      <c r="P1071" s="132">
        <f t="shared" si="93"/>
        <v>3522.0043483511604</v>
      </c>
      <c r="Q1071" s="262">
        <v>1</v>
      </c>
      <c r="R1071" s="92"/>
    </row>
    <row r="1072" spans="1:18" x14ac:dyDescent="0.25">
      <c r="A1072" s="326">
        <v>2005</v>
      </c>
      <c r="B1072" s="326" t="s">
        <v>805</v>
      </c>
      <c r="C1072" s="264" t="s">
        <v>744</v>
      </c>
      <c r="D1072" s="157" t="s">
        <v>742</v>
      </c>
      <c r="E1072" s="44">
        <v>38533</v>
      </c>
      <c r="F1072" s="146" t="str">
        <f t="shared" si="91"/>
        <v>2004-05</v>
      </c>
      <c r="G1072" s="1"/>
      <c r="H1072" s="161"/>
      <c r="I1072" s="37"/>
      <c r="J1072" s="135">
        <f t="shared" si="94"/>
        <v>0.9161881535038825</v>
      </c>
      <c r="K1072" s="112"/>
      <c r="L1072" s="37">
        <v>17.893549284599999</v>
      </c>
      <c r="M1072" s="37" t="s">
        <v>509</v>
      </c>
      <c r="N1072" s="37">
        <v>563.72605355064024</v>
      </c>
      <c r="O1072" s="130">
        <f t="shared" si="92"/>
        <v>10087.059922221439</v>
      </c>
      <c r="P1072" s="132">
        <f t="shared" si="93"/>
        <v>9241.6448044230765</v>
      </c>
      <c r="Q1072" s="262">
        <v>1</v>
      </c>
      <c r="R1072" s="92"/>
    </row>
    <row r="1073" spans="1:18" x14ac:dyDescent="0.25">
      <c r="A1073" s="326">
        <v>2005</v>
      </c>
      <c r="B1073" s="326" t="s">
        <v>805</v>
      </c>
      <c r="C1073" s="264" t="s">
        <v>744</v>
      </c>
      <c r="D1073" s="157" t="s">
        <v>742</v>
      </c>
      <c r="E1073" s="44">
        <v>38533</v>
      </c>
      <c r="F1073" s="146" t="str">
        <f t="shared" si="91"/>
        <v>2004-05</v>
      </c>
      <c r="G1073" s="1"/>
      <c r="H1073" s="161"/>
      <c r="I1073" s="37"/>
      <c r="J1073" s="135">
        <f t="shared" si="94"/>
        <v>0.9161881535038825</v>
      </c>
      <c r="K1073" s="112"/>
      <c r="L1073" s="37">
        <v>21.489352393499999</v>
      </c>
      <c r="M1073" s="37" t="s">
        <v>509</v>
      </c>
      <c r="N1073" s="37">
        <v>563.72605355064024</v>
      </c>
      <c r="O1073" s="130">
        <f t="shared" si="92"/>
        <v>12114.10781814676</v>
      </c>
      <c r="P1073" s="132">
        <f t="shared" si="93"/>
        <v>11098.802073254827</v>
      </c>
      <c r="Q1073" s="262">
        <v>1</v>
      </c>
      <c r="R1073" s="92"/>
    </row>
    <row r="1074" spans="1:18" x14ac:dyDescent="0.25">
      <c r="A1074" s="326">
        <v>2005</v>
      </c>
      <c r="B1074" s="326" t="s">
        <v>805</v>
      </c>
      <c r="C1074" s="264" t="s">
        <v>744</v>
      </c>
      <c r="D1074" s="157" t="s">
        <v>742</v>
      </c>
      <c r="E1074" s="44">
        <v>38533</v>
      </c>
      <c r="F1074" s="146" t="str">
        <f t="shared" si="91"/>
        <v>2004-05</v>
      </c>
      <c r="G1074" s="1"/>
      <c r="H1074" s="161"/>
      <c r="I1074" s="37"/>
      <c r="J1074" s="135">
        <f t="shared" si="94"/>
        <v>0.9161881535038825</v>
      </c>
      <c r="K1074" s="112"/>
      <c r="L1074" s="37">
        <v>19.0244816224</v>
      </c>
      <c r="M1074" s="37" t="s">
        <v>509</v>
      </c>
      <c r="N1074" s="37">
        <v>563.72605355064024</v>
      </c>
      <c r="O1074" s="130">
        <f t="shared" si="92"/>
        <v>10724.595945842233</v>
      </c>
      <c r="P1074" s="132">
        <f t="shared" si="93"/>
        <v>9825.7477566964189</v>
      </c>
      <c r="Q1074" s="262">
        <v>1</v>
      </c>
      <c r="R1074" s="92"/>
    </row>
    <row r="1075" spans="1:18" x14ac:dyDescent="0.25">
      <c r="A1075" s="326">
        <v>2005</v>
      </c>
      <c r="B1075" s="326" t="s">
        <v>805</v>
      </c>
      <c r="C1075" s="264" t="s">
        <v>744</v>
      </c>
      <c r="D1075" s="157" t="s">
        <v>742</v>
      </c>
      <c r="E1075" s="44">
        <v>38533</v>
      </c>
      <c r="F1075" s="146" t="str">
        <f t="shared" si="91"/>
        <v>2004-05</v>
      </c>
      <c r="G1075" s="1"/>
      <c r="H1075" s="161"/>
      <c r="I1075" s="37"/>
      <c r="J1075" s="135">
        <f t="shared" si="94"/>
        <v>0.9161881535038825</v>
      </c>
      <c r="K1075" s="112"/>
      <c r="L1075" s="37">
        <v>16.673660509499999</v>
      </c>
      <c r="M1075" s="37" t="s">
        <v>509</v>
      </c>
      <c r="N1075" s="37">
        <v>563.72605355064024</v>
      </c>
      <c r="O1075" s="130">
        <f t="shared" si="92"/>
        <v>9399.3768372635914</v>
      </c>
      <c r="P1075" s="132">
        <f t="shared" si="93"/>
        <v>8611.5977086196926</v>
      </c>
      <c r="Q1075" s="262">
        <v>1</v>
      </c>
      <c r="R1075" s="92"/>
    </row>
    <row r="1076" spans="1:18" x14ac:dyDescent="0.25">
      <c r="C1076" s="264"/>
      <c r="D1076" s="157"/>
      <c r="E1076" s="44"/>
      <c r="F1076" s="146" t="str">
        <f t="shared" si="91"/>
        <v>-</v>
      </c>
      <c r="G1076" s="1"/>
      <c r="H1076" s="161"/>
      <c r="I1076" s="37"/>
      <c r="J1076" s="135">
        <f t="shared" si="94"/>
        <v>0.9161881535038825</v>
      </c>
      <c r="K1076" s="112"/>
      <c r="L1076" s="37"/>
      <c r="M1076" s="37"/>
      <c r="N1076" s="37"/>
      <c r="O1076" s="130"/>
      <c r="P1076" s="132"/>
      <c r="Q1076" s="262"/>
      <c r="R1076" s="92"/>
    </row>
    <row r="1077" spans="1:18" x14ac:dyDescent="0.25">
      <c r="A1077" s="326">
        <v>38838</v>
      </c>
      <c r="B1077" s="326" t="s">
        <v>285</v>
      </c>
      <c r="C1077" s="264"/>
      <c r="D1077" s="157" t="s">
        <v>738</v>
      </c>
      <c r="E1077" s="44">
        <v>38838</v>
      </c>
      <c r="F1077" s="146" t="str">
        <f t="shared" si="91"/>
        <v>2005-06</v>
      </c>
      <c r="G1077" s="1"/>
      <c r="H1077" s="161"/>
      <c r="I1077" s="37"/>
      <c r="J1077" s="135">
        <f t="shared" si="94"/>
        <v>0.9161881535038825</v>
      </c>
      <c r="K1077" s="112"/>
      <c r="L1077" s="37">
        <v>1</v>
      </c>
      <c r="M1077" s="37" t="s">
        <v>529</v>
      </c>
      <c r="N1077" s="37">
        <v>1488215.1125715463</v>
      </c>
      <c r="O1077" s="130">
        <f t="shared" si="92"/>
        <v>1488215.1125715463</v>
      </c>
      <c r="P1077" s="132">
        <f t="shared" si="93"/>
        <v>1363485.0560034977</v>
      </c>
      <c r="Q1077" s="262">
        <v>1</v>
      </c>
      <c r="R1077" s="92"/>
    </row>
    <row r="1078" spans="1:18" x14ac:dyDescent="0.25">
      <c r="C1078" s="264"/>
      <c r="D1078" s="157"/>
      <c r="E1078" s="44"/>
      <c r="F1078" s="146" t="str">
        <f t="shared" si="91"/>
        <v>-</v>
      </c>
      <c r="G1078" s="1"/>
      <c r="H1078" s="161"/>
      <c r="I1078" s="37"/>
      <c r="J1078" s="135">
        <f t="shared" si="94"/>
        <v>0.9161881535038825</v>
      </c>
      <c r="K1078" s="112"/>
      <c r="L1078" s="37"/>
      <c r="M1078" s="37"/>
      <c r="N1078" s="37"/>
      <c r="O1078" s="130"/>
      <c r="P1078" s="132"/>
      <c r="Q1078" s="262"/>
      <c r="R1078" s="92"/>
    </row>
    <row r="1079" spans="1:18" ht="34.5" x14ac:dyDescent="0.25">
      <c r="A1079" s="326">
        <v>1996</v>
      </c>
      <c r="B1079" s="326" t="s">
        <v>287</v>
      </c>
      <c r="C1079" s="264"/>
      <c r="D1079" s="157" t="s">
        <v>745</v>
      </c>
      <c r="E1079" s="44">
        <v>35246</v>
      </c>
      <c r="F1079" s="146" t="str">
        <f t="shared" si="91"/>
        <v>1995-96</v>
      </c>
      <c r="G1079" s="1"/>
      <c r="H1079" s="161"/>
      <c r="I1079" s="37"/>
      <c r="J1079" s="135">
        <f t="shared" si="94"/>
        <v>0.9161881535038825</v>
      </c>
      <c r="K1079" s="112"/>
      <c r="L1079" s="37">
        <v>1</v>
      </c>
      <c r="M1079" s="37" t="s">
        <v>530</v>
      </c>
      <c r="N1079" s="37">
        <v>13772745.762711866</v>
      </c>
      <c r="O1079" s="130">
        <f t="shared" si="92"/>
        <v>13772745.762711866</v>
      </c>
      <c r="P1079" s="132">
        <f t="shared" si="93"/>
        <v>12618426.509017406</v>
      </c>
      <c r="Q1079" s="262">
        <v>1</v>
      </c>
      <c r="R1079" s="92"/>
    </row>
    <row r="1080" spans="1:18" ht="23" x14ac:dyDescent="0.25">
      <c r="A1080" s="326">
        <v>1999</v>
      </c>
      <c r="B1080" s="326" t="s">
        <v>287</v>
      </c>
      <c r="C1080" s="264"/>
      <c r="D1080" s="157" t="s">
        <v>746</v>
      </c>
      <c r="E1080" s="44">
        <v>36341</v>
      </c>
      <c r="F1080" s="146" t="str">
        <f t="shared" si="91"/>
        <v>1998-99</v>
      </c>
      <c r="G1080" s="1"/>
      <c r="H1080" s="161"/>
      <c r="I1080" s="37"/>
      <c r="J1080" s="135">
        <f t="shared" si="94"/>
        <v>0.9161881535038825</v>
      </c>
      <c r="K1080" s="112"/>
      <c r="L1080" s="37">
        <v>1</v>
      </c>
      <c r="M1080" s="37" t="s">
        <v>530</v>
      </c>
      <c r="N1080" s="37">
        <v>303472.15496368043</v>
      </c>
      <c r="O1080" s="130">
        <f t="shared" si="92"/>
        <v>303472.15496368043</v>
      </c>
      <c r="P1080" s="132">
        <f t="shared" si="93"/>
        <v>278037.59329601849</v>
      </c>
      <c r="Q1080" s="262">
        <v>1</v>
      </c>
      <c r="R1080" s="92"/>
    </row>
    <row r="1081" spans="1:18" x14ac:dyDescent="0.25">
      <c r="A1081" s="326">
        <v>2001</v>
      </c>
      <c r="B1081" s="326" t="s">
        <v>287</v>
      </c>
      <c r="C1081" s="264"/>
      <c r="D1081" s="157" t="s">
        <v>747</v>
      </c>
      <c r="E1081" s="44">
        <v>37072</v>
      </c>
      <c r="F1081" s="146" t="str">
        <f t="shared" si="91"/>
        <v>2000-01</v>
      </c>
      <c r="G1081" s="1"/>
      <c r="H1081" s="161"/>
      <c r="I1081" s="37"/>
      <c r="J1081" s="135">
        <f t="shared" si="94"/>
        <v>0.9161881535038825</v>
      </c>
      <c r="K1081" s="112"/>
      <c r="L1081" s="37">
        <v>1</v>
      </c>
      <c r="M1081" s="37" t="s">
        <v>530</v>
      </c>
      <c r="N1081" s="37">
        <v>238750.60532687654</v>
      </c>
      <c r="O1081" s="130">
        <f t="shared" si="92"/>
        <v>238750.60532687654</v>
      </c>
      <c r="P1081" s="132">
        <f t="shared" si="93"/>
        <v>218740.47624236523</v>
      </c>
      <c r="Q1081" s="262">
        <v>1</v>
      </c>
      <c r="R1081" s="92"/>
    </row>
    <row r="1082" spans="1:18" x14ac:dyDescent="0.25">
      <c r="A1082" s="326">
        <v>2002</v>
      </c>
      <c r="B1082" s="326" t="s">
        <v>287</v>
      </c>
      <c r="C1082" s="264"/>
      <c r="D1082" s="157" t="s">
        <v>748</v>
      </c>
      <c r="E1082" s="44">
        <v>37437</v>
      </c>
      <c r="F1082" s="146" t="str">
        <f t="shared" si="91"/>
        <v>2001-02</v>
      </c>
      <c r="G1082" s="1"/>
      <c r="H1082" s="161"/>
      <c r="I1082" s="37"/>
      <c r="J1082" s="135">
        <f t="shared" si="94"/>
        <v>0.9161881535038825</v>
      </c>
      <c r="K1082" s="112"/>
      <c r="L1082" s="37">
        <v>1</v>
      </c>
      <c r="M1082" s="37" t="s">
        <v>530</v>
      </c>
      <c r="N1082" s="37">
        <v>2539989.8762135599</v>
      </c>
      <c r="O1082" s="130">
        <f t="shared" si="92"/>
        <v>2539989.8762135599</v>
      </c>
      <c r="P1082" s="132">
        <f t="shared" si="93"/>
        <v>2327108.6346066566</v>
      </c>
      <c r="Q1082" s="262">
        <v>1</v>
      </c>
      <c r="R1082" s="92"/>
    </row>
    <row r="1083" spans="1:18" x14ac:dyDescent="0.25">
      <c r="C1083" s="264"/>
      <c r="D1083" s="157"/>
      <c r="E1083" s="44"/>
      <c r="F1083" s="146"/>
      <c r="G1083" s="1"/>
      <c r="H1083" s="161"/>
      <c r="I1083" s="37"/>
      <c r="J1083" s="135"/>
      <c r="K1083" s="112"/>
      <c r="L1083" s="37"/>
      <c r="M1083" s="37"/>
      <c r="N1083" s="37"/>
      <c r="O1083" s="130"/>
      <c r="P1083" s="132"/>
      <c r="Q1083" s="262"/>
      <c r="R1083" s="92"/>
    </row>
    <row r="1084" spans="1:18" x14ac:dyDescent="0.25">
      <c r="C1084" s="264"/>
      <c r="D1084" s="157"/>
      <c r="E1084" s="44"/>
      <c r="F1084" s="146"/>
      <c r="G1084" s="1"/>
      <c r="H1084" s="161"/>
      <c r="I1084" s="37"/>
      <c r="J1084" s="135"/>
      <c r="K1084" s="112"/>
      <c r="L1084" s="37"/>
      <c r="M1084" s="37"/>
      <c r="N1084" s="37"/>
      <c r="O1084" s="130"/>
      <c r="P1084" s="132"/>
      <c r="Q1084" s="262"/>
      <c r="R1084" s="92"/>
    </row>
    <row r="1085" spans="1:18" x14ac:dyDescent="0.25">
      <c r="C1085" s="264"/>
      <c r="D1085" s="157"/>
      <c r="E1085" s="44"/>
      <c r="F1085" s="146"/>
      <c r="G1085" s="1"/>
      <c r="H1085" s="161"/>
      <c r="I1085" s="37"/>
      <c r="J1085" s="135"/>
      <c r="K1085" s="112"/>
      <c r="L1085" s="37"/>
      <c r="M1085" s="37"/>
      <c r="N1085" s="37"/>
      <c r="O1085" s="130"/>
      <c r="P1085" s="132"/>
      <c r="Q1085" s="262"/>
      <c r="R1085" s="92"/>
    </row>
    <row r="1086" spans="1:18" x14ac:dyDescent="0.25">
      <c r="C1086" s="264"/>
      <c r="D1086" s="157"/>
      <c r="E1086" s="44"/>
      <c r="F1086" s="146"/>
      <c r="G1086" s="1"/>
      <c r="H1086" s="161"/>
      <c r="I1086" s="37"/>
      <c r="J1086" s="135"/>
      <c r="K1086" s="112"/>
      <c r="L1086" s="37"/>
      <c r="M1086" s="37"/>
      <c r="N1086" s="37"/>
      <c r="O1086" s="130"/>
      <c r="P1086" s="132"/>
      <c r="Q1086" s="262"/>
      <c r="R1086" s="92"/>
    </row>
    <row r="1087" spans="1:18" x14ac:dyDescent="0.25">
      <c r="C1087" s="264"/>
      <c r="D1087" s="157"/>
      <c r="E1087" s="44"/>
      <c r="F1087" s="146"/>
      <c r="G1087" s="1"/>
      <c r="H1087" s="161"/>
      <c r="I1087" s="37"/>
      <c r="J1087" s="135"/>
      <c r="K1087" s="112"/>
      <c r="L1087" s="37"/>
      <c r="M1087" s="37"/>
      <c r="N1087" s="37"/>
      <c r="O1087" s="130"/>
      <c r="P1087" s="132"/>
      <c r="Q1087" s="262"/>
      <c r="R1087" s="92"/>
    </row>
    <row r="1088" spans="1:18" x14ac:dyDescent="0.25">
      <c r="C1088" s="264"/>
      <c r="D1088" s="157"/>
      <c r="E1088" s="44"/>
      <c r="F1088" s="146"/>
      <c r="G1088" s="1"/>
      <c r="H1088" s="161"/>
      <c r="I1088" s="37"/>
      <c r="J1088" s="135"/>
      <c r="K1088" s="112"/>
      <c r="L1088" s="37"/>
      <c r="M1088" s="37"/>
      <c r="N1088" s="37"/>
      <c r="O1088" s="130"/>
      <c r="P1088" s="132"/>
      <c r="Q1088" s="262"/>
      <c r="R1088" s="92"/>
    </row>
    <row r="1089" spans="3:18" x14ac:dyDescent="0.25">
      <c r="C1089" s="264"/>
      <c r="D1089" s="157"/>
      <c r="E1089" s="44"/>
      <c r="F1089" s="146"/>
      <c r="G1089" s="1"/>
      <c r="H1089" s="161"/>
      <c r="I1089" s="37"/>
      <c r="J1089" s="135"/>
      <c r="K1089" s="112"/>
      <c r="L1089" s="37"/>
      <c r="M1089" s="37"/>
      <c r="N1089" s="37"/>
      <c r="O1089" s="130"/>
      <c r="P1089" s="132"/>
      <c r="Q1089" s="262"/>
      <c r="R1089" s="92"/>
    </row>
    <row r="1090" spans="3:18" x14ac:dyDescent="0.25">
      <c r="C1090" s="264"/>
      <c r="D1090" s="157"/>
      <c r="E1090" s="44"/>
      <c r="F1090" s="146"/>
      <c r="G1090" s="1"/>
      <c r="H1090" s="161"/>
      <c r="I1090" s="37"/>
      <c r="J1090" s="135"/>
      <c r="K1090" s="112"/>
      <c r="L1090" s="37"/>
      <c r="M1090" s="37"/>
      <c r="N1090" s="37"/>
      <c r="O1090" s="130"/>
      <c r="P1090" s="132"/>
      <c r="Q1090" s="262"/>
      <c r="R1090" s="92"/>
    </row>
    <row r="1091" spans="3:18" x14ac:dyDescent="0.25">
      <c r="C1091" s="264"/>
      <c r="D1091" s="157"/>
      <c r="E1091" s="44"/>
      <c r="F1091" s="146"/>
      <c r="G1091" s="1"/>
      <c r="H1091" s="161"/>
      <c r="I1091" s="37"/>
      <c r="J1091" s="135"/>
      <c r="K1091" s="112"/>
      <c r="L1091" s="37"/>
      <c r="M1091" s="37"/>
      <c r="N1091" s="37"/>
      <c r="O1091" s="130"/>
      <c r="P1091" s="132"/>
      <c r="Q1091" s="262"/>
      <c r="R1091" s="92"/>
    </row>
    <row r="1092" spans="3:18" x14ac:dyDescent="0.25">
      <c r="C1092" s="264"/>
      <c r="D1092" s="157"/>
      <c r="E1092" s="44"/>
      <c r="F1092" s="146"/>
      <c r="G1092" s="1"/>
      <c r="H1092" s="161"/>
      <c r="I1092" s="37"/>
      <c r="J1092" s="135"/>
      <c r="K1092" s="112"/>
      <c r="L1092" s="37"/>
      <c r="M1092" s="37"/>
      <c r="N1092" s="37"/>
      <c r="O1092" s="130"/>
      <c r="P1092" s="132"/>
      <c r="Q1092" s="262"/>
      <c r="R1092" s="92"/>
    </row>
    <row r="1093" spans="3:18" x14ac:dyDescent="0.25">
      <c r="C1093" s="264"/>
      <c r="D1093" s="157"/>
      <c r="E1093" s="44"/>
      <c r="F1093" s="146"/>
      <c r="G1093" s="1"/>
      <c r="H1093" s="161"/>
      <c r="I1093" s="37"/>
      <c r="J1093" s="135"/>
      <c r="K1093" s="112"/>
      <c r="L1093" s="37"/>
      <c r="M1093" s="37"/>
      <c r="N1093" s="37"/>
      <c r="O1093" s="130"/>
      <c r="P1093" s="132"/>
      <c r="Q1093" s="262"/>
      <c r="R1093" s="92"/>
    </row>
    <row r="1094" spans="3:18" x14ac:dyDescent="0.25">
      <c r="C1094" s="264"/>
      <c r="D1094" s="157"/>
      <c r="E1094" s="44"/>
      <c r="F1094" s="146"/>
      <c r="G1094" s="1"/>
      <c r="H1094" s="161"/>
      <c r="I1094" s="37"/>
      <c r="J1094" s="135"/>
      <c r="K1094" s="112"/>
      <c r="L1094" s="37"/>
      <c r="M1094" s="37"/>
      <c r="N1094" s="37"/>
      <c r="O1094" s="130"/>
      <c r="P1094" s="132"/>
      <c r="Q1094" s="262"/>
      <c r="R1094" s="92"/>
    </row>
    <row r="1095" spans="3:18" x14ac:dyDescent="0.25">
      <c r="C1095" s="264"/>
      <c r="D1095" s="157"/>
      <c r="E1095" s="44"/>
      <c r="F1095" s="146"/>
      <c r="G1095" s="1"/>
      <c r="H1095" s="161"/>
      <c r="I1095" s="37"/>
      <c r="J1095" s="135"/>
      <c r="K1095" s="112"/>
      <c r="L1095" s="37"/>
      <c r="M1095" s="37"/>
      <c r="N1095" s="37"/>
      <c r="O1095" s="130"/>
      <c r="P1095" s="132"/>
      <c r="Q1095" s="262"/>
      <c r="R1095" s="92"/>
    </row>
    <row r="1096" spans="3:18" x14ac:dyDescent="0.25">
      <c r="C1096" s="264"/>
      <c r="D1096" s="157"/>
      <c r="E1096" s="44"/>
      <c r="F1096" s="146"/>
      <c r="G1096" s="1"/>
      <c r="H1096" s="161"/>
      <c r="I1096" s="37"/>
      <c r="J1096" s="135"/>
      <c r="K1096" s="112"/>
      <c r="L1096" s="37"/>
      <c r="M1096" s="37"/>
      <c r="N1096" s="37"/>
      <c r="O1096" s="130"/>
      <c r="P1096" s="132"/>
      <c r="Q1096" s="262"/>
      <c r="R1096" s="92"/>
    </row>
    <row r="1097" spans="3:18" x14ac:dyDescent="0.25">
      <c r="C1097" s="264"/>
      <c r="D1097" s="157"/>
      <c r="E1097" s="44"/>
      <c r="F1097" s="146"/>
      <c r="G1097" s="1"/>
      <c r="H1097" s="161"/>
      <c r="I1097" s="37"/>
      <c r="J1097" s="135"/>
      <c r="K1097" s="112"/>
      <c r="L1097" s="37"/>
      <c r="M1097" s="37"/>
      <c r="N1097" s="37"/>
      <c r="O1097" s="130"/>
      <c r="P1097" s="132"/>
      <c r="Q1097" s="262"/>
      <c r="R1097" s="92"/>
    </row>
    <row r="1098" spans="3:18" x14ac:dyDescent="0.25">
      <c r="C1098" s="264"/>
      <c r="D1098" s="157"/>
      <c r="E1098" s="44"/>
      <c r="F1098" s="146"/>
      <c r="G1098" s="1"/>
      <c r="H1098" s="161"/>
      <c r="I1098" s="37"/>
      <c r="J1098" s="135"/>
      <c r="K1098" s="112"/>
      <c r="L1098" s="37"/>
      <c r="M1098" s="37"/>
      <c r="N1098" s="37"/>
      <c r="O1098" s="130"/>
      <c r="P1098" s="132"/>
      <c r="Q1098" s="262"/>
      <c r="R1098" s="92"/>
    </row>
    <row r="1099" spans="3:18" x14ac:dyDescent="0.25">
      <c r="C1099" s="264"/>
      <c r="D1099" s="157"/>
      <c r="E1099" s="44"/>
      <c r="F1099" s="146"/>
      <c r="G1099" s="1"/>
      <c r="H1099" s="161"/>
      <c r="I1099" s="37"/>
      <c r="J1099" s="135"/>
      <c r="K1099" s="112"/>
      <c r="L1099" s="37"/>
      <c r="M1099" s="37"/>
      <c r="N1099" s="37"/>
      <c r="O1099" s="130"/>
      <c r="P1099" s="132"/>
      <c r="Q1099" s="262"/>
      <c r="R1099" s="92"/>
    </row>
    <row r="1100" spans="3:18" x14ac:dyDescent="0.25">
      <c r="C1100" s="264"/>
      <c r="D1100" s="157"/>
      <c r="E1100" s="44"/>
      <c r="F1100" s="146"/>
      <c r="G1100" s="1"/>
      <c r="H1100" s="161"/>
      <c r="I1100" s="37"/>
      <c r="J1100" s="135"/>
      <c r="K1100" s="112"/>
      <c r="L1100" s="37"/>
      <c r="M1100" s="37"/>
      <c r="N1100" s="37"/>
      <c r="O1100" s="130"/>
      <c r="P1100" s="132"/>
      <c r="Q1100" s="262"/>
      <c r="R1100" s="92"/>
    </row>
    <row r="1101" spans="3:18" x14ac:dyDescent="0.25">
      <c r="C1101" s="264"/>
      <c r="D1101" s="157"/>
      <c r="E1101" s="44"/>
      <c r="F1101" s="146"/>
      <c r="G1101" s="1"/>
      <c r="H1101" s="161"/>
      <c r="I1101" s="37"/>
      <c r="J1101" s="135"/>
      <c r="K1101" s="112"/>
      <c r="L1101" s="37"/>
      <c r="M1101" s="37"/>
      <c r="N1101" s="37"/>
      <c r="O1101" s="130"/>
      <c r="P1101" s="132"/>
      <c r="Q1101" s="262"/>
      <c r="R1101" s="92"/>
    </row>
    <row r="1102" spans="3:18" x14ac:dyDescent="0.25">
      <c r="C1102" s="264"/>
      <c r="D1102" s="157"/>
      <c r="E1102" s="44"/>
      <c r="F1102" s="146"/>
      <c r="G1102" s="1"/>
      <c r="H1102" s="161"/>
      <c r="I1102" s="37"/>
      <c r="J1102" s="135"/>
      <c r="K1102" s="112"/>
      <c r="L1102" s="37"/>
      <c r="M1102" s="37"/>
      <c r="N1102" s="37"/>
      <c r="O1102" s="130"/>
      <c r="P1102" s="132"/>
      <c r="Q1102" s="262"/>
      <c r="R1102" s="92"/>
    </row>
    <row r="1103" spans="3:18" x14ac:dyDescent="0.25">
      <c r="C1103" s="264"/>
      <c r="D1103" s="157"/>
      <c r="E1103" s="44"/>
      <c r="F1103" s="146"/>
      <c r="G1103" s="1"/>
      <c r="H1103" s="161"/>
      <c r="I1103" s="37"/>
      <c r="J1103" s="135"/>
      <c r="K1103" s="112"/>
      <c r="L1103" s="37"/>
      <c r="M1103" s="37"/>
      <c r="N1103" s="37"/>
      <c r="O1103" s="130"/>
      <c r="P1103" s="132"/>
      <c r="Q1103" s="262"/>
      <c r="R1103" s="92"/>
    </row>
    <row r="1104" spans="3:18" x14ac:dyDescent="0.25">
      <c r="C1104" s="264"/>
      <c r="D1104" s="157"/>
      <c r="E1104" s="44"/>
      <c r="F1104" s="146"/>
      <c r="G1104" s="1"/>
      <c r="H1104" s="161"/>
      <c r="I1104" s="37"/>
      <c r="J1104" s="135"/>
      <c r="K1104" s="112"/>
      <c r="L1104" s="37"/>
      <c r="M1104" s="37"/>
      <c r="N1104" s="37"/>
      <c r="O1104" s="130"/>
      <c r="P1104" s="132"/>
      <c r="Q1104" s="262"/>
      <c r="R1104" s="92"/>
    </row>
    <row r="1105" spans="3:18" x14ac:dyDescent="0.25">
      <c r="C1105" s="264"/>
      <c r="D1105" s="157"/>
      <c r="E1105" s="44"/>
      <c r="F1105" s="146"/>
      <c r="G1105" s="1"/>
      <c r="H1105" s="161"/>
      <c r="I1105" s="37"/>
      <c r="J1105" s="135"/>
      <c r="K1105" s="112"/>
      <c r="L1105" s="37"/>
      <c r="M1105" s="37"/>
      <c r="N1105" s="37"/>
      <c r="O1105" s="130"/>
      <c r="P1105" s="132"/>
      <c r="Q1105" s="262"/>
      <c r="R1105" s="92"/>
    </row>
    <row r="1106" spans="3:18" x14ac:dyDescent="0.25">
      <c r="C1106" s="264"/>
      <c r="D1106" s="157"/>
      <c r="E1106" s="44"/>
      <c r="F1106" s="146"/>
      <c r="G1106" s="1"/>
      <c r="H1106" s="161"/>
      <c r="I1106" s="37"/>
      <c r="J1106" s="135"/>
      <c r="K1106" s="112"/>
      <c r="L1106" s="37"/>
      <c r="M1106" s="37"/>
      <c r="N1106" s="37"/>
      <c r="O1106" s="130"/>
      <c r="P1106" s="132"/>
      <c r="Q1106" s="262"/>
      <c r="R1106" s="92"/>
    </row>
    <row r="1107" spans="3:18" x14ac:dyDescent="0.25">
      <c r="C1107" s="264"/>
      <c r="D1107" s="157"/>
      <c r="E1107" s="44"/>
      <c r="F1107" s="146"/>
      <c r="G1107" s="1"/>
      <c r="H1107" s="161"/>
      <c r="I1107" s="37"/>
      <c r="J1107" s="135"/>
      <c r="K1107" s="112"/>
      <c r="L1107" s="37"/>
      <c r="M1107" s="37"/>
      <c r="N1107" s="37"/>
      <c r="O1107" s="130"/>
      <c r="P1107" s="132"/>
      <c r="Q1107" s="262"/>
      <c r="R1107" s="92"/>
    </row>
    <row r="1108" spans="3:18" x14ac:dyDescent="0.25">
      <c r="C1108" s="264"/>
      <c r="D1108" s="157"/>
      <c r="E1108" s="44"/>
      <c r="F1108" s="146"/>
      <c r="G1108" s="1"/>
      <c r="H1108" s="161"/>
      <c r="I1108" s="37"/>
      <c r="J1108" s="135"/>
      <c r="K1108" s="112"/>
      <c r="L1108" s="37"/>
      <c r="M1108" s="37"/>
      <c r="N1108" s="37"/>
      <c r="O1108" s="130"/>
      <c r="P1108" s="132"/>
      <c r="Q1108" s="262"/>
      <c r="R1108" s="92"/>
    </row>
    <row r="1109" spans="3:18" x14ac:dyDescent="0.25">
      <c r="C1109" s="264"/>
      <c r="D1109" s="157"/>
      <c r="E1109" s="44"/>
      <c r="F1109" s="146"/>
      <c r="G1109" s="1"/>
      <c r="H1109" s="161"/>
      <c r="I1109" s="37"/>
      <c r="J1109" s="135"/>
      <c r="K1109" s="112"/>
      <c r="L1109" s="37"/>
      <c r="M1109" s="37"/>
      <c r="N1109" s="37"/>
      <c r="O1109" s="130"/>
      <c r="P1109" s="132"/>
      <c r="Q1109" s="262"/>
      <c r="R1109" s="92"/>
    </row>
    <row r="1110" spans="3:18" x14ac:dyDescent="0.25">
      <c r="C1110" s="264"/>
      <c r="D1110" s="157"/>
      <c r="E1110" s="44"/>
      <c r="F1110" s="146"/>
      <c r="G1110" s="1"/>
      <c r="H1110" s="161"/>
      <c r="I1110" s="37"/>
      <c r="J1110" s="135"/>
      <c r="K1110" s="112"/>
      <c r="L1110" s="37"/>
      <c r="M1110" s="37"/>
      <c r="N1110" s="37"/>
      <c r="O1110" s="130"/>
      <c r="P1110" s="132"/>
      <c r="Q1110" s="262"/>
      <c r="R1110" s="92"/>
    </row>
    <row r="1111" spans="3:18" x14ac:dyDescent="0.25">
      <c r="C1111" s="264"/>
      <c r="D1111" s="157"/>
      <c r="E1111" s="44"/>
      <c r="F1111" s="146"/>
      <c r="G1111" s="1"/>
      <c r="H1111" s="161"/>
      <c r="I1111" s="37"/>
      <c r="J1111" s="135"/>
      <c r="K1111" s="112"/>
      <c r="L1111" s="37"/>
      <c r="M1111" s="37"/>
      <c r="N1111" s="37"/>
      <c r="O1111" s="130"/>
      <c r="P1111" s="132"/>
      <c r="Q1111" s="262"/>
      <c r="R1111" s="92"/>
    </row>
    <row r="1112" spans="3:18" x14ac:dyDescent="0.25">
      <c r="C1112" s="264"/>
      <c r="D1112" s="157"/>
      <c r="E1112" s="44"/>
      <c r="F1112" s="146"/>
      <c r="G1112" s="1"/>
      <c r="H1112" s="161"/>
      <c r="I1112" s="37"/>
      <c r="J1112" s="135"/>
      <c r="K1112" s="112"/>
      <c r="L1112" s="37"/>
      <c r="M1112" s="37"/>
      <c r="N1112" s="37"/>
      <c r="O1112" s="130"/>
      <c r="P1112" s="132"/>
      <c r="Q1112" s="262"/>
      <c r="R1112" s="92"/>
    </row>
    <row r="1113" spans="3:18" x14ac:dyDescent="0.25">
      <c r="C1113" s="264"/>
      <c r="D1113" s="157"/>
      <c r="E1113" s="44"/>
      <c r="F1113" s="146"/>
      <c r="G1113" s="1"/>
      <c r="H1113" s="161"/>
      <c r="I1113" s="37"/>
      <c r="J1113" s="135"/>
      <c r="K1113" s="112"/>
      <c r="L1113" s="37"/>
      <c r="M1113" s="37"/>
      <c r="N1113" s="37"/>
      <c r="O1113" s="130"/>
      <c r="P1113" s="132"/>
      <c r="Q1113" s="262"/>
      <c r="R1113" s="92"/>
    </row>
    <row r="1114" spans="3:18" x14ac:dyDescent="0.25">
      <c r="C1114" s="264"/>
      <c r="D1114" s="157"/>
      <c r="E1114" s="44"/>
      <c r="F1114" s="146"/>
      <c r="G1114" s="1"/>
      <c r="H1114" s="161"/>
      <c r="I1114" s="37"/>
      <c r="J1114" s="135"/>
      <c r="K1114" s="112"/>
      <c r="L1114" s="37"/>
      <c r="M1114" s="37"/>
      <c r="N1114" s="37"/>
      <c r="O1114" s="130"/>
      <c r="P1114" s="132"/>
      <c r="Q1114" s="262"/>
      <c r="R1114" s="92"/>
    </row>
    <row r="1115" spans="3:18" x14ac:dyDescent="0.25">
      <c r="C1115" s="264"/>
      <c r="D1115" s="157"/>
      <c r="E1115" s="44"/>
      <c r="F1115" s="146"/>
      <c r="G1115" s="1"/>
      <c r="H1115" s="161"/>
      <c r="I1115" s="37"/>
      <c r="J1115" s="135"/>
      <c r="K1115" s="112"/>
      <c r="L1115" s="37"/>
      <c r="M1115" s="37"/>
      <c r="N1115" s="37"/>
      <c r="O1115" s="130"/>
      <c r="P1115" s="132"/>
      <c r="Q1115" s="262"/>
      <c r="R1115" s="92"/>
    </row>
    <row r="1116" spans="3:18" x14ac:dyDescent="0.25">
      <c r="C1116" s="264"/>
      <c r="D1116" s="157"/>
      <c r="E1116" s="44"/>
      <c r="F1116" s="146"/>
      <c r="G1116" s="1"/>
      <c r="H1116" s="161"/>
      <c r="I1116" s="37"/>
      <c r="J1116" s="135"/>
      <c r="K1116" s="112"/>
      <c r="L1116" s="37"/>
      <c r="M1116" s="37"/>
      <c r="N1116" s="37"/>
      <c r="O1116" s="130"/>
      <c r="P1116" s="132"/>
      <c r="Q1116" s="262"/>
      <c r="R1116" s="92"/>
    </row>
    <row r="1117" spans="3:18" x14ac:dyDescent="0.25">
      <c r="C1117" s="264"/>
      <c r="D1117" s="157"/>
      <c r="E1117" s="44"/>
      <c r="F1117" s="146"/>
      <c r="G1117" s="1"/>
      <c r="H1117" s="161"/>
      <c r="I1117" s="37"/>
      <c r="J1117" s="135"/>
      <c r="K1117" s="112"/>
      <c r="L1117" s="37"/>
      <c r="M1117" s="37"/>
      <c r="N1117" s="37"/>
      <c r="O1117" s="130"/>
      <c r="P1117" s="132"/>
      <c r="Q1117" s="262"/>
      <c r="R1117" s="92"/>
    </row>
    <row r="1118" spans="3:18" x14ac:dyDescent="0.25">
      <c r="C1118" s="264"/>
      <c r="D1118" s="157"/>
      <c r="E1118" s="44"/>
      <c r="F1118" s="146"/>
      <c r="G1118" s="1"/>
      <c r="H1118" s="161"/>
      <c r="I1118" s="37"/>
      <c r="J1118" s="135"/>
      <c r="K1118" s="112"/>
      <c r="L1118" s="37"/>
      <c r="M1118" s="37"/>
      <c r="N1118" s="37"/>
      <c r="O1118" s="130"/>
      <c r="P1118" s="132"/>
      <c r="Q1118" s="262"/>
      <c r="R1118" s="92"/>
    </row>
    <row r="1119" spans="3:18" x14ac:dyDescent="0.25">
      <c r="C1119" s="264"/>
      <c r="D1119" s="157"/>
      <c r="E1119" s="44"/>
      <c r="F1119" s="146"/>
      <c r="G1119" s="1"/>
      <c r="H1119" s="161"/>
      <c r="I1119" s="37"/>
      <c r="J1119" s="135"/>
      <c r="K1119" s="112"/>
      <c r="L1119" s="37"/>
      <c r="M1119" s="37"/>
      <c r="N1119" s="37"/>
      <c r="O1119" s="130"/>
      <c r="P1119" s="132"/>
      <c r="Q1119" s="262"/>
      <c r="R1119" s="92"/>
    </row>
    <row r="1120" spans="3:18" x14ac:dyDescent="0.25">
      <c r="C1120" s="264"/>
      <c r="D1120" s="157"/>
      <c r="E1120" s="44"/>
      <c r="F1120" s="146"/>
      <c r="G1120" s="1"/>
      <c r="H1120" s="161"/>
      <c r="I1120" s="37"/>
      <c r="J1120" s="135"/>
      <c r="K1120" s="112"/>
      <c r="L1120" s="37"/>
      <c r="M1120" s="37"/>
      <c r="N1120" s="37"/>
      <c r="O1120" s="130"/>
      <c r="P1120" s="132"/>
      <c r="Q1120" s="262"/>
      <c r="R1120" s="92"/>
    </row>
    <row r="1121" spans="3:18" x14ac:dyDescent="0.25">
      <c r="C1121" s="264"/>
      <c r="D1121" s="157"/>
      <c r="E1121" s="44"/>
      <c r="F1121" s="146"/>
      <c r="G1121" s="1"/>
      <c r="H1121" s="161"/>
      <c r="I1121" s="37"/>
      <c r="J1121" s="135"/>
      <c r="K1121" s="112"/>
      <c r="L1121" s="37"/>
      <c r="M1121" s="37"/>
      <c r="N1121" s="37"/>
      <c r="O1121" s="130"/>
      <c r="P1121" s="132"/>
      <c r="Q1121" s="262"/>
      <c r="R1121" s="92"/>
    </row>
    <row r="1122" spans="3:18" x14ac:dyDescent="0.25">
      <c r="C1122" s="264"/>
      <c r="D1122" s="157"/>
      <c r="E1122" s="44"/>
      <c r="F1122" s="146"/>
      <c r="G1122" s="1"/>
      <c r="H1122" s="161"/>
      <c r="I1122" s="37"/>
      <c r="J1122" s="135"/>
      <c r="K1122" s="112"/>
      <c r="L1122" s="37"/>
      <c r="M1122" s="37"/>
      <c r="N1122" s="37"/>
      <c r="O1122" s="130"/>
      <c r="P1122" s="132"/>
      <c r="Q1122" s="262"/>
      <c r="R1122" s="92"/>
    </row>
    <row r="1123" spans="3:18" x14ac:dyDescent="0.25">
      <c r="C1123" s="264"/>
      <c r="D1123" s="157"/>
      <c r="E1123" s="44"/>
      <c r="F1123" s="146"/>
      <c r="G1123" s="1"/>
      <c r="H1123" s="161"/>
      <c r="I1123" s="37"/>
      <c r="J1123" s="135"/>
      <c r="K1123" s="112"/>
      <c r="L1123" s="37"/>
      <c r="M1123" s="37"/>
      <c r="N1123" s="37"/>
      <c r="O1123" s="130"/>
      <c r="P1123" s="132"/>
      <c r="Q1123" s="262"/>
      <c r="R1123" s="92"/>
    </row>
    <row r="1124" spans="3:18" x14ac:dyDescent="0.25">
      <c r="C1124" s="264"/>
      <c r="D1124" s="157"/>
      <c r="E1124" s="44"/>
      <c r="F1124" s="146"/>
      <c r="G1124" s="1"/>
      <c r="H1124" s="161"/>
      <c r="I1124" s="37"/>
      <c r="J1124" s="135"/>
      <c r="K1124" s="112"/>
      <c r="L1124" s="37"/>
      <c r="M1124" s="37"/>
      <c r="N1124" s="37"/>
      <c r="O1124" s="130"/>
      <c r="P1124" s="132"/>
      <c r="Q1124" s="262"/>
      <c r="R1124" s="92"/>
    </row>
    <row r="1125" spans="3:18" x14ac:dyDescent="0.25">
      <c r="C1125" s="264"/>
      <c r="D1125" s="157"/>
      <c r="E1125" s="44"/>
      <c r="F1125" s="146"/>
      <c r="G1125" s="1"/>
      <c r="H1125" s="161"/>
      <c r="I1125" s="37"/>
      <c r="J1125" s="135"/>
      <c r="K1125" s="112"/>
      <c r="L1125" s="37"/>
      <c r="M1125" s="37"/>
      <c r="N1125" s="37"/>
      <c r="O1125" s="130"/>
      <c r="P1125" s="132"/>
      <c r="Q1125" s="262"/>
      <c r="R1125" s="92"/>
    </row>
    <row r="1126" spans="3:18" x14ac:dyDescent="0.25">
      <c r="C1126" s="264"/>
      <c r="D1126" s="157"/>
      <c r="E1126" s="44"/>
      <c r="F1126" s="146"/>
      <c r="G1126" s="1"/>
      <c r="H1126" s="161"/>
      <c r="I1126" s="37"/>
      <c r="J1126" s="135"/>
      <c r="K1126" s="112"/>
      <c r="L1126" s="37"/>
      <c r="M1126" s="37"/>
      <c r="N1126" s="37"/>
      <c r="O1126" s="130"/>
      <c r="P1126" s="132"/>
      <c r="Q1126" s="262"/>
      <c r="R1126" s="92"/>
    </row>
    <row r="1127" spans="3:18" x14ac:dyDescent="0.25">
      <c r="C1127" s="264"/>
      <c r="D1127" s="157"/>
      <c r="E1127" s="44"/>
      <c r="F1127" s="146"/>
      <c r="G1127" s="1"/>
      <c r="H1127" s="161"/>
      <c r="I1127" s="37"/>
      <c r="J1127" s="135"/>
      <c r="K1127" s="112"/>
      <c r="L1127" s="37"/>
      <c r="M1127" s="37"/>
      <c r="N1127" s="37"/>
      <c r="O1127" s="130"/>
      <c r="P1127" s="132"/>
      <c r="Q1127" s="262"/>
      <c r="R1127" s="92"/>
    </row>
    <row r="1128" spans="3:18" x14ac:dyDescent="0.25">
      <c r="C1128" s="264"/>
      <c r="D1128" s="157"/>
      <c r="E1128" s="44"/>
      <c r="F1128" s="146"/>
      <c r="G1128" s="1"/>
      <c r="H1128" s="161"/>
      <c r="I1128" s="37"/>
      <c r="J1128" s="135"/>
      <c r="K1128" s="112"/>
      <c r="L1128" s="37"/>
      <c r="M1128" s="37"/>
      <c r="N1128" s="37"/>
      <c r="O1128" s="130"/>
      <c r="P1128" s="132"/>
      <c r="Q1128" s="262"/>
      <c r="R1128" s="92"/>
    </row>
    <row r="1129" spans="3:18" x14ac:dyDescent="0.25">
      <c r="C1129" s="264"/>
      <c r="D1129" s="157"/>
      <c r="E1129" s="44"/>
      <c r="F1129" s="146"/>
      <c r="G1129" s="1"/>
      <c r="H1129" s="161"/>
      <c r="I1129" s="37"/>
      <c r="J1129" s="135"/>
      <c r="K1129" s="112"/>
      <c r="L1129" s="37"/>
      <c r="M1129" s="37"/>
      <c r="N1129" s="37"/>
      <c r="O1129" s="130"/>
      <c r="P1129" s="132"/>
      <c r="Q1129" s="262"/>
      <c r="R1129" s="92"/>
    </row>
    <row r="1130" spans="3:18" x14ac:dyDescent="0.25">
      <c r="C1130" s="264"/>
      <c r="D1130" s="157"/>
      <c r="E1130" s="44"/>
      <c r="F1130" s="146"/>
      <c r="G1130" s="1"/>
      <c r="H1130" s="161"/>
      <c r="I1130" s="37"/>
      <c r="J1130" s="135"/>
      <c r="K1130" s="112"/>
      <c r="L1130" s="37"/>
      <c r="M1130" s="37"/>
      <c r="N1130" s="37"/>
      <c r="O1130" s="130"/>
      <c r="P1130" s="132"/>
      <c r="Q1130" s="262"/>
      <c r="R1130" s="92"/>
    </row>
    <row r="1131" spans="3:18" x14ac:dyDescent="0.25">
      <c r="C1131" s="264"/>
      <c r="D1131" s="157"/>
      <c r="E1131" s="44"/>
      <c r="F1131" s="146"/>
      <c r="G1131" s="1"/>
      <c r="H1131" s="161"/>
      <c r="I1131" s="37"/>
      <c r="J1131" s="135"/>
      <c r="K1131" s="112"/>
      <c r="L1131" s="37"/>
      <c r="M1131" s="37"/>
      <c r="N1131" s="37"/>
      <c r="O1131" s="130"/>
      <c r="P1131" s="132"/>
      <c r="Q1131" s="262"/>
      <c r="R1131" s="92"/>
    </row>
    <row r="1132" spans="3:18" x14ac:dyDescent="0.25">
      <c r="C1132" s="264"/>
      <c r="D1132" s="157"/>
      <c r="E1132" s="44"/>
      <c r="F1132" s="146"/>
      <c r="G1132" s="1"/>
      <c r="H1132" s="161"/>
      <c r="I1132" s="37"/>
      <c r="J1132" s="135"/>
      <c r="K1132" s="112"/>
      <c r="L1132" s="37"/>
      <c r="M1132" s="37"/>
      <c r="N1132" s="37"/>
      <c r="O1132" s="130"/>
      <c r="P1132" s="132"/>
      <c r="Q1132" s="262"/>
      <c r="R1132" s="92"/>
    </row>
    <row r="1133" spans="3:18" x14ac:dyDescent="0.25">
      <c r="C1133" s="264"/>
      <c r="D1133" s="157"/>
      <c r="E1133" s="44"/>
      <c r="F1133" s="146"/>
      <c r="G1133" s="1"/>
      <c r="H1133" s="161"/>
      <c r="I1133" s="37"/>
      <c r="J1133" s="135"/>
      <c r="K1133" s="112"/>
      <c r="L1133" s="37"/>
      <c r="M1133" s="37"/>
      <c r="N1133" s="37"/>
      <c r="O1133" s="130"/>
      <c r="P1133" s="132"/>
      <c r="Q1133" s="262"/>
      <c r="R1133" s="92"/>
    </row>
    <row r="1134" spans="3:18" x14ac:dyDescent="0.25">
      <c r="C1134" s="264"/>
      <c r="D1134" s="157"/>
      <c r="E1134" s="44"/>
      <c r="F1134" s="146"/>
      <c r="G1134" s="1"/>
      <c r="H1134" s="161"/>
      <c r="I1134" s="37"/>
      <c r="J1134" s="135"/>
      <c r="K1134" s="112"/>
      <c r="L1134" s="37"/>
      <c r="M1134" s="37"/>
      <c r="N1134" s="37"/>
      <c r="O1134" s="130"/>
      <c r="P1134" s="132"/>
      <c r="Q1134" s="262"/>
      <c r="R1134" s="92"/>
    </row>
    <row r="1135" spans="3:18" x14ac:dyDescent="0.25">
      <c r="C1135" s="264"/>
      <c r="D1135" s="157"/>
      <c r="E1135" s="44"/>
      <c r="F1135" s="146"/>
      <c r="G1135" s="1"/>
      <c r="H1135" s="161"/>
      <c r="I1135" s="37"/>
      <c r="J1135" s="135"/>
      <c r="K1135" s="112"/>
      <c r="L1135" s="37"/>
      <c r="M1135" s="37"/>
      <c r="N1135" s="37"/>
      <c r="O1135" s="130"/>
      <c r="P1135" s="132"/>
      <c r="Q1135" s="262"/>
      <c r="R1135" s="92"/>
    </row>
    <row r="1136" spans="3:18" x14ac:dyDescent="0.25">
      <c r="C1136" s="264"/>
      <c r="D1136" s="157"/>
      <c r="E1136" s="44"/>
      <c r="F1136" s="146"/>
      <c r="G1136" s="1"/>
      <c r="H1136" s="161"/>
      <c r="I1136" s="37"/>
      <c r="J1136" s="135"/>
      <c r="K1136" s="112"/>
      <c r="L1136" s="37"/>
      <c r="M1136" s="37"/>
      <c r="N1136" s="37"/>
      <c r="O1136" s="130"/>
      <c r="P1136" s="132"/>
      <c r="Q1136" s="262"/>
      <c r="R1136" s="92"/>
    </row>
    <row r="1137" spans="3:18" x14ac:dyDescent="0.25">
      <c r="C1137" s="264"/>
      <c r="D1137" s="157"/>
      <c r="E1137" s="44"/>
      <c r="F1137" s="146"/>
      <c r="G1137" s="1"/>
      <c r="H1137" s="161"/>
      <c r="I1137" s="37"/>
      <c r="J1137" s="135"/>
      <c r="K1137" s="112"/>
      <c r="L1137" s="37"/>
      <c r="M1137" s="37"/>
      <c r="N1137" s="37"/>
      <c r="O1137" s="130"/>
      <c r="P1137" s="132"/>
      <c r="Q1137" s="262"/>
      <c r="R1137" s="92"/>
    </row>
    <row r="1138" spans="3:18" x14ac:dyDescent="0.25">
      <c r="C1138" s="264"/>
      <c r="D1138" s="157"/>
      <c r="E1138" s="44"/>
      <c r="F1138" s="146"/>
      <c r="G1138" s="1"/>
      <c r="H1138" s="161"/>
      <c r="I1138" s="37"/>
      <c r="J1138" s="135"/>
      <c r="K1138" s="112"/>
      <c r="L1138" s="37"/>
      <c r="M1138" s="37"/>
      <c r="N1138" s="37"/>
      <c r="O1138" s="130"/>
      <c r="P1138" s="132"/>
      <c r="Q1138" s="262"/>
      <c r="R1138" s="92"/>
    </row>
    <row r="1139" spans="3:18" x14ac:dyDescent="0.25">
      <c r="C1139" s="264"/>
      <c r="D1139" s="157"/>
      <c r="E1139" s="44"/>
      <c r="F1139" s="146"/>
      <c r="G1139" s="1"/>
      <c r="H1139" s="161"/>
      <c r="I1139" s="37"/>
      <c r="J1139" s="135"/>
      <c r="K1139" s="112"/>
      <c r="L1139" s="37"/>
      <c r="M1139" s="37"/>
      <c r="N1139" s="37"/>
      <c r="O1139" s="130"/>
      <c r="P1139" s="132"/>
      <c r="Q1139" s="262"/>
      <c r="R1139" s="92"/>
    </row>
    <row r="1140" spans="3:18" x14ac:dyDescent="0.25">
      <c r="C1140" s="264"/>
      <c r="D1140" s="157"/>
      <c r="E1140" s="44"/>
      <c r="F1140" s="146"/>
      <c r="G1140" s="1"/>
      <c r="H1140" s="161"/>
      <c r="I1140" s="37"/>
      <c r="J1140" s="135"/>
      <c r="K1140" s="112"/>
      <c r="L1140" s="37"/>
      <c r="M1140" s="37"/>
      <c r="N1140" s="37"/>
      <c r="O1140" s="130"/>
      <c r="P1140" s="132"/>
      <c r="Q1140" s="262"/>
      <c r="R1140" s="92"/>
    </row>
    <row r="1141" spans="3:18" x14ac:dyDescent="0.25">
      <c r="C1141" s="264"/>
      <c r="D1141" s="157"/>
      <c r="E1141" s="44"/>
      <c r="F1141" s="146"/>
      <c r="G1141" s="1"/>
      <c r="H1141" s="161"/>
      <c r="I1141" s="37"/>
      <c r="J1141" s="135"/>
      <c r="K1141" s="112"/>
      <c r="L1141" s="37"/>
      <c r="M1141" s="37"/>
      <c r="N1141" s="37"/>
      <c r="O1141" s="130"/>
      <c r="P1141" s="132"/>
      <c r="Q1141" s="262"/>
      <c r="R1141" s="92"/>
    </row>
    <row r="1142" spans="3:18" x14ac:dyDescent="0.25">
      <c r="C1142" s="264"/>
      <c r="D1142" s="157"/>
      <c r="E1142" s="44"/>
      <c r="F1142" s="146"/>
      <c r="G1142" s="1"/>
      <c r="H1142" s="161"/>
      <c r="I1142" s="37"/>
      <c r="J1142" s="135"/>
      <c r="K1142" s="112"/>
      <c r="L1142" s="37"/>
      <c r="M1142" s="37"/>
      <c r="N1142" s="37"/>
      <c r="O1142" s="130"/>
      <c r="P1142" s="132"/>
      <c r="Q1142" s="262"/>
      <c r="R1142" s="92"/>
    </row>
    <row r="1143" spans="3:18" x14ac:dyDescent="0.25">
      <c r="C1143" s="264"/>
      <c r="D1143" s="157"/>
      <c r="E1143" s="44"/>
      <c r="F1143" s="146"/>
      <c r="G1143" s="1"/>
      <c r="H1143" s="161"/>
      <c r="I1143" s="37"/>
      <c r="J1143" s="135"/>
      <c r="K1143" s="112"/>
      <c r="L1143" s="37"/>
      <c r="M1143" s="37"/>
      <c r="N1143" s="37"/>
      <c r="O1143" s="130"/>
      <c r="P1143" s="132"/>
      <c r="Q1143" s="262"/>
      <c r="R1143" s="92"/>
    </row>
    <row r="1144" spans="3:18" x14ac:dyDescent="0.25">
      <c r="C1144" s="264"/>
      <c r="D1144" s="157"/>
      <c r="E1144" s="44"/>
      <c r="F1144" s="146"/>
      <c r="G1144" s="1"/>
      <c r="H1144" s="161"/>
      <c r="I1144" s="37"/>
      <c r="J1144" s="135"/>
      <c r="K1144" s="112"/>
      <c r="L1144" s="37"/>
      <c r="M1144" s="37"/>
      <c r="N1144" s="37"/>
      <c r="O1144" s="130"/>
      <c r="P1144" s="132"/>
      <c r="Q1144" s="262"/>
      <c r="R1144" s="92"/>
    </row>
    <row r="1145" spans="3:18" x14ac:dyDescent="0.25">
      <c r="C1145" s="264"/>
      <c r="D1145" s="157"/>
      <c r="E1145" s="44"/>
      <c r="F1145" s="146"/>
      <c r="G1145" s="1"/>
      <c r="H1145" s="161"/>
      <c r="I1145" s="37"/>
      <c r="J1145" s="135"/>
      <c r="K1145" s="112"/>
      <c r="L1145" s="37"/>
      <c r="M1145" s="37"/>
      <c r="N1145" s="37"/>
      <c r="O1145" s="130"/>
      <c r="P1145" s="132"/>
      <c r="Q1145" s="262"/>
      <c r="R1145" s="92"/>
    </row>
    <row r="1146" spans="3:18" x14ac:dyDescent="0.25">
      <c r="C1146" s="264"/>
      <c r="D1146" s="157"/>
      <c r="E1146" s="44"/>
      <c r="F1146" s="146"/>
      <c r="G1146" s="1"/>
      <c r="H1146" s="161"/>
      <c r="I1146" s="37"/>
      <c r="J1146" s="135"/>
      <c r="K1146" s="112"/>
      <c r="L1146" s="37"/>
      <c r="M1146" s="37"/>
      <c r="N1146" s="37"/>
      <c r="O1146" s="130"/>
      <c r="P1146" s="132"/>
      <c r="Q1146" s="262"/>
      <c r="R1146" s="92"/>
    </row>
    <row r="1147" spans="3:18" x14ac:dyDescent="0.25">
      <c r="C1147" s="264"/>
      <c r="D1147" s="157"/>
      <c r="E1147" s="44"/>
      <c r="F1147" s="146"/>
      <c r="G1147" s="1"/>
      <c r="H1147" s="161"/>
      <c r="I1147" s="37"/>
      <c r="J1147" s="135"/>
      <c r="K1147" s="112"/>
      <c r="L1147" s="37"/>
      <c r="M1147" s="37"/>
      <c r="N1147" s="37"/>
      <c r="O1147" s="130"/>
      <c r="P1147" s="132"/>
      <c r="Q1147" s="262"/>
      <c r="R1147" s="92"/>
    </row>
    <row r="1148" spans="3:18" x14ac:dyDescent="0.25">
      <c r="C1148" s="264"/>
      <c r="D1148" s="157"/>
      <c r="E1148" s="44"/>
      <c r="F1148" s="146"/>
      <c r="G1148" s="1"/>
      <c r="H1148" s="161"/>
      <c r="I1148" s="37"/>
      <c r="J1148" s="135"/>
      <c r="K1148" s="112"/>
      <c r="L1148" s="37"/>
      <c r="M1148" s="37"/>
      <c r="N1148" s="37"/>
      <c r="O1148" s="130"/>
      <c r="P1148" s="132"/>
      <c r="Q1148" s="262"/>
      <c r="R1148" s="92"/>
    </row>
    <row r="1149" spans="3:18" x14ac:dyDescent="0.25">
      <c r="C1149" s="264"/>
      <c r="D1149" s="157"/>
      <c r="E1149" s="44"/>
      <c r="F1149" s="146"/>
      <c r="G1149" s="1"/>
      <c r="H1149" s="161"/>
      <c r="I1149" s="37"/>
      <c r="J1149" s="135"/>
      <c r="K1149" s="112"/>
      <c r="L1149" s="37"/>
      <c r="M1149" s="37"/>
      <c r="N1149" s="37"/>
      <c r="O1149" s="130"/>
      <c r="P1149" s="132"/>
      <c r="Q1149" s="262"/>
      <c r="R1149" s="92"/>
    </row>
    <row r="1150" spans="3:18" x14ac:dyDescent="0.25">
      <c r="C1150" s="264"/>
      <c r="D1150" s="157"/>
      <c r="E1150" s="44"/>
      <c r="F1150" s="146"/>
      <c r="G1150" s="1"/>
      <c r="H1150" s="161"/>
      <c r="I1150" s="37"/>
      <c r="J1150" s="135"/>
      <c r="K1150" s="112"/>
      <c r="L1150" s="37"/>
      <c r="M1150" s="37"/>
      <c r="N1150" s="37"/>
      <c r="O1150" s="130"/>
      <c r="P1150" s="132"/>
      <c r="Q1150" s="262"/>
      <c r="R1150" s="92"/>
    </row>
    <row r="1151" spans="3:18" x14ac:dyDescent="0.25">
      <c r="C1151" s="264"/>
      <c r="D1151" s="157"/>
      <c r="E1151" s="44"/>
      <c r="F1151" s="146"/>
      <c r="G1151" s="1"/>
      <c r="H1151" s="161"/>
      <c r="I1151" s="37"/>
      <c r="J1151" s="135"/>
      <c r="K1151" s="112"/>
      <c r="L1151" s="37"/>
      <c r="M1151" s="37"/>
      <c r="N1151" s="37"/>
      <c r="O1151" s="130"/>
      <c r="P1151" s="132"/>
      <c r="Q1151" s="262"/>
      <c r="R1151" s="92"/>
    </row>
    <row r="1152" spans="3:18" x14ac:dyDescent="0.25">
      <c r="C1152" s="264"/>
      <c r="D1152" s="157"/>
      <c r="E1152" s="44"/>
      <c r="F1152" s="146"/>
      <c r="G1152" s="1"/>
      <c r="H1152" s="161"/>
      <c r="I1152" s="37"/>
      <c r="J1152" s="135"/>
      <c r="K1152" s="112"/>
      <c r="L1152" s="37"/>
      <c r="M1152" s="37"/>
      <c r="N1152" s="37"/>
      <c r="O1152" s="130"/>
      <c r="P1152" s="132"/>
      <c r="Q1152" s="262"/>
      <c r="R1152" s="92"/>
    </row>
    <row r="1153" spans="3:18" x14ac:dyDescent="0.25">
      <c r="C1153" s="264"/>
      <c r="D1153" s="157"/>
      <c r="E1153" s="44"/>
      <c r="F1153" s="146"/>
      <c r="G1153" s="1"/>
      <c r="H1153" s="161"/>
      <c r="I1153" s="37"/>
      <c r="J1153" s="135"/>
      <c r="K1153" s="112"/>
      <c r="L1153" s="37"/>
      <c r="M1153" s="37"/>
      <c r="N1153" s="37"/>
      <c r="O1153" s="130"/>
      <c r="P1153" s="132"/>
      <c r="Q1153" s="262"/>
      <c r="R1153" s="92"/>
    </row>
    <row r="1154" spans="3:18" x14ac:dyDescent="0.25">
      <c r="C1154" s="264"/>
      <c r="D1154" s="157"/>
      <c r="E1154" s="44"/>
      <c r="F1154" s="146"/>
      <c r="G1154" s="1"/>
      <c r="H1154" s="161"/>
      <c r="I1154" s="37"/>
      <c r="J1154" s="135"/>
      <c r="K1154" s="112"/>
      <c r="L1154" s="37"/>
      <c r="M1154" s="37"/>
      <c r="N1154" s="37"/>
      <c r="O1154" s="130"/>
      <c r="P1154" s="132"/>
      <c r="Q1154" s="262"/>
      <c r="R1154" s="92"/>
    </row>
    <row r="1155" spans="3:18" x14ac:dyDescent="0.25">
      <c r="C1155" s="264"/>
      <c r="D1155" s="157"/>
      <c r="E1155" s="44"/>
      <c r="F1155" s="146"/>
      <c r="G1155" s="1"/>
      <c r="H1155" s="161"/>
      <c r="I1155" s="37"/>
      <c r="J1155" s="135"/>
      <c r="K1155" s="112"/>
      <c r="L1155" s="37"/>
      <c r="M1155" s="37"/>
      <c r="N1155" s="37"/>
      <c r="O1155" s="130"/>
      <c r="P1155" s="132"/>
      <c r="Q1155" s="262"/>
      <c r="R1155" s="92"/>
    </row>
    <row r="1156" spans="3:18" x14ac:dyDescent="0.25">
      <c r="C1156" s="264"/>
      <c r="D1156" s="157"/>
      <c r="E1156" s="44"/>
      <c r="F1156" s="146"/>
      <c r="G1156" s="1"/>
      <c r="H1156" s="161"/>
      <c r="I1156" s="37"/>
      <c r="J1156" s="135"/>
      <c r="K1156" s="112"/>
      <c r="L1156" s="37"/>
      <c r="M1156" s="37"/>
      <c r="N1156" s="37"/>
      <c r="O1156" s="130"/>
      <c r="P1156" s="132"/>
      <c r="Q1156" s="262"/>
      <c r="R1156" s="92"/>
    </row>
    <row r="1157" spans="3:18" x14ac:dyDescent="0.25">
      <c r="C1157" s="264"/>
      <c r="D1157" s="157"/>
      <c r="E1157" s="44"/>
      <c r="F1157" s="146"/>
      <c r="G1157" s="1"/>
      <c r="H1157" s="161"/>
      <c r="I1157" s="37"/>
      <c r="J1157" s="135"/>
      <c r="K1157" s="112"/>
      <c r="L1157" s="37"/>
      <c r="M1157" s="37"/>
      <c r="N1157" s="37"/>
      <c r="O1157" s="130"/>
      <c r="P1157" s="132"/>
      <c r="Q1157" s="262"/>
      <c r="R1157" s="92"/>
    </row>
    <row r="1158" spans="3:18" x14ac:dyDescent="0.25">
      <c r="C1158" s="264"/>
      <c r="D1158" s="157"/>
      <c r="E1158" s="44"/>
      <c r="F1158" s="146"/>
      <c r="G1158" s="1"/>
      <c r="H1158" s="161"/>
      <c r="I1158" s="37"/>
      <c r="J1158" s="135"/>
      <c r="K1158" s="112"/>
      <c r="L1158" s="37"/>
      <c r="M1158" s="37"/>
      <c r="N1158" s="37"/>
      <c r="O1158" s="130"/>
      <c r="P1158" s="132"/>
      <c r="Q1158" s="262"/>
      <c r="R1158" s="92"/>
    </row>
    <row r="1159" spans="3:18" x14ac:dyDescent="0.25">
      <c r="C1159" s="264"/>
      <c r="D1159" s="157"/>
      <c r="E1159" s="44"/>
      <c r="F1159" s="146"/>
      <c r="G1159" s="1"/>
      <c r="H1159" s="161"/>
      <c r="I1159" s="37"/>
      <c r="J1159" s="135"/>
      <c r="K1159" s="112"/>
      <c r="L1159" s="37"/>
      <c r="M1159" s="37"/>
      <c r="N1159" s="37"/>
      <c r="O1159" s="130"/>
      <c r="P1159" s="132"/>
      <c r="Q1159" s="262"/>
      <c r="R1159" s="92"/>
    </row>
    <row r="1160" spans="3:18" x14ac:dyDescent="0.25">
      <c r="C1160" s="264"/>
      <c r="D1160" s="157"/>
      <c r="E1160" s="44"/>
      <c r="F1160" s="146"/>
      <c r="G1160" s="1"/>
      <c r="H1160" s="161"/>
      <c r="I1160" s="37"/>
      <c r="J1160" s="135"/>
      <c r="K1160" s="112"/>
      <c r="L1160" s="37"/>
      <c r="M1160" s="37"/>
      <c r="N1160" s="37"/>
      <c r="O1160" s="130"/>
      <c r="P1160" s="132"/>
      <c r="Q1160" s="262"/>
      <c r="R1160" s="92"/>
    </row>
    <row r="1161" spans="3:18" x14ac:dyDescent="0.25">
      <c r="C1161" s="264"/>
      <c r="D1161" s="157"/>
      <c r="E1161" s="44"/>
      <c r="F1161" s="146"/>
      <c r="G1161" s="1"/>
      <c r="H1161" s="161"/>
      <c r="I1161" s="37"/>
      <c r="J1161" s="135"/>
      <c r="K1161" s="112"/>
      <c r="L1161" s="37"/>
      <c r="M1161" s="37"/>
      <c r="N1161" s="37"/>
      <c r="O1161" s="130"/>
      <c r="P1161" s="132"/>
      <c r="Q1161" s="262"/>
      <c r="R1161" s="92"/>
    </row>
    <row r="1162" spans="3:18" x14ac:dyDescent="0.25">
      <c r="C1162" s="264"/>
      <c r="D1162" s="157"/>
      <c r="E1162" s="44"/>
      <c r="F1162" s="146"/>
      <c r="G1162" s="1"/>
      <c r="H1162" s="161"/>
      <c r="I1162" s="37"/>
      <c r="J1162" s="135"/>
      <c r="K1162" s="112"/>
      <c r="L1162" s="37"/>
      <c r="M1162" s="37"/>
      <c r="N1162" s="37"/>
      <c r="O1162" s="130"/>
      <c r="P1162" s="132"/>
      <c r="Q1162" s="262"/>
      <c r="R1162" s="92"/>
    </row>
    <row r="1163" spans="3:18" x14ac:dyDescent="0.25">
      <c r="C1163" s="264"/>
      <c r="D1163" s="157"/>
      <c r="E1163" s="44"/>
      <c r="F1163" s="146"/>
      <c r="G1163" s="1"/>
      <c r="H1163" s="161"/>
      <c r="I1163" s="37"/>
      <c r="J1163" s="135"/>
      <c r="K1163" s="112"/>
      <c r="L1163" s="37"/>
      <c r="M1163" s="37"/>
      <c r="N1163" s="37"/>
      <c r="O1163" s="130"/>
      <c r="P1163" s="132"/>
      <c r="Q1163" s="262"/>
      <c r="R1163" s="92"/>
    </row>
    <row r="1164" spans="3:18" x14ac:dyDescent="0.25">
      <c r="C1164" s="264"/>
      <c r="D1164" s="157"/>
      <c r="E1164" s="44"/>
      <c r="F1164" s="146"/>
      <c r="G1164" s="1"/>
      <c r="H1164" s="161"/>
      <c r="I1164" s="37"/>
      <c r="J1164" s="135"/>
      <c r="K1164" s="112"/>
      <c r="L1164" s="37"/>
      <c r="M1164" s="37"/>
      <c r="N1164" s="37"/>
      <c r="O1164" s="130"/>
      <c r="P1164" s="132"/>
      <c r="Q1164" s="262"/>
      <c r="R1164" s="92"/>
    </row>
    <row r="1165" spans="3:18" x14ac:dyDescent="0.25">
      <c r="C1165" s="264"/>
      <c r="D1165" s="157"/>
      <c r="E1165" s="44"/>
      <c r="F1165" s="146"/>
      <c r="G1165" s="1"/>
      <c r="H1165" s="161"/>
      <c r="I1165" s="37"/>
      <c r="J1165" s="135"/>
      <c r="K1165" s="112"/>
      <c r="L1165" s="37"/>
      <c r="M1165" s="37"/>
      <c r="N1165" s="37"/>
      <c r="O1165" s="130"/>
      <c r="P1165" s="132"/>
      <c r="Q1165" s="262"/>
      <c r="R1165" s="92"/>
    </row>
    <row r="1166" spans="3:18" x14ac:dyDescent="0.25">
      <c r="C1166" s="264"/>
      <c r="D1166" s="157"/>
      <c r="E1166" s="44"/>
      <c r="F1166" s="146"/>
      <c r="G1166" s="1"/>
      <c r="H1166" s="161"/>
      <c r="I1166" s="37"/>
      <c r="J1166" s="135"/>
      <c r="K1166" s="112"/>
      <c r="L1166" s="37"/>
      <c r="M1166" s="37"/>
      <c r="N1166" s="37"/>
      <c r="O1166" s="130"/>
      <c r="P1166" s="132"/>
      <c r="Q1166" s="262"/>
      <c r="R1166" s="92"/>
    </row>
    <row r="1167" spans="3:18" x14ac:dyDescent="0.25">
      <c r="C1167" s="264"/>
      <c r="D1167" s="157"/>
      <c r="E1167" s="44"/>
      <c r="F1167" s="146"/>
      <c r="G1167" s="1"/>
      <c r="H1167" s="161"/>
      <c r="I1167" s="37"/>
      <c r="J1167" s="135"/>
      <c r="K1167" s="112"/>
      <c r="L1167" s="37"/>
      <c r="M1167" s="37"/>
      <c r="N1167" s="37"/>
      <c r="O1167" s="130"/>
      <c r="P1167" s="132"/>
      <c r="Q1167" s="262"/>
      <c r="R1167" s="92"/>
    </row>
    <row r="1168" spans="3:18" x14ac:dyDescent="0.25">
      <c r="C1168" s="264"/>
      <c r="D1168" s="157"/>
      <c r="E1168" s="44"/>
      <c r="F1168" s="146"/>
      <c r="G1168" s="1"/>
      <c r="H1168" s="161"/>
      <c r="I1168" s="37"/>
      <c r="J1168" s="135"/>
      <c r="K1168" s="112"/>
      <c r="L1168" s="37"/>
      <c r="M1168" s="37"/>
      <c r="N1168" s="37"/>
      <c r="O1168" s="130"/>
      <c r="P1168" s="132"/>
      <c r="Q1168" s="262"/>
      <c r="R1168" s="92"/>
    </row>
    <row r="1169" spans="3:18" x14ac:dyDescent="0.25">
      <c r="C1169" s="264"/>
      <c r="D1169" s="157"/>
      <c r="E1169" s="44"/>
      <c r="F1169" s="146"/>
      <c r="G1169" s="1"/>
      <c r="H1169" s="161"/>
      <c r="I1169" s="37"/>
      <c r="J1169" s="135"/>
      <c r="K1169" s="112"/>
      <c r="L1169" s="37"/>
      <c r="M1169" s="37"/>
      <c r="N1169" s="37"/>
      <c r="O1169" s="130"/>
      <c r="P1169" s="132"/>
      <c r="Q1169" s="262"/>
      <c r="R1169" s="92"/>
    </row>
    <row r="1170" spans="3:18" x14ac:dyDescent="0.25">
      <c r="C1170" s="264"/>
      <c r="D1170" s="157"/>
      <c r="E1170" s="44"/>
      <c r="F1170" s="146"/>
      <c r="G1170" s="1"/>
      <c r="H1170" s="161"/>
      <c r="I1170" s="37"/>
      <c r="J1170" s="135"/>
      <c r="K1170" s="112"/>
      <c r="L1170" s="37"/>
      <c r="M1170" s="37"/>
      <c r="N1170" s="37"/>
      <c r="O1170" s="130"/>
      <c r="P1170" s="132"/>
      <c r="Q1170" s="262"/>
      <c r="R1170" s="92"/>
    </row>
    <row r="1171" spans="3:18" x14ac:dyDescent="0.25">
      <c r="C1171" s="264"/>
      <c r="D1171" s="157"/>
      <c r="E1171" s="44"/>
      <c r="F1171" s="146"/>
      <c r="G1171" s="1"/>
      <c r="H1171" s="161"/>
      <c r="I1171" s="37"/>
      <c r="J1171" s="135"/>
      <c r="K1171" s="112"/>
      <c r="L1171" s="37"/>
      <c r="M1171" s="37"/>
      <c r="N1171" s="37"/>
      <c r="O1171" s="130"/>
      <c r="P1171" s="132"/>
      <c r="Q1171" s="262"/>
      <c r="R1171" s="92"/>
    </row>
    <row r="1172" spans="3:18" x14ac:dyDescent="0.25">
      <c r="C1172" s="264"/>
      <c r="D1172" s="157"/>
      <c r="E1172" s="44"/>
      <c r="F1172" s="146"/>
      <c r="G1172" s="1"/>
      <c r="H1172" s="161"/>
      <c r="I1172" s="37"/>
      <c r="J1172" s="135"/>
      <c r="K1172" s="112"/>
      <c r="L1172" s="37"/>
      <c r="M1172" s="37"/>
      <c r="N1172" s="37"/>
      <c r="O1172" s="130"/>
      <c r="P1172" s="132"/>
      <c r="Q1172" s="262"/>
      <c r="R1172" s="92"/>
    </row>
    <row r="1173" spans="3:18" x14ac:dyDescent="0.25">
      <c r="C1173" s="264"/>
      <c r="D1173" s="157"/>
      <c r="E1173" s="44"/>
      <c r="F1173" s="146"/>
      <c r="G1173" s="1"/>
      <c r="H1173" s="161"/>
      <c r="I1173" s="37"/>
      <c r="J1173" s="135"/>
      <c r="K1173" s="112"/>
      <c r="L1173" s="37"/>
      <c r="M1173" s="37"/>
      <c r="N1173" s="37"/>
      <c r="O1173" s="130"/>
      <c r="P1173" s="132"/>
      <c r="Q1173" s="262"/>
      <c r="R1173" s="92"/>
    </row>
    <row r="1174" spans="3:18" x14ac:dyDescent="0.25">
      <c r="C1174" s="264"/>
      <c r="D1174" s="157"/>
      <c r="E1174" s="44"/>
      <c r="F1174" s="146"/>
      <c r="G1174" s="1"/>
      <c r="H1174" s="161"/>
      <c r="I1174" s="37"/>
      <c r="J1174" s="135"/>
      <c r="K1174" s="112"/>
      <c r="L1174" s="37"/>
      <c r="M1174" s="37"/>
      <c r="N1174" s="37"/>
      <c r="O1174" s="130"/>
      <c r="P1174" s="132"/>
      <c r="Q1174" s="262"/>
      <c r="R1174" s="92"/>
    </row>
    <row r="1175" spans="3:18" x14ac:dyDescent="0.25">
      <c r="C1175" s="264"/>
      <c r="D1175" s="157"/>
      <c r="E1175" s="44"/>
      <c r="F1175" s="146"/>
      <c r="G1175" s="1"/>
      <c r="H1175" s="161"/>
      <c r="I1175" s="37"/>
      <c r="J1175" s="135"/>
      <c r="K1175" s="112"/>
      <c r="L1175" s="37"/>
      <c r="M1175" s="37"/>
      <c r="N1175" s="37"/>
      <c r="O1175" s="130"/>
      <c r="P1175" s="132"/>
      <c r="Q1175" s="262"/>
      <c r="R1175" s="92"/>
    </row>
    <row r="1176" spans="3:18" x14ac:dyDescent="0.25">
      <c r="C1176" s="264"/>
      <c r="D1176" s="157"/>
      <c r="E1176" s="44"/>
      <c r="F1176" s="146"/>
      <c r="G1176" s="1"/>
      <c r="H1176" s="161"/>
      <c r="I1176" s="37"/>
      <c r="J1176" s="135"/>
      <c r="K1176" s="112"/>
      <c r="L1176" s="37"/>
      <c r="M1176" s="37"/>
      <c r="N1176" s="37"/>
      <c r="O1176" s="130"/>
      <c r="P1176" s="132"/>
      <c r="Q1176" s="262"/>
      <c r="R1176" s="92"/>
    </row>
    <row r="1177" spans="3:18" x14ac:dyDescent="0.25">
      <c r="C1177" s="264"/>
      <c r="D1177" s="157"/>
      <c r="E1177" s="44"/>
      <c r="F1177" s="146"/>
      <c r="G1177" s="1"/>
      <c r="H1177" s="161"/>
      <c r="I1177" s="37"/>
      <c r="J1177" s="135"/>
      <c r="K1177" s="112"/>
      <c r="L1177" s="37"/>
      <c r="M1177" s="37"/>
      <c r="N1177" s="37"/>
      <c r="O1177" s="130"/>
      <c r="P1177" s="132"/>
      <c r="Q1177" s="262"/>
      <c r="R1177" s="92"/>
    </row>
    <row r="1178" spans="3:18" x14ac:dyDescent="0.25">
      <c r="C1178" s="264"/>
      <c r="D1178" s="157"/>
      <c r="E1178" s="44"/>
      <c r="F1178" s="146"/>
      <c r="G1178" s="1"/>
      <c r="H1178" s="161"/>
      <c r="I1178" s="37"/>
      <c r="J1178" s="135"/>
      <c r="K1178" s="112"/>
      <c r="L1178" s="37"/>
      <c r="M1178" s="37"/>
      <c r="N1178" s="37"/>
      <c r="O1178" s="130"/>
      <c r="P1178" s="132"/>
      <c r="Q1178" s="262"/>
      <c r="R1178" s="92"/>
    </row>
    <row r="1179" spans="3:18" x14ac:dyDescent="0.25">
      <c r="C1179" s="264"/>
      <c r="D1179" s="157"/>
      <c r="E1179" s="44"/>
      <c r="F1179" s="146"/>
      <c r="G1179" s="1"/>
      <c r="H1179" s="161"/>
      <c r="I1179" s="37"/>
      <c r="J1179" s="135"/>
      <c r="K1179" s="112"/>
      <c r="L1179" s="37"/>
      <c r="M1179" s="37"/>
      <c r="N1179" s="37"/>
      <c r="O1179" s="130"/>
      <c r="P1179" s="132"/>
      <c r="Q1179" s="262"/>
      <c r="R1179" s="92"/>
    </row>
    <row r="1180" spans="3:18" x14ac:dyDescent="0.25">
      <c r="C1180" s="264"/>
      <c r="D1180" s="157"/>
      <c r="E1180" s="44"/>
      <c r="F1180" s="146"/>
      <c r="G1180" s="1"/>
      <c r="H1180" s="161"/>
      <c r="I1180" s="37"/>
      <c r="J1180" s="135"/>
      <c r="K1180" s="112"/>
      <c r="L1180" s="37"/>
      <c r="M1180" s="37"/>
      <c r="N1180" s="37"/>
      <c r="O1180" s="130"/>
      <c r="P1180" s="132"/>
      <c r="Q1180" s="262"/>
      <c r="R1180" s="92"/>
    </row>
    <row r="1181" spans="3:18" x14ac:dyDescent="0.25">
      <c r="C1181" s="264"/>
      <c r="D1181" s="157"/>
      <c r="E1181" s="44"/>
      <c r="F1181" s="146"/>
      <c r="G1181" s="1"/>
      <c r="H1181" s="161"/>
      <c r="I1181" s="37"/>
      <c r="J1181" s="135"/>
      <c r="K1181" s="112"/>
      <c r="L1181" s="37"/>
      <c r="M1181" s="37"/>
      <c r="N1181" s="37"/>
      <c r="O1181" s="130"/>
      <c r="P1181" s="132"/>
      <c r="Q1181" s="262"/>
      <c r="R1181" s="92"/>
    </row>
    <row r="1182" spans="3:18" x14ac:dyDescent="0.25">
      <c r="C1182" s="264"/>
      <c r="D1182" s="157"/>
      <c r="E1182" s="44"/>
      <c r="F1182" s="146"/>
      <c r="G1182" s="1"/>
      <c r="H1182" s="161"/>
      <c r="I1182" s="37"/>
      <c r="J1182" s="135"/>
      <c r="K1182" s="112"/>
      <c r="L1182" s="37"/>
      <c r="M1182" s="37"/>
      <c r="N1182" s="37"/>
      <c r="O1182" s="130"/>
      <c r="P1182" s="132"/>
      <c r="Q1182" s="262"/>
      <c r="R1182" s="92"/>
    </row>
    <row r="1183" spans="3:18" x14ac:dyDescent="0.25">
      <c r="C1183" s="264"/>
      <c r="D1183" s="157"/>
      <c r="E1183" s="44"/>
      <c r="F1183" s="146"/>
      <c r="G1183" s="1"/>
      <c r="H1183" s="161"/>
      <c r="I1183" s="37"/>
      <c r="J1183" s="135"/>
      <c r="K1183" s="112"/>
      <c r="L1183" s="37"/>
      <c r="M1183" s="37"/>
      <c r="N1183" s="37"/>
      <c r="O1183" s="130"/>
      <c r="P1183" s="132"/>
      <c r="Q1183" s="262"/>
      <c r="R1183" s="92"/>
    </row>
    <row r="1184" spans="3:18" x14ac:dyDescent="0.25">
      <c r="C1184" s="264"/>
      <c r="D1184" s="157"/>
      <c r="E1184" s="44"/>
      <c r="F1184" s="146"/>
      <c r="G1184" s="1"/>
      <c r="H1184" s="161"/>
      <c r="I1184" s="37"/>
      <c r="J1184" s="135"/>
      <c r="K1184" s="112"/>
      <c r="L1184" s="37"/>
      <c r="M1184" s="37"/>
      <c r="N1184" s="37"/>
      <c r="O1184" s="130"/>
      <c r="P1184" s="132"/>
      <c r="Q1184" s="262"/>
      <c r="R1184" s="92"/>
    </row>
    <row r="1185" spans="3:18" x14ac:dyDescent="0.25">
      <c r="C1185" s="264"/>
      <c r="D1185" s="157"/>
      <c r="E1185" s="44"/>
      <c r="F1185" s="146"/>
      <c r="G1185" s="1"/>
      <c r="H1185" s="161"/>
      <c r="I1185" s="37"/>
      <c r="J1185" s="135"/>
      <c r="K1185" s="112"/>
      <c r="L1185" s="37"/>
      <c r="M1185" s="37"/>
      <c r="N1185" s="37"/>
      <c r="O1185" s="130"/>
      <c r="P1185" s="132"/>
      <c r="Q1185" s="262"/>
      <c r="R1185" s="92"/>
    </row>
    <row r="1186" spans="3:18" x14ac:dyDescent="0.25">
      <c r="C1186" s="264"/>
      <c r="D1186" s="157"/>
      <c r="E1186" s="44"/>
      <c r="F1186" s="146"/>
      <c r="G1186" s="1"/>
      <c r="H1186" s="161"/>
      <c r="I1186" s="37"/>
      <c r="J1186" s="135"/>
      <c r="K1186" s="112"/>
      <c r="L1186" s="37"/>
      <c r="M1186" s="37"/>
      <c r="N1186" s="37"/>
      <c r="O1186" s="130"/>
      <c r="P1186" s="132"/>
      <c r="Q1186" s="262"/>
      <c r="R1186" s="92"/>
    </row>
    <row r="1187" spans="3:18" x14ac:dyDescent="0.25">
      <c r="C1187" s="264"/>
      <c r="D1187" s="157"/>
      <c r="E1187" s="44"/>
      <c r="F1187" s="146"/>
      <c r="G1187" s="1"/>
      <c r="H1187" s="161"/>
      <c r="I1187" s="37"/>
      <c r="J1187" s="135"/>
      <c r="K1187" s="112"/>
      <c r="L1187" s="37"/>
      <c r="M1187" s="37"/>
      <c r="N1187" s="37"/>
      <c r="O1187" s="130"/>
      <c r="P1187" s="132"/>
      <c r="Q1187" s="262"/>
      <c r="R1187" s="92"/>
    </row>
    <row r="1188" spans="3:18" x14ac:dyDescent="0.25">
      <c r="C1188" s="264"/>
      <c r="D1188" s="157"/>
      <c r="E1188" s="44"/>
      <c r="F1188" s="146"/>
      <c r="G1188" s="1"/>
      <c r="H1188" s="161"/>
      <c r="I1188" s="37"/>
      <c r="J1188" s="135"/>
      <c r="K1188" s="112"/>
      <c r="L1188" s="37"/>
      <c r="M1188" s="37"/>
      <c r="N1188" s="37"/>
      <c r="O1188" s="130"/>
      <c r="P1188" s="132"/>
      <c r="Q1188" s="262"/>
      <c r="R1188" s="92"/>
    </row>
    <row r="1189" spans="3:18" x14ac:dyDescent="0.25">
      <c r="C1189" s="264"/>
      <c r="D1189" s="157"/>
      <c r="E1189" s="44"/>
      <c r="F1189" s="146"/>
      <c r="G1189" s="1"/>
      <c r="H1189" s="161"/>
      <c r="I1189" s="37"/>
      <c r="J1189" s="135"/>
      <c r="K1189" s="112"/>
      <c r="L1189" s="37"/>
      <c r="M1189" s="37"/>
      <c r="N1189" s="37"/>
      <c r="O1189" s="130"/>
      <c r="P1189" s="132"/>
      <c r="Q1189" s="262"/>
      <c r="R1189" s="92"/>
    </row>
    <row r="1190" spans="3:18" x14ac:dyDescent="0.25">
      <c r="C1190" s="264"/>
      <c r="D1190" s="157"/>
      <c r="E1190" s="44"/>
      <c r="F1190" s="146"/>
      <c r="G1190" s="1"/>
      <c r="H1190" s="161"/>
      <c r="I1190" s="37"/>
      <c r="J1190" s="135"/>
      <c r="K1190" s="112"/>
      <c r="L1190" s="37"/>
      <c r="M1190" s="37"/>
      <c r="N1190" s="37"/>
      <c r="O1190" s="130"/>
      <c r="P1190" s="132"/>
      <c r="Q1190" s="262"/>
      <c r="R1190" s="92"/>
    </row>
    <row r="1191" spans="3:18" x14ac:dyDescent="0.25">
      <c r="C1191" s="264"/>
      <c r="D1191" s="157"/>
      <c r="E1191" s="44"/>
      <c r="F1191" s="146"/>
      <c r="G1191" s="1"/>
      <c r="H1191" s="161"/>
      <c r="I1191" s="37"/>
      <c r="J1191" s="135"/>
      <c r="K1191" s="112"/>
      <c r="L1191" s="37"/>
      <c r="M1191" s="37"/>
      <c r="N1191" s="37"/>
      <c r="O1191" s="130"/>
      <c r="P1191" s="132"/>
      <c r="Q1191" s="262"/>
      <c r="R1191" s="92"/>
    </row>
    <row r="1192" spans="3:18" x14ac:dyDescent="0.25">
      <c r="C1192" s="264"/>
      <c r="D1192" s="157"/>
      <c r="E1192" s="44"/>
      <c r="F1192" s="146"/>
      <c r="G1192" s="1"/>
      <c r="H1192" s="161"/>
      <c r="I1192" s="37"/>
      <c r="J1192" s="135"/>
      <c r="K1192" s="112"/>
      <c r="L1192" s="37"/>
      <c r="M1192" s="37"/>
      <c r="N1192" s="37"/>
      <c r="O1192" s="130"/>
      <c r="P1192" s="132"/>
      <c r="Q1192" s="262"/>
      <c r="R1192" s="92"/>
    </row>
    <row r="1193" spans="3:18" x14ac:dyDescent="0.25">
      <c r="C1193" s="264"/>
      <c r="D1193" s="157"/>
      <c r="E1193" s="44"/>
      <c r="F1193" s="146"/>
      <c r="G1193" s="1"/>
      <c r="H1193" s="161"/>
      <c r="I1193" s="37"/>
      <c r="J1193" s="135"/>
      <c r="K1193" s="112"/>
      <c r="L1193" s="37"/>
      <c r="M1193" s="37"/>
      <c r="N1193" s="37"/>
      <c r="O1193" s="130"/>
      <c r="P1193" s="132"/>
      <c r="Q1193" s="262"/>
      <c r="R1193" s="92"/>
    </row>
    <row r="1194" spans="3:18" x14ac:dyDescent="0.25">
      <c r="C1194" s="264"/>
      <c r="D1194" s="157"/>
      <c r="E1194" s="44"/>
      <c r="F1194" s="146"/>
      <c r="G1194" s="1"/>
      <c r="H1194" s="161"/>
      <c r="I1194" s="37"/>
      <c r="J1194" s="135"/>
      <c r="K1194" s="112"/>
      <c r="L1194" s="37"/>
      <c r="M1194" s="37"/>
      <c r="N1194" s="37"/>
      <c r="O1194" s="130"/>
      <c r="P1194" s="132"/>
      <c r="Q1194" s="262"/>
      <c r="R1194" s="92"/>
    </row>
    <row r="1195" spans="3:18" x14ac:dyDescent="0.25">
      <c r="C1195" s="264"/>
      <c r="D1195" s="157"/>
      <c r="E1195" s="44"/>
      <c r="F1195" s="146"/>
      <c r="G1195" s="1"/>
      <c r="H1195" s="161"/>
      <c r="I1195" s="37"/>
      <c r="J1195" s="135"/>
      <c r="K1195" s="112"/>
      <c r="L1195" s="37"/>
      <c r="M1195" s="37"/>
      <c r="N1195" s="37"/>
      <c r="O1195" s="130"/>
      <c r="P1195" s="132"/>
      <c r="Q1195" s="262"/>
      <c r="R1195" s="92"/>
    </row>
    <row r="1196" spans="3:18" x14ac:dyDescent="0.25">
      <c r="C1196" s="264"/>
      <c r="D1196" s="157"/>
      <c r="E1196" s="44"/>
      <c r="F1196" s="146"/>
      <c r="G1196" s="1"/>
      <c r="H1196" s="161"/>
      <c r="I1196" s="37"/>
      <c r="J1196" s="135"/>
      <c r="K1196" s="112"/>
      <c r="L1196" s="37"/>
      <c r="M1196" s="37"/>
      <c r="N1196" s="37"/>
      <c r="O1196" s="130"/>
      <c r="P1196" s="132"/>
      <c r="Q1196" s="262"/>
      <c r="R1196" s="92"/>
    </row>
    <row r="1197" spans="3:18" x14ac:dyDescent="0.25">
      <c r="C1197" s="264"/>
      <c r="D1197" s="157"/>
      <c r="E1197" s="44"/>
      <c r="F1197" s="146"/>
      <c r="G1197" s="1"/>
      <c r="H1197" s="161"/>
      <c r="I1197" s="37"/>
      <c r="J1197" s="135"/>
      <c r="K1197" s="112"/>
      <c r="L1197" s="37"/>
      <c r="M1197" s="37"/>
      <c r="N1197" s="37"/>
      <c r="O1197" s="130"/>
      <c r="P1197" s="132"/>
      <c r="Q1197" s="262"/>
      <c r="R1197" s="92"/>
    </row>
    <row r="1198" spans="3:18" x14ac:dyDescent="0.25">
      <c r="C1198" s="264"/>
      <c r="D1198" s="157"/>
      <c r="E1198" s="44"/>
      <c r="F1198" s="146"/>
      <c r="G1198" s="1"/>
      <c r="H1198" s="161"/>
      <c r="I1198" s="37"/>
      <c r="J1198" s="135"/>
      <c r="K1198" s="112"/>
      <c r="L1198" s="37"/>
      <c r="M1198" s="37"/>
      <c r="N1198" s="37"/>
      <c r="O1198" s="130"/>
      <c r="P1198" s="132"/>
      <c r="Q1198" s="262"/>
      <c r="R1198" s="92"/>
    </row>
    <row r="1199" spans="3:18" x14ac:dyDescent="0.25">
      <c r="C1199" s="264"/>
      <c r="D1199" s="157"/>
      <c r="E1199" s="44"/>
      <c r="F1199" s="146"/>
      <c r="G1199" s="1"/>
      <c r="H1199" s="161"/>
      <c r="I1199" s="37"/>
      <c r="J1199" s="135"/>
      <c r="K1199" s="112"/>
      <c r="L1199" s="37"/>
      <c r="M1199" s="37"/>
      <c r="N1199" s="37"/>
      <c r="O1199" s="130"/>
      <c r="P1199" s="132"/>
      <c r="Q1199" s="262"/>
      <c r="R1199" s="92"/>
    </row>
    <row r="1200" spans="3:18" x14ac:dyDescent="0.25">
      <c r="C1200" s="264"/>
      <c r="D1200" s="157"/>
      <c r="E1200" s="44"/>
      <c r="F1200" s="146"/>
      <c r="G1200" s="1"/>
      <c r="H1200" s="161"/>
      <c r="I1200" s="37"/>
      <c r="J1200" s="135"/>
      <c r="K1200" s="112"/>
      <c r="L1200" s="37"/>
      <c r="M1200" s="37"/>
      <c r="N1200" s="37"/>
      <c r="O1200" s="130"/>
      <c r="P1200" s="132"/>
      <c r="Q1200" s="262"/>
      <c r="R1200" s="92"/>
    </row>
    <row r="1201" spans="3:18" x14ac:dyDescent="0.25">
      <c r="C1201" s="264"/>
      <c r="D1201" s="157"/>
      <c r="E1201" s="44"/>
      <c r="F1201" s="146"/>
      <c r="G1201" s="1"/>
      <c r="H1201" s="161"/>
      <c r="I1201" s="37"/>
      <c r="J1201" s="135"/>
      <c r="K1201" s="112"/>
      <c r="L1201" s="37"/>
      <c r="M1201" s="37"/>
      <c r="N1201" s="37"/>
      <c r="O1201" s="130"/>
      <c r="P1201" s="132"/>
      <c r="Q1201" s="262"/>
      <c r="R1201" s="92"/>
    </row>
    <row r="1202" spans="3:18" x14ac:dyDescent="0.25">
      <c r="C1202" s="264"/>
      <c r="D1202" s="157"/>
      <c r="E1202" s="44"/>
      <c r="F1202" s="146"/>
      <c r="G1202" s="1"/>
      <c r="H1202" s="161"/>
      <c r="I1202" s="37"/>
      <c r="J1202" s="135"/>
      <c r="K1202" s="112"/>
      <c r="L1202" s="37"/>
      <c r="M1202" s="37"/>
      <c r="N1202" s="37"/>
      <c r="O1202" s="130"/>
      <c r="P1202" s="132"/>
      <c r="Q1202" s="262"/>
      <c r="R1202" s="92"/>
    </row>
    <row r="1203" spans="3:18" x14ac:dyDescent="0.25">
      <c r="C1203" s="264"/>
      <c r="D1203" s="157"/>
      <c r="E1203" s="44"/>
      <c r="F1203" s="146"/>
      <c r="G1203" s="1"/>
      <c r="H1203" s="161"/>
      <c r="I1203" s="37"/>
      <c r="J1203" s="135"/>
      <c r="K1203" s="112"/>
      <c r="L1203" s="37"/>
      <c r="M1203" s="37"/>
      <c r="N1203" s="37"/>
      <c r="O1203" s="130"/>
      <c r="P1203" s="132"/>
      <c r="Q1203" s="262"/>
      <c r="R1203" s="92"/>
    </row>
    <row r="1204" spans="3:18" x14ac:dyDescent="0.25">
      <c r="C1204" s="264"/>
      <c r="D1204" s="157"/>
      <c r="E1204" s="44"/>
      <c r="F1204" s="146"/>
      <c r="G1204" s="1"/>
      <c r="H1204" s="161"/>
      <c r="I1204" s="37"/>
      <c r="J1204" s="135"/>
      <c r="K1204" s="112"/>
      <c r="L1204" s="37"/>
      <c r="M1204" s="37"/>
      <c r="N1204" s="37"/>
      <c r="O1204" s="130"/>
      <c r="P1204" s="132"/>
      <c r="Q1204" s="262"/>
      <c r="R1204" s="92"/>
    </row>
    <row r="1205" spans="3:18" x14ac:dyDescent="0.25">
      <c r="C1205" s="264"/>
      <c r="D1205" s="157"/>
      <c r="E1205" s="44"/>
      <c r="F1205" s="146"/>
      <c r="G1205" s="1"/>
      <c r="H1205" s="161"/>
      <c r="I1205" s="37"/>
      <c r="J1205" s="135"/>
      <c r="K1205" s="112"/>
      <c r="L1205" s="37"/>
      <c r="M1205" s="37"/>
      <c r="N1205" s="37"/>
      <c r="O1205" s="130"/>
      <c r="P1205" s="132"/>
      <c r="Q1205" s="262"/>
      <c r="R1205" s="92"/>
    </row>
    <row r="1206" spans="3:18" x14ac:dyDescent="0.25">
      <c r="C1206" s="264"/>
      <c r="D1206" s="157"/>
      <c r="E1206" s="44"/>
      <c r="F1206" s="146"/>
      <c r="G1206" s="1"/>
      <c r="H1206" s="161"/>
      <c r="I1206" s="37"/>
      <c r="J1206" s="135"/>
      <c r="K1206" s="112"/>
      <c r="L1206" s="37"/>
      <c r="M1206" s="37"/>
      <c r="N1206" s="37"/>
      <c r="O1206" s="130"/>
      <c r="P1206" s="132"/>
      <c r="Q1206" s="262"/>
      <c r="R1206" s="92"/>
    </row>
    <row r="1207" spans="3:18" x14ac:dyDescent="0.25">
      <c r="C1207" s="264"/>
      <c r="D1207" s="157"/>
      <c r="E1207" s="44"/>
      <c r="F1207" s="146"/>
      <c r="G1207" s="1"/>
      <c r="H1207" s="161"/>
      <c r="I1207" s="37"/>
      <c r="J1207" s="135"/>
      <c r="K1207" s="112"/>
      <c r="L1207" s="37"/>
      <c r="M1207" s="37"/>
      <c r="N1207" s="37"/>
      <c r="O1207" s="130"/>
      <c r="P1207" s="132"/>
      <c r="Q1207" s="262"/>
      <c r="R1207" s="92"/>
    </row>
    <row r="1208" spans="3:18" x14ac:dyDescent="0.25">
      <c r="C1208" s="264"/>
      <c r="D1208" s="157"/>
      <c r="E1208" s="44"/>
      <c r="F1208" s="146"/>
      <c r="G1208" s="1"/>
      <c r="H1208" s="161"/>
      <c r="I1208" s="37"/>
      <c r="J1208" s="135"/>
      <c r="K1208" s="112"/>
      <c r="L1208" s="37"/>
      <c r="M1208" s="37"/>
      <c r="N1208" s="37"/>
      <c r="O1208" s="130"/>
      <c r="P1208" s="132"/>
      <c r="Q1208" s="262"/>
      <c r="R1208" s="92"/>
    </row>
    <row r="1209" spans="3:18" x14ac:dyDescent="0.25">
      <c r="C1209" s="264"/>
      <c r="D1209" s="157"/>
      <c r="E1209" s="44"/>
      <c r="F1209" s="146"/>
      <c r="G1209" s="1"/>
      <c r="H1209" s="161"/>
      <c r="I1209" s="37"/>
      <c r="J1209" s="135"/>
      <c r="K1209" s="112"/>
      <c r="L1209" s="37"/>
      <c r="M1209" s="37"/>
      <c r="N1209" s="37"/>
      <c r="O1209" s="130"/>
      <c r="P1209" s="132"/>
      <c r="Q1209" s="262"/>
      <c r="R1209" s="92"/>
    </row>
    <row r="1210" spans="3:18" x14ac:dyDescent="0.25">
      <c r="C1210" s="264"/>
      <c r="D1210" s="157"/>
      <c r="E1210" s="44"/>
      <c r="F1210" s="146"/>
      <c r="G1210" s="1"/>
      <c r="H1210" s="161"/>
      <c r="I1210" s="37"/>
      <c r="J1210" s="135"/>
      <c r="K1210" s="112"/>
      <c r="L1210" s="37"/>
      <c r="M1210" s="37"/>
      <c r="N1210" s="37"/>
      <c r="O1210" s="130"/>
      <c r="P1210" s="132"/>
      <c r="Q1210" s="262"/>
      <c r="R1210" s="92"/>
    </row>
    <row r="1211" spans="3:18" x14ac:dyDescent="0.25">
      <c r="C1211" s="264"/>
      <c r="D1211" s="157"/>
      <c r="E1211" s="44"/>
      <c r="F1211" s="146"/>
      <c r="G1211" s="1"/>
      <c r="H1211" s="161"/>
      <c r="I1211" s="37"/>
      <c r="J1211" s="135"/>
      <c r="K1211" s="112"/>
      <c r="L1211" s="37"/>
      <c r="M1211" s="37"/>
      <c r="N1211" s="37"/>
      <c r="O1211" s="130"/>
      <c r="P1211" s="132"/>
      <c r="Q1211" s="262"/>
      <c r="R1211" s="92"/>
    </row>
    <row r="1212" spans="3:18" x14ac:dyDescent="0.25">
      <c r="C1212" s="264"/>
      <c r="D1212" s="157"/>
      <c r="E1212" s="44"/>
      <c r="F1212" s="146"/>
      <c r="G1212" s="1"/>
      <c r="H1212" s="161"/>
      <c r="I1212" s="37"/>
      <c r="J1212" s="135"/>
      <c r="K1212" s="112"/>
      <c r="L1212" s="37"/>
      <c r="M1212" s="37"/>
      <c r="N1212" s="37"/>
      <c r="O1212" s="130"/>
      <c r="P1212" s="132"/>
      <c r="Q1212" s="262"/>
      <c r="R1212" s="92"/>
    </row>
    <row r="1213" spans="3:18" x14ac:dyDescent="0.25">
      <c r="C1213" s="264"/>
      <c r="D1213" s="157"/>
      <c r="E1213" s="44"/>
      <c r="F1213" s="146"/>
      <c r="G1213" s="1"/>
      <c r="H1213" s="161"/>
      <c r="I1213" s="37"/>
      <c r="J1213" s="135"/>
      <c r="K1213" s="112"/>
      <c r="L1213" s="37"/>
      <c r="M1213" s="37"/>
      <c r="N1213" s="37"/>
      <c r="O1213" s="130"/>
      <c r="P1213" s="132"/>
      <c r="Q1213" s="262"/>
      <c r="R1213" s="92"/>
    </row>
    <row r="1214" spans="3:18" x14ac:dyDescent="0.25">
      <c r="C1214" s="264"/>
      <c r="D1214" s="157"/>
      <c r="E1214" s="44"/>
      <c r="F1214" s="146"/>
      <c r="G1214" s="1"/>
      <c r="H1214" s="161"/>
      <c r="I1214" s="37"/>
      <c r="J1214" s="135"/>
      <c r="K1214" s="112"/>
      <c r="L1214" s="37"/>
      <c r="M1214" s="37"/>
      <c r="N1214" s="37"/>
      <c r="O1214" s="130"/>
      <c r="P1214" s="132"/>
      <c r="Q1214" s="262"/>
      <c r="R1214" s="92"/>
    </row>
    <row r="1215" spans="3:18" x14ac:dyDescent="0.25">
      <c r="C1215" s="264"/>
      <c r="D1215" s="157"/>
      <c r="E1215" s="44"/>
      <c r="F1215" s="146"/>
      <c r="G1215" s="1"/>
      <c r="H1215" s="161"/>
      <c r="I1215" s="37"/>
      <c r="J1215" s="135"/>
      <c r="K1215" s="112"/>
      <c r="L1215" s="37"/>
      <c r="M1215" s="37"/>
      <c r="N1215" s="37"/>
      <c r="O1215" s="130"/>
      <c r="P1215" s="132"/>
      <c r="Q1215" s="262"/>
      <c r="R1215" s="92"/>
    </row>
    <row r="1216" spans="3:18" x14ac:dyDescent="0.25">
      <c r="C1216" s="264"/>
      <c r="D1216" s="157"/>
      <c r="E1216" s="44"/>
      <c r="F1216" s="146"/>
      <c r="G1216" s="1"/>
      <c r="H1216" s="161"/>
      <c r="I1216" s="37"/>
      <c r="J1216" s="135"/>
      <c r="K1216" s="112"/>
      <c r="L1216" s="37"/>
      <c r="M1216" s="37"/>
      <c r="N1216" s="37"/>
      <c r="O1216" s="130"/>
      <c r="P1216" s="132"/>
      <c r="Q1216" s="262"/>
      <c r="R1216" s="92"/>
    </row>
    <row r="1217" spans="3:18" x14ac:dyDescent="0.25">
      <c r="C1217" s="264"/>
      <c r="D1217" s="157"/>
      <c r="E1217" s="44"/>
      <c r="F1217" s="146"/>
      <c r="G1217" s="1"/>
      <c r="H1217" s="161"/>
      <c r="I1217" s="37"/>
      <c r="J1217" s="135"/>
      <c r="K1217" s="112"/>
      <c r="L1217" s="37"/>
      <c r="M1217" s="37"/>
      <c r="N1217" s="37"/>
      <c r="O1217" s="130"/>
      <c r="P1217" s="132"/>
      <c r="Q1217" s="262"/>
      <c r="R1217" s="92"/>
    </row>
    <row r="1218" spans="3:18" x14ac:dyDescent="0.25">
      <c r="C1218" s="264"/>
      <c r="D1218" s="157"/>
      <c r="E1218" s="44"/>
      <c r="F1218" s="146"/>
      <c r="G1218" s="1"/>
      <c r="H1218" s="161"/>
      <c r="I1218" s="37"/>
      <c r="J1218" s="135"/>
      <c r="K1218" s="112"/>
      <c r="L1218" s="37"/>
      <c r="M1218" s="37"/>
      <c r="N1218" s="37"/>
      <c r="O1218" s="130"/>
      <c r="P1218" s="132"/>
      <c r="Q1218" s="262"/>
      <c r="R1218" s="92"/>
    </row>
    <row r="1219" spans="3:18" x14ac:dyDescent="0.25">
      <c r="C1219" s="264"/>
      <c r="D1219" s="157"/>
      <c r="E1219" s="44"/>
      <c r="F1219" s="146"/>
      <c r="G1219" s="1"/>
      <c r="H1219" s="161"/>
      <c r="I1219" s="37"/>
      <c r="J1219" s="135"/>
      <c r="K1219" s="112"/>
      <c r="L1219" s="37"/>
      <c r="M1219" s="37"/>
      <c r="N1219" s="37"/>
      <c r="O1219" s="130"/>
      <c r="P1219" s="132"/>
      <c r="Q1219" s="262"/>
      <c r="R1219" s="92"/>
    </row>
    <row r="1220" spans="3:18" x14ac:dyDescent="0.25">
      <c r="C1220" s="264"/>
      <c r="D1220" s="157"/>
      <c r="E1220" s="44"/>
      <c r="F1220" s="146"/>
      <c r="G1220" s="1"/>
      <c r="H1220" s="161"/>
      <c r="I1220" s="37"/>
      <c r="J1220" s="135"/>
      <c r="K1220" s="112"/>
      <c r="L1220" s="37"/>
      <c r="M1220" s="37"/>
      <c r="N1220" s="37"/>
      <c r="O1220" s="130"/>
      <c r="P1220" s="132"/>
      <c r="Q1220" s="262"/>
      <c r="R1220" s="92"/>
    </row>
    <row r="1221" spans="3:18" x14ac:dyDescent="0.25">
      <c r="C1221" s="264"/>
      <c r="D1221" s="157"/>
      <c r="E1221" s="44"/>
      <c r="F1221" s="146"/>
      <c r="G1221" s="1"/>
      <c r="H1221" s="161"/>
      <c r="I1221" s="37"/>
      <c r="J1221" s="135"/>
      <c r="K1221" s="112"/>
      <c r="L1221" s="37"/>
      <c r="M1221" s="37"/>
      <c r="N1221" s="37"/>
      <c r="O1221" s="130"/>
      <c r="P1221" s="132"/>
      <c r="Q1221" s="262"/>
      <c r="R1221" s="92"/>
    </row>
    <row r="1222" spans="3:18" x14ac:dyDescent="0.25">
      <c r="C1222" s="264"/>
      <c r="D1222" s="157"/>
      <c r="E1222" s="44"/>
      <c r="F1222" s="146"/>
      <c r="G1222" s="1"/>
      <c r="H1222" s="161"/>
      <c r="I1222" s="37"/>
      <c r="J1222" s="135"/>
      <c r="K1222" s="112"/>
      <c r="L1222" s="37"/>
      <c r="M1222" s="37"/>
      <c r="N1222" s="37"/>
      <c r="O1222" s="130"/>
      <c r="P1222" s="132"/>
      <c r="Q1222" s="262"/>
      <c r="R1222" s="92"/>
    </row>
    <row r="1223" spans="3:18" x14ac:dyDescent="0.25">
      <c r="C1223" s="264"/>
      <c r="D1223" s="157"/>
      <c r="E1223" s="44"/>
      <c r="F1223" s="146"/>
      <c r="G1223" s="1"/>
      <c r="H1223" s="161"/>
      <c r="I1223" s="37"/>
      <c r="J1223" s="135"/>
      <c r="K1223" s="112"/>
      <c r="L1223" s="37"/>
      <c r="M1223" s="37"/>
      <c r="N1223" s="37"/>
      <c r="O1223" s="130"/>
      <c r="P1223" s="132"/>
      <c r="Q1223" s="262"/>
      <c r="R1223" s="92"/>
    </row>
    <row r="1224" spans="3:18" x14ac:dyDescent="0.25">
      <c r="C1224" s="264"/>
      <c r="D1224" s="157"/>
      <c r="E1224" s="44"/>
      <c r="F1224" s="146"/>
      <c r="G1224" s="1"/>
      <c r="H1224" s="161"/>
      <c r="I1224" s="37"/>
      <c r="J1224" s="135"/>
      <c r="K1224" s="112"/>
      <c r="L1224" s="37"/>
      <c r="M1224" s="37"/>
      <c r="N1224" s="37"/>
      <c r="O1224" s="130"/>
      <c r="P1224" s="132"/>
      <c r="Q1224" s="262"/>
      <c r="R1224" s="92"/>
    </row>
    <row r="1225" spans="3:18" x14ac:dyDescent="0.25">
      <c r="C1225" s="264"/>
      <c r="D1225" s="157"/>
      <c r="E1225" s="44"/>
      <c r="F1225" s="146"/>
      <c r="G1225" s="1"/>
      <c r="H1225" s="161"/>
      <c r="I1225" s="37"/>
      <c r="J1225" s="135"/>
      <c r="K1225" s="112"/>
      <c r="L1225" s="37"/>
      <c r="M1225" s="37"/>
      <c r="N1225" s="37"/>
      <c r="O1225" s="130"/>
      <c r="P1225" s="132"/>
      <c r="Q1225" s="262"/>
      <c r="R1225" s="92"/>
    </row>
    <row r="1226" spans="3:18" x14ac:dyDescent="0.25">
      <c r="C1226" s="264"/>
      <c r="D1226" s="157"/>
      <c r="E1226" s="44"/>
      <c r="F1226" s="146"/>
      <c r="G1226" s="1"/>
      <c r="H1226" s="161"/>
      <c r="I1226" s="37"/>
      <c r="J1226" s="135"/>
      <c r="K1226" s="112"/>
      <c r="L1226" s="37"/>
      <c r="M1226" s="37"/>
      <c r="N1226" s="37"/>
      <c r="O1226" s="130"/>
      <c r="P1226" s="132"/>
      <c r="Q1226" s="262"/>
      <c r="R1226" s="92"/>
    </row>
    <row r="1227" spans="3:18" x14ac:dyDescent="0.25">
      <c r="C1227" s="264"/>
      <c r="D1227" s="157"/>
      <c r="E1227" s="44"/>
      <c r="F1227" s="146"/>
      <c r="G1227" s="1"/>
      <c r="H1227" s="161"/>
      <c r="I1227" s="37"/>
      <c r="J1227" s="135"/>
      <c r="K1227" s="112"/>
      <c r="L1227" s="37"/>
      <c r="M1227" s="37"/>
      <c r="N1227" s="37"/>
      <c r="O1227" s="130"/>
      <c r="P1227" s="132"/>
      <c r="Q1227" s="262"/>
      <c r="R1227" s="92"/>
    </row>
    <row r="1228" spans="3:18" x14ac:dyDescent="0.25">
      <c r="C1228" s="264"/>
      <c r="D1228" s="157"/>
      <c r="E1228" s="44"/>
      <c r="F1228" s="146"/>
      <c r="G1228" s="1"/>
      <c r="H1228" s="161"/>
      <c r="I1228" s="37"/>
      <c r="J1228" s="135"/>
      <c r="K1228" s="112"/>
      <c r="L1228" s="37"/>
      <c r="M1228" s="37"/>
      <c r="N1228" s="37"/>
      <c r="O1228" s="130"/>
      <c r="P1228" s="132"/>
      <c r="Q1228" s="262"/>
      <c r="R1228" s="92"/>
    </row>
    <row r="1229" spans="3:18" x14ac:dyDescent="0.25">
      <c r="C1229" s="264"/>
      <c r="D1229" s="157"/>
      <c r="E1229" s="44"/>
      <c r="F1229" s="146"/>
      <c r="G1229" s="1"/>
      <c r="H1229" s="161"/>
      <c r="I1229" s="37"/>
      <c r="J1229" s="135"/>
      <c r="K1229" s="112"/>
      <c r="L1229" s="37"/>
      <c r="M1229" s="37"/>
      <c r="N1229" s="37"/>
      <c r="O1229" s="130"/>
      <c r="P1229" s="132"/>
      <c r="Q1229" s="262"/>
      <c r="R1229" s="92"/>
    </row>
    <row r="1230" spans="3:18" x14ac:dyDescent="0.25">
      <c r="C1230" s="264"/>
      <c r="D1230" s="157"/>
      <c r="E1230" s="44"/>
      <c r="F1230" s="146"/>
      <c r="G1230" s="1"/>
      <c r="H1230" s="161"/>
      <c r="I1230" s="37"/>
      <c r="J1230" s="135"/>
      <c r="K1230" s="112"/>
      <c r="L1230" s="37"/>
      <c r="M1230" s="37"/>
      <c r="N1230" s="37"/>
      <c r="O1230" s="130"/>
      <c r="P1230" s="132"/>
      <c r="Q1230" s="262"/>
      <c r="R1230" s="92"/>
    </row>
    <row r="1231" spans="3:18" x14ac:dyDescent="0.25">
      <c r="C1231" s="264"/>
      <c r="D1231" s="157"/>
      <c r="E1231" s="44"/>
      <c r="F1231" s="146"/>
      <c r="G1231" s="1"/>
      <c r="H1231" s="161"/>
      <c r="I1231" s="37"/>
      <c r="J1231" s="135"/>
      <c r="K1231" s="112"/>
      <c r="L1231" s="37"/>
      <c r="M1231" s="37"/>
      <c r="N1231" s="37"/>
      <c r="O1231" s="130"/>
      <c r="P1231" s="132"/>
      <c r="Q1231" s="262"/>
      <c r="R1231" s="92"/>
    </row>
    <row r="1232" spans="3:18" x14ac:dyDescent="0.25">
      <c r="C1232" s="264"/>
      <c r="D1232" s="157"/>
      <c r="E1232" s="44"/>
      <c r="F1232" s="146"/>
      <c r="G1232" s="1"/>
      <c r="H1232" s="161"/>
      <c r="I1232" s="37"/>
      <c r="J1232" s="135"/>
      <c r="K1232" s="112"/>
      <c r="L1232" s="37"/>
      <c r="M1232" s="37"/>
      <c r="N1232" s="37"/>
      <c r="O1232" s="130"/>
      <c r="P1232" s="132"/>
      <c r="Q1232" s="262"/>
      <c r="R1232" s="92"/>
    </row>
    <row r="1233" spans="3:18" x14ac:dyDescent="0.25">
      <c r="C1233" s="264"/>
      <c r="D1233" s="157"/>
      <c r="E1233" s="44"/>
      <c r="F1233" s="146"/>
      <c r="G1233" s="1"/>
      <c r="H1233" s="161"/>
      <c r="I1233" s="37"/>
      <c r="J1233" s="135"/>
      <c r="K1233" s="112"/>
      <c r="L1233" s="37"/>
      <c r="M1233" s="37"/>
      <c r="N1233" s="37"/>
      <c r="O1233" s="130"/>
      <c r="P1233" s="132"/>
      <c r="Q1233" s="262"/>
      <c r="R1233" s="92"/>
    </row>
    <row r="1234" spans="3:18" x14ac:dyDescent="0.25">
      <c r="C1234" s="264"/>
      <c r="D1234" s="157"/>
      <c r="E1234" s="44"/>
      <c r="F1234" s="146"/>
      <c r="G1234" s="1"/>
      <c r="H1234" s="161"/>
      <c r="I1234" s="37"/>
      <c r="J1234" s="135"/>
      <c r="K1234" s="112"/>
      <c r="L1234" s="37"/>
      <c r="M1234" s="37"/>
      <c r="N1234" s="37"/>
      <c r="O1234" s="130"/>
      <c r="P1234" s="132"/>
      <c r="Q1234" s="262"/>
      <c r="R1234" s="92"/>
    </row>
    <row r="1235" spans="3:18" x14ac:dyDescent="0.25">
      <c r="C1235" s="264"/>
      <c r="D1235" s="157"/>
      <c r="E1235" s="44"/>
      <c r="F1235" s="146"/>
      <c r="G1235" s="1"/>
      <c r="H1235" s="161"/>
      <c r="I1235" s="37"/>
      <c r="J1235" s="135"/>
      <c r="K1235" s="112"/>
      <c r="L1235" s="37"/>
      <c r="M1235" s="37"/>
      <c r="N1235" s="37"/>
      <c r="O1235" s="130"/>
      <c r="P1235" s="132"/>
      <c r="Q1235" s="262"/>
      <c r="R1235" s="92"/>
    </row>
    <row r="1236" spans="3:18" x14ac:dyDescent="0.25">
      <c r="C1236" s="264"/>
      <c r="D1236" s="157"/>
      <c r="E1236" s="44"/>
      <c r="F1236" s="146"/>
      <c r="G1236" s="1"/>
      <c r="H1236" s="161"/>
      <c r="I1236" s="37"/>
      <c r="J1236" s="135"/>
      <c r="K1236" s="112"/>
      <c r="L1236" s="37"/>
      <c r="M1236" s="37"/>
      <c r="N1236" s="37"/>
      <c r="O1236" s="130"/>
      <c r="P1236" s="132"/>
      <c r="Q1236" s="262"/>
      <c r="R1236" s="92"/>
    </row>
    <row r="1237" spans="3:18" x14ac:dyDescent="0.25">
      <c r="C1237" s="264"/>
      <c r="D1237" s="157"/>
      <c r="E1237" s="44"/>
      <c r="F1237" s="146"/>
      <c r="G1237" s="1"/>
      <c r="H1237" s="161"/>
      <c r="I1237" s="37"/>
      <c r="J1237" s="135"/>
      <c r="K1237" s="112"/>
      <c r="L1237" s="37"/>
      <c r="M1237" s="37"/>
      <c r="N1237" s="37"/>
      <c r="O1237" s="130"/>
      <c r="P1237" s="132"/>
      <c r="Q1237" s="262"/>
      <c r="R1237" s="92"/>
    </row>
    <row r="1238" spans="3:18" x14ac:dyDescent="0.25">
      <c r="C1238" s="264"/>
      <c r="D1238" s="157"/>
      <c r="E1238" s="44"/>
      <c r="F1238" s="146"/>
      <c r="G1238" s="1"/>
      <c r="H1238" s="161"/>
      <c r="I1238" s="37"/>
      <c r="J1238" s="135"/>
      <c r="K1238" s="112"/>
      <c r="L1238" s="37"/>
      <c r="M1238" s="37"/>
      <c r="N1238" s="37"/>
      <c r="O1238" s="130"/>
      <c r="P1238" s="132"/>
      <c r="Q1238" s="262"/>
      <c r="R1238" s="92"/>
    </row>
    <row r="1239" spans="3:18" x14ac:dyDescent="0.25">
      <c r="C1239" s="264"/>
      <c r="D1239" s="157"/>
      <c r="E1239" s="44"/>
      <c r="F1239" s="146"/>
      <c r="G1239" s="1"/>
      <c r="H1239" s="161"/>
      <c r="I1239" s="37"/>
      <c r="J1239" s="135"/>
      <c r="K1239" s="112"/>
      <c r="L1239" s="37"/>
      <c r="M1239" s="37"/>
      <c r="N1239" s="37"/>
      <c r="O1239" s="130"/>
      <c r="P1239" s="132"/>
      <c r="Q1239" s="262"/>
      <c r="R1239" s="92"/>
    </row>
    <row r="1240" spans="3:18" x14ac:dyDescent="0.25">
      <c r="C1240" s="264"/>
      <c r="D1240" s="157"/>
      <c r="E1240" s="44"/>
      <c r="F1240" s="146"/>
      <c r="G1240" s="1"/>
      <c r="H1240" s="161"/>
      <c r="I1240" s="37"/>
      <c r="J1240" s="135"/>
      <c r="K1240" s="112"/>
      <c r="L1240" s="37"/>
      <c r="M1240" s="37"/>
      <c r="N1240" s="37"/>
      <c r="O1240" s="130"/>
      <c r="P1240" s="132"/>
      <c r="Q1240" s="262"/>
      <c r="R1240" s="92"/>
    </row>
    <row r="1241" spans="3:18" x14ac:dyDescent="0.25">
      <c r="C1241" s="264"/>
      <c r="D1241" s="157"/>
      <c r="E1241" s="44"/>
      <c r="F1241" s="146"/>
      <c r="G1241" s="1"/>
      <c r="H1241" s="161"/>
      <c r="I1241" s="37"/>
      <c r="J1241" s="135"/>
      <c r="K1241" s="112"/>
      <c r="L1241" s="37"/>
      <c r="M1241" s="37"/>
      <c r="N1241" s="37"/>
      <c r="O1241" s="130"/>
      <c r="P1241" s="132"/>
      <c r="Q1241" s="262"/>
      <c r="R1241" s="92"/>
    </row>
    <row r="1242" spans="3:18" x14ac:dyDescent="0.25">
      <c r="C1242" s="264"/>
      <c r="D1242" s="157"/>
      <c r="E1242" s="44"/>
      <c r="F1242" s="146"/>
      <c r="G1242" s="1"/>
      <c r="H1242" s="161"/>
      <c r="I1242" s="37"/>
      <c r="J1242" s="135"/>
      <c r="K1242" s="112"/>
      <c r="L1242" s="37"/>
      <c r="M1242" s="37"/>
      <c r="N1242" s="37"/>
      <c r="O1242" s="130"/>
      <c r="P1242" s="132"/>
      <c r="Q1242" s="262"/>
      <c r="R1242" s="92"/>
    </row>
    <row r="1243" spans="3:18" x14ac:dyDescent="0.25">
      <c r="C1243" s="264"/>
      <c r="D1243" s="157"/>
      <c r="E1243" s="44"/>
      <c r="F1243" s="146"/>
      <c r="G1243" s="1"/>
      <c r="H1243" s="161"/>
      <c r="I1243" s="37"/>
      <c r="J1243" s="135"/>
      <c r="K1243" s="112"/>
      <c r="L1243" s="37"/>
      <c r="M1243" s="37"/>
      <c r="N1243" s="37"/>
      <c r="O1243" s="130"/>
      <c r="P1243" s="132"/>
      <c r="Q1243" s="262"/>
      <c r="R1243" s="92"/>
    </row>
    <row r="1244" spans="3:18" x14ac:dyDescent="0.25">
      <c r="C1244" s="264"/>
      <c r="D1244" s="157"/>
      <c r="E1244" s="44"/>
      <c r="F1244" s="146"/>
      <c r="G1244" s="1"/>
      <c r="H1244" s="161"/>
      <c r="I1244" s="37"/>
      <c r="J1244" s="135"/>
      <c r="K1244" s="112"/>
      <c r="L1244" s="37"/>
      <c r="M1244" s="37"/>
      <c r="N1244" s="37"/>
      <c r="O1244" s="130"/>
      <c r="P1244" s="132"/>
      <c r="Q1244" s="262"/>
      <c r="R1244" s="92"/>
    </row>
    <row r="1245" spans="3:18" x14ac:dyDescent="0.25">
      <c r="C1245" s="264"/>
      <c r="D1245" s="157"/>
      <c r="E1245" s="44"/>
      <c r="F1245" s="146"/>
      <c r="G1245" s="1"/>
      <c r="H1245" s="161"/>
      <c r="I1245" s="37"/>
      <c r="J1245" s="135"/>
      <c r="K1245" s="112"/>
      <c r="L1245" s="37"/>
      <c r="M1245" s="37"/>
      <c r="N1245" s="37"/>
      <c r="O1245" s="130"/>
      <c r="P1245" s="132"/>
      <c r="Q1245" s="262"/>
      <c r="R1245" s="92"/>
    </row>
    <row r="1246" spans="3:18" x14ac:dyDescent="0.25">
      <c r="C1246" s="264"/>
      <c r="D1246" s="157"/>
      <c r="E1246" s="44"/>
      <c r="F1246" s="146"/>
      <c r="G1246" s="1"/>
      <c r="H1246" s="161"/>
      <c r="I1246" s="37"/>
      <c r="J1246" s="135"/>
      <c r="K1246" s="112"/>
      <c r="L1246" s="37"/>
      <c r="M1246" s="37"/>
      <c r="N1246" s="37"/>
      <c r="O1246" s="130"/>
      <c r="P1246" s="132"/>
      <c r="Q1246" s="262"/>
      <c r="R1246" s="92"/>
    </row>
    <row r="1247" spans="3:18" x14ac:dyDescent="0.25">
      <c r="C1247" s="264"/>
      <c r="D1247" s="157"/>
      <c r="E1247" s="44"/>
      <c r="F1247" s="146"/>
      <c r="G1247" s="1"/>
      <c r="H1247" s="161"/>
      <c r="I1247" s="37"/>
      <c r="J1247" s="135"/>
      <c r="K1247" s="112"/>
      <c r="L1247" s="37"/>
      <c r="M1247" s="37"/>
      <c r="N1247" s="37"/>
      <c r="O1247" s="130"/>
      <c r="P1247" s="132"/>
      <c r="Q1247" s="262"/>
      <c r="R1247" s="92"/>
    </row>
    <row r="1248" spans="3:18" x14ac:dyDescent="0.25">
      <c r="C1248" s="264"/>
      <c r="D1248" s="157"/>
      <c r="E1248" s="44"/>
      <c r="F1248" s="146"/>
      <c r="G1248" s="1"/>
      <c r="H1248" s="161"/>
      <c r="I1248" s="37"/>
      <c r="J1248" s="135"/>
      <c r="K1248" s="112"/>
      <c r="L1248" s="37"/>
      <c r="M1248" s="37"/>
      <c r="N1248" s="37"/>
      <c r="O1248" s="130"/>
      <c r="P1248" s="132"/>
      <c r="Q1248" s="262"/>
      <c r="R1248" s="92"/>
    </row>
    <row r="1249" spans="3:18" x14ac:dyDescent="0.25">
      <c r="C1249" s="264"/>
      <c r="D1249" s="157"/>
      <c r="E1249" s="44"/>
      <c r="F1249" s="146"/>
      <c r="G1249" s="1"/>
      <c r="H1249" s="161"/>
      <c r="I1249" s="37"/>
      <c r="J1249" s="135"/>
      <c r="K1249" s="112"/>
      <c r="L1249" s="37"/>
      <c r="M1249" s="37"/>
      <c r="N1249" s="37"/>
      <c r="O1249" s="130"/>
      <c r="P1249" s="132"/>
      <c r="Q1249" s="262"/>
      <c r="R1249" s="92"/>
    </row>
    <row r="1250" spans="3:18" x14ac:dyDescent="0.25">
      <c r="C1250" s="264"/>
      <c r="D1250" s="157"/>
      <c r="E1250" s="44"/>
      <c r="F1250" s="146"/>
      <c r="G1250" s="1"/>
      <c r="H1250" s="161"/>
      <c r="I1250" s="37"/>
      <c r="J1250" s="135"/>
      <c r="K1250" s="112"/>
      <c r="L1250" s="37"/>
      <c r="M1250" s="37"/>
      <c r="N1250" s="37"/>
      <c r="O1250" s="130"/>
      <c r="P1250" s="132"/>
      <c r="Q1250" s="262"/>
      <c r="R1250" s="92"/>
    </row>
    <row r="1251" spans="3:18" x14ac:dyDescent="0.25">
      <c r="C1251" s="264"/>
      <c r="D1251" s="157"/>
      <c r="E1251" s="44"/>
      <c r="F1251" s="146"/>
      <c r="G1251" s="1"/>
      <c r="H1251" s="161"/>
      <c r="I1251" s="37"/>
      <c r="J1251" s="135"/>
      <c r="K1251" s="112"/>
      <c r="L1251" s="37"/>
      <c r="M1251" s="37"/>
      <c r="N1251" s="37"/>
      <c r="O1251" s="130"/>
      <c r="P1251" s="132"/>
      <c r="Q1251" s="262"/>
      <c r="R1251" s="92"/>
    </row>
    <row r="1252" spans="3:18" x14ac:dyDescent="0.25">
      <c r="C1252" s="264"/>
      <c r="D1252" s="157"/>
      <c r="E1252" s="44"/>
      <c r="F1252" s="146"/>
      <c r="G1252" s="1"/>
      <c r="H1252" s="161"/>
      <c r="I1252" s="37"/>
      <c r="J1252" s="135"/>
      <c r="K1252" s="112"/>
      <c r="L1252" s="37"/>
      <c r="M1252" s="37"/>
      <c r="N1252" s="37"/>
      <c r="O1252" s="130"/>
      <c r="P1252" s="132"/>
      <c r="Q1252" s="262"/>
      <c r="R1252" s="92"/>
    </row>
    <row r="1253" spans="3:18" x14ac:dyDescent="0.25">
      <c r="C1253" s="264"/>
      <c r="D1253" s="157"/>
      <c r="E1253" s="44"/>
      <c r="F1253" s="146"/>
      <c r="G1253" s="1"/>
      <c r="H1253" s="161"/>
      <c r="I1253" s="37"/>
      <c r="J1253" s="135"/>
      <c r="K1253" s="112"/>
      <c r="L1253" s="37"/>
      <c r="M1253" s="37"/>
      <c r="N1253" s="37"/>
      <c r="O1253" s="130"/>
      <c r="P1253" s="132"/>
      <c r="Q1253" s="262"/>
      <c r="R1253" s="92"/>
    </row>
    <row r="1254" spans="3:18" x14ac:dyDescent="0.25">
      <c r="C1254" s="264"/>
      <c r="D1254" s="157"/>
      <c r="E1254" s="44"/>
      <c r="F1254" s="146"/>
      <c r="G1254" s="1"/>
      <c r="H1254" s="161"/>
      <c r="I1254" s="37"/>
      <c r="J1254" s="135"/>
      <c r="K1254" s="112"/>
      <c r="L1254" s="37"/>
      <c r="M1254" s="37"/>
      <c r="N1254" s="37"/>
      <c r="O1254" s="130"/>
      <c r="P1254" s="132"/>
      <c r="Q1254" s="262"/>
      <c r="R1254" s="92"/>
    </row>
    <row r="1255" spans="3:18" x14ac:dyDescent="0.25">
      <c r="C1255" s="264"/>
      <c r="D1255" s="157"/>
      <c r="E1255" s="44"/>
      <c r="F1255" s="146"/>
      <c r="G1255" s="1"/>
      <c r="H1255" s="161"/>
      <c r="I1255" s="37"/>
      <c r="J1255" s="135"/>
      <c r="K1255" s="112"/>
      <c r="L1255" s="37"/>
      <c r="M1255" s="37"/>
      <c r="N1255" s="37"/>
      <c r="O1255" s="130"/>
      <c r="P1255" s="132"/>
      <c r="Q1255" s="262"/>
      <c r="R1255" s="92"/>
    </row>
    <row r="1256" spans="3:18" x14ac:dyDescent="0.25">
      <c r="C1256" s="264"/>
      <c r="D1256" s="157"/>
      <c r="E1256" s="44"/>
      <c r="F1256" s="146"/>
      <c r="G1256" s="1"/>
      <c r="H1256" s="161"/>
      <c r="I1256" s="37"/>
      <c r="J1256" s="135"/>
      <c r="K1256" s="112"/>
      <c r="L1256" s="37"/>
      <c r="M1256" s="37"/>
      <c r="N1256" s="37"/>
      <c r="O1256" s="130"/>
      <c r="P1256" s="132"/>
      <c r="Q1256" s="262"/>
      <c r="R1256" s="92"/>
    </row>
    <row r="1257" spans="3:18" x14ac:dyDescent="0.25">
      <c r="C1257" s="264"/>
      <c r="D1257" s="157"/>
      <c r="E1257" s="44"/>
      <c r="F1257" s="146"/>
      <c r="G1257" s="1"/>
      <c r="H1257" s="161"/>
      <c r="I1257" s="37"/>
      <c r="J1257" s="135"/>
      <c r="K1257" s="112"/>
      <c r="L1257" s="37"/>
      <c r="M1257" s="37"/>
      <c r="N1257" s="37"/>
      <c r="O1257" s="130"/>
      <c r="P1257" s="132"/>
      <c r="Q1257" s="262"/>
      <c r="R1257" s="92"/>
    </row>
    <row r="1258" spans="3:18" x14ac:dyDescent="0.25">
      <c r="C1258" s="264"/>
      <c r="D1258" s="157"/>
      <c r="E1258" s="44"/>
      <c r="F1258" s="146"/>
      <c r="G1258" s="1"/>
      <c r="H1258" s="161"/>
      <c r="I1258" s="37"/>
      <c r="J1258" s="135"/>
      <c r="K1258" s="112"/>
      <c r="L1258" s="37"/>
      <c r="M1258" s="37"/>
      <c r="N1258" s="37"/>
      <c r="O1258" s="130"/>
      <c r="P1258" s="132"/>
      <c r="Q1258" s="262"/>
      <c r="R1258" s="92"/>
    </row>
    <row r="1259" spans="3:18" x14ac:dyDescent="0.25">
      <c r="C1259" s="264"/>
      <c r="D1259" s="157"/>
      <c r="E1259" s="44"/>
      <c r="F1259" s="146"/>
      <c r="G1259" s="1"/>
      <c r="H1259" s="161"/>
      <c r="I1259" s="37"/>
      <c r="J1259" s="135"/>
      <c r="K1259" s="112"/>
      <c r="L1259" s="37"/>
      <c r="M1259" s="37"/>
      <c r="N1259" s="37"/>
      <c r="O1259" s="130"/>
      <c r="P1259" s="132"/>
      <c r="Q1259" s="262"/>
      <c r="R1259" s="92"/>
    </row>
    <row r="1260" spans="3:18" x14ac:dyDescent="0.25">
      <c r="C1260" s="264"/>
      <c r="D1260" s="157"/>
      <c r="E1260" s="44"/>
      <c r="F1260" s="146"/>
      <c r="G1260" s="1"/>
      <c r="H1260" s="161"/>
      <c r="I1260" s="37"/>
      <c r="J1260" s="135"/>
      <c r="K1260" s="112"/>
      <c r="L1260" s="37"/>
      <c r="M1260" s="37"/>
      <c r="N1260" s="37"/>
      <c r="O1260" s="130"/>
      <c r="P1260" s="132"/>
      <c r="Q1260" s="262"/>
      <c r="R1260" s="92"/>
    </row>
    <row r="1261" spans="3:18" x14ac:dyDescent="0.25">
      <c r="C1261" s="264"/>
      <c r="D1261" s="157"/>
      <c r="E1261" s="44"/>
      <c r="F1261" s="146"/>
      <c r="G1261" s="1"/>
      <c r="H1261" s="161"/>
      <c r="I1261" s="37"/>
      <c r="J1261" s="135"/>
      <c r="K1261" s="112"/>
      <c r="L1261" s="37"/>
      <c r="M1261" s="37"/>
      <c r="N1261" s="37"/>
      <c r="O1261" s="130"/>
      <c r="P1261" s="132"/>
      <c r="Q1261" s="262"/>
      <c r="R1261" s="92"/>
    </row>
    <row r="1262" spans="3:18" x14ac:dyDescent="0.25">
      <c r="C1262" s="264"/>
      <c r="D1262" s="157"/>
      <c r="E1262" s="44"/>
      <c r="F1262" s="146"/>
      <c r="G1262" s="1"/>
      <c r="H1262" s="161"/>
      <c r="I1262" s="37"/>
      <c r="J1262" s="135"/>
      <c r="K1262" s="112"/>
      <c r="L1262" s="37"/>
      <c r="M1262" s="37"/>
      <c r="N1262" s="37"/>
      <c r="O1262" s="130"/>
      <c r="P1262" s="132"/>
      <c r="Q1262" s="262"/>
      <c r="R1262" s="92"/>
    </row>
    <row r="1263" spans="3:18" x14ac:dyDescent="0.25">
      <c r="C1263" s="264"/>
      <c r="D1263" s="157"/>
      <c r="E1263" s="44"/>
      <c r="F1263" s="146"/>
      <c r="G1263" s="1"/>
      <c r="H1263" s="161"/>
      <c r="I1263" s="37"/>
      <c r="J1263" s="135"/>
      <c r="K1263" s="112"/>
      <c r="L1263" s="37"/>
      <c r="M1263" s="37"/>
      <c r="N1263" s="37"/>
      <c r="O1263" s="130"/>
      <c r="P1263" s="132"/>
      <c r="Q1263" s="262"/>
      <c r="R1263" s="92"/>
    </row>
    <row r="1264" spans="3:18" x14ac:dyDescent="0.25">
      <c r="C1264" s="264"/>
      <c r="D1264" s="157"/>
      <c r="E1264" s="44"/>
      <c r="F1264" s="146"/>
      <c r="G1264" s="1"/>
      <c r="H1264" s="161"/>
      <c r="I1264" s="37"/>
      <c r="J1264" s="135"/>
      <c r="K1264" s="112"/>
      <c r="L1264" s="37"/>
      <c r="M1264" s="37"/>
      <c r="N1264" s="37"/>
      <c r="O1264" s="130"/>
      <c r="P1264" s="132"/>
      <c r="Q1264" s="262"/>
      <c r="R1264" s="92"/>
    </row>
    <row r="1265" spans="3:18" x14ac:dyDescent="0.25">
      <c r="C1265" s="264"/>
      <c r="D1265" s="157"/>
      <c r="E1265" s="44"/>
      <c r="F1265" s="146"/>
      <c r="G1265" s="1"/>
      <c r="H1265" s="161"/>
      <c r="I1265" s="37"/>
      <c r="J1265" s="135"/>
      <c r="K1265" s="112"/>
      <c r="L1265" s="37"/>
      <c r="M1265" s="37"/>
      <c r="N1265" s="37"/>
      <c r="O1265" s="130"/>
      <c r="P1265" s="132"/>
      <c r="Q1265" s="262"/>
      <c r="R1265" s="92"/>
    </row>
    <row r="1266" spans="3:18" x14ac:dyDescent="0.25">
      <c r="C1266" s="264"/>
      <c r="D1266" s="157"/>
      <c r="E1266" s="44"/>
      <c r="F1266" s="146"/>
      <c r="G1266" s="1"/>
      <c r="H1266" s="161"/>
      <c r="I1266" s="37"/>
      <c r="J1266" s="135"/>
      <c r="K1266" s="112"/>
      <c r="L1266" s="37"/>
      <c r="M1266" s="37"/>
      <c r="N1266" s="37"/>
      <c r="O1266" s="130"/>
      <c r="P1266" s="132"/>
      <c r="Q1266" s="262"/>
      <c r="R1266" s="92"/>
    </row>
    <row r="1267" spans="3:18" x14ac:dyDescent="0.25">
      <c r="C1267" s="264"/>
      <c r="D1267" s="157"/>
      <c r="E1267" s="44"/>
      <c r="F1267" s="146"/>
      <c r="G1267" s="1"/>
      <c r="H1267" s="161"/>
      <c r="I1267" s="37"/>
      <c r="J1267" s="135"/>
      <c r="K1267" s="112"/>
      <c r="L1267" s="37"/>
      <c r="M1267" s="37"/>
      <c r="N1267" s="37"/>
      <c r="O1267" s="130"/>
      <c r="P1267" s="132"/>
      <c r="Q1267" s="262"/>
      <c r="R1267" s="92"/>
    </row>
    <row r="1268" spans="3:18" x14ac:dyDescent="0.25">
      <c r="C1268" s="264"/>
      <c r="D1268" s="157"/>
      <c r="E1268" s="44"/>
      <c r="F1268" s="146"/>
      <c r="G1268" s="1"/>
      <c r="H1268" s="161"/>
      <c r="I1268" s="37"/>
      <c r="J1268" s="135"/>
      <c r="K1268" s="112"/>
      <c r="L1268" s="37"/>
      <c r="M1268" s="37"/>
      <c r="N1268" s="37"/>
      <c r="O1268" s="130"/>
      <c r="P1268" s="132"/>
      <c r="Q1268" s="262"/>
      <c r="R1268" s="92"/>
    </row>
    <row r="1269" spans="3:18" x14ac:dyDescent="0.25">
      <c r="C1269" s="264"/>
      <c r="D1269" s="157"/>
      <c r="E1269" s="44"/>
      <c r="F1269" s="146"/>
      <c r="G1269" s="1"/>
      <c r="H1269" s="161"/>
      <c r="I1269" s="37"/>
      <c r="J1269" s="135"/>
      <c r="K1269" s="112"/>
      <c r="L1269" s="37"/>
      <c r="M1269" s="37"/>
      <c r="N1269" s="37"/>
      <c r="O1269" s="130"/>
      <c r="P1269" s="132"/>
      <c r="Q1269" s="262"/>
      <c r="R1269" s="92"/>
    </row>
    <row r="1270" spans="3:18" x14ac:dyDescent="0.25">
      <c r="C1270" s="264"/>
      <c r="D1270" s="157"/>
      <c r="E1270" s="44"/>
      <c r="F1270" s="146"/>
      <c r="G1270" s="1"/>
      <c r="H1270" s="161"/>
      <c r="I1270" s="37"/>
      <c r="J1270" s="135"/>
      <c r="K1270" s="112"/>
      <c r="L1270" s="37"/>
      <c r="M1270" s="37"/>
      <c r="N1270" s="37"/>
      <c r="O1270" s="130"/>
      <c r="P1270" s="132"/>
      <c r="Q1270" s="262"/>
      <c r="R1270" s="92"/>
    </row>
    <row r="1271" spans="3:18" x14ac:dyDescent="0.25">
      <c r="C1271" s="264"/>
      <c r="D1271" s="157"/>
      <c r="E1271" s="44"/>
      <c r="F1271" s="146"/>
      <c r="G1271" s="1"/>
      <c r="H1271" s="161"/>
      <c r="I1271" s="37"/>
      <c r="J1271" s="135"/>
      <c r="K1271" s="112"/>
      <c r="L1271" s="37"/>
      <c r="M1271" s="37"/>
      <c r="N1271" s="37"/>
      <c r="O1271" s="130"/>
      <c r="P1271" s="132"/>
      <c r="Q1271" s="262"/>
      <c r="R1271" s="92"/>
    </row>
    <row r="1272" spans="3:18" x14ac:dyDescent="0.25">
      <c r="C1272" s="264"/>
      <c r="D1272" s="157"/>
      <c r="E1272" s="44"/>
      <c r="F1272" s="146"/>
      <c r="G1272" s="1"/>
      <c r="H1272" s="161"/>
      <c r="I1272" s="37"/>
      <c r="J1272" s="135"/>
      <c r="K1272" s="112"/>
      <c r="L1272" s="37"/>
      <c r="M1272" s="37"/>
      <c r="N1272" s="37"/>
      <c r="O1272" s="130"/>
      <c r="P1272" s="132"/>
      <c r="Q1272" s="262"/>
      <c r="R1272" s="92"/>
    </row>
    <row r="1273" spans="3:18" x14ac:dyDescent="0.25">
      <c r="C1273" s="264"/>
      <c r="D1273" s="157"/>
      <c r="E1273" s="44"/>
      <c r="F1273" s="146"/>
      <c r="G1273" s="1"/>
      <c r="H1273" s="161"/>
      <c r="I1273" s="37"/>
      <c r="J1273" s="135"/>
      <c r="K1273" s="112"/>
      <c r="L1273" s="37"/>
      <c r="M1273" s="37"/>
      <c r="N1273" s="37"/>
      <c r="O1273" s="130"/>
      <c r="P1273" s="132"/>
      <c r="Q1273" s="262"/>
      <c r="R1273" s="92"/>
    </row>
    <row r="1274" spans="3:18" x14ac:dyDescent="0.25">
      <c r="C1274" s="264"/>
      <c r="D1274" s="157"/>
      <c r="E1274" s="44"/>
      <c r="F1274" s="146"/>
      <c r="G1274" s="1"/>
      <c r="H1274" s="161"/>
      <c r="I1274" s="37"/>
      <c r="J1274" s="135"/>
      <c r="K1274" s="112"/>
      <c r="L1274" s="37"/>
      <c r="M1274" s="37"/>
      <c r="N1274" s="37"/>
      <c r="O1274" s="130"/>
      <c r="P1274" s="132"/>
      <c r="Q1274" s="262"/>
      <c r="R1274" s="92"/>
    </row>
    <row r="1275" spans="3:18" x14ac:dyDescent="0.25">
      <c r="C1275" s="264"/>
      <c r="D1275" s="157"/>
      <c r="E1275" s="44"/>
      <c r="F1275" s="146"/>
      <c r="G1275" s="1"/>
      <c r="H1275" s="161"/>
      <c r="I1275" s="37"/>
      <c r="J1275" s="135"/>
      <c r="K1275" s="112"/>
      <c r="L1275" s="37"/>
      <c r="M1275" s="37"/>
      <c r="N1275" s="37"/>
      <c r="O1275" s="130"/>
      <c r="P1275" s="132"/>
      <c r="Q1275" s="262"/>
      <c r="R1275" s="92"/>
    </row>
    <row r="1276" spans="3:18" x14ac:dyDescent="0.25">
      <c r="C1276" s="264"/>
      <c r="D1276" s="157"/>
      <c r="E1276" s="44"/>
      <c r="F1276" s="146"/>
      <c r="G1276" s="1"/>
      <c r="H1276" s="161"/>
      <c r="I1276" s="37"/>
      <c r="J1276" s="135"/>
      <c r="K1276" s="112"/>
      <c r="L1276" s="37"/>
      <c r="M1276" s="37"/>
      <c r="N1276" s="37"/>
      <c r="O1276" s="130"/>
      <c r="P1276" s="132"/>
      <c r="Q1276" s="262"/>
      <c r="R1276" s="92"/>
    </row>
    <row r="1277" spans="3:18" x14ac:dyDescent="0.25">
      <c r="C1277" s="264"/>
      <c r="D1277" s="157"/>
      <c r="E1277" s="44"/>
      <c r="F1277" s="146"/>
      <c r="G1277" s="1"/>
      <c r="H1277" s="161"/>
      <c r="I1277" s="37"/>
      <c r="J1277" s="135"/>
      <c r="K1277" s="112"/>
      <c r="L1277" s="37"/>
      <c r="M1277" s="37"/>
      <c r="N1277" s="37"/>
      <c r="O1277" s="130"/>
      <c r="P1277" s="132"/>
      <c r="Q1277" s="262"/>
      <c r="R1277" s="92"/>
    </row>
    <row r="1278" spans="3:18" x14ac:dyDescent="0.25">
      <c r="C1278" s="264"/>
      <c r="D1278" s="157"/>
      <c r="E1278" s="44"/>
      <c r="F1278" s="146"/>
      <c r="G1278" s="1"/>
      <c r="H1278" s="161"/>
      <c r="I1278" s="37"/>
      <c r="J1278" s="135"/>
      <c r="K1278" s="112"/>
      <c r="L1278" s="37"/>
      <c r="M1278" s="37"/>
      <c r="N1278" s="37"/>
      <c r="O1278" s="130"/>
      <c r="P1278" s="132"/>
      <c r="Q1278" s="262"/>
      <c r="R1278" s="92"/>
    </row>
    <row r="1279" spans="3:18" x14ac:dyDescent="0.25">
      <c r="C1279" s="264"/>
      <c r="D1279" s="157"/>
      <c r="E1279" s="44"/>
      <c r="F1279" s="146"/>
      <c r="G1279" s="1"/>
      <c r="H1279" s="161"/>
      <c r="I1279" s="37"/>
      <c r="J1279" s="135"/>
      <c r="K1279" s="112"/>
      <c r="L1279" s="37"/>
      <c r="M1279" s="37"/>
      <c r="N1279" s="37"/>
      <c r="O1279" s="130"/>
      <c r="P1279" s="132"/>
      <c r="Q1279" s="262"/>
      <c r="R1279" s="92"/>
    </row>
    <row r="1280" spans="3:18" x14ac:dyDescent="0.25">
      <c r="C1280" s="264"/>
      <c r="D1280" s="157"/>
      <c r="E1280" s="44"/>
      <c r="F1280" s="146"/>
      <c r="G1280" s="1"/>
      <c r="H1280" s="161"/>
      <c r="I1280" s="37"/>
      <c r="J1280" s="135"/>
      <c r="K1280" s="112"/>
      <c r="L1280" s="37"/>
      <c r="M1280" s="37"/>
      <c r="N1280" s="37"/>
      <c r="O1280" s="130"/>
      <c r="P1280" s="132"/>
      <c r="Q1280" s="262"/>
      <c r="R1280" s="92"/>
    </row>
    <row r="1281" spans="3:18" x14ac:dyDescent="0.25">
      <c r="C1281" s="264"/>
      <c r="D1281" s="157"/>
      <c r="E1281" s="44"/>
      <c r="F1281" s="146"/>
      <c r="G1281" s="1"/>
      <c r="H1281" s="161"/>
      <c r="I1281" s="37"/>
      <c r="J1281" s="135"/>
      <c r="K1281" s="112"/>
      <c r="L1281" s="37"/>
      <c r="M1281" s="37"/>
      <c r="N1281" s="37"/>
      <c r="O1281" s="130"/>
      <c r="P1281" s="132"/>
      <c r="Q1281" s="262"/>
      <c r="R1281" s="92"/>
    </row>
    <row r="1282" spans="3:18" x14ac:dyDescent="0.25">
      <c r="C1282" s="264"/>
      <c r="D1282" s="157"/>
      <c r="E1282" s="44"/>
      <c r="F1282" s="146"/>
      <c r="G1282" s="1"/>
      <c r="H1282" s="161"/>
      <c r="I1282" s="37"/>
      <c r="J1282" s="135"/>
      <c r="K1282" s="112"/>
      <c r="L1282" s="37"/>
      <c r="M1282" s="37"/>
      <c r="N1282" s="37"/>
      <c r="O1282" s="130"/>
      <c r="P1282" s="132"/>
      <c r="Q1282" s="262"/>
      <c r="R1282" s="92"/>
    </row>
    <row r="1283" spans="3:18" x14ac:dyDescent="0.25">
      <c r="C1283" s="264"/>
      <c r="D1283" s="157"/>
      <c r="E1283" s="44"/>
      <c r="F1283" s="146"/>
      <c r="G1283" s="1"/>
      <c r="H1283" s="161"/>
      <c r="I1283" s="37"/>
      <c r="J1283" s="135"/>
      <c r="K1283" s="112"/>
      <c r="L1283" s="37"/>
      <c r="M1283" s="37"/>
      <c r="N1283" s="37"/>
      <c r="O1283" s="130"/>
      <c r="P1283" s="132"/>
      <c r="Q1283" s="262"/>
      <c r="R1283" s="92"/>
    </row>
    <row r="1284" spans="3:18" x14ac:dyDescent="0.25">
      <c r="C1284" s="264"/>
      <c r="D1284" s="157"/>
      <c r="E1284" s="44"/>
      <c r="F1284" s="146"/>
      <c r="G1284" s="1"/>
      <c r="H1284" s="161"/>
      <c r="I1284" s="37"/>
      <c r="J1284" s="135"/>
      <c r="K1284" s="112"/>
      <c r="L1284" s="37"/>
      <c r="M1284" s="37"/>
      <c r="N1284" s="37"/>
      <c r="O1284" s="130"/>
      <c r="P1284" s="132"/>
      <c r="Q1284" s="262"/>
      <c r="R1284" s="92"/>
    </row>
    <row r="1285" spans="3:18" x14ac:dyDescent="0.25">
      <c r="C1285" s="264"/>
      <c r="D1285" s="157"/>
      <c r="E1285" s="44"/>
      <c r="F1285" s="146"/>
      <c r="G1285" s="1"/>
      <c r="H1285" s="161"/>
      <c r="I1285" s="37"/>
      <c r="J1285" s="135"/>
      <c r="K1285" s="112"/>
      <c r="L1285" s="37"/>
      <c r="M1285" s="37"/>
      <c r="N1285" s="37"/>
      <c r="O1285" s="130"/>
      <c r="P1285" s="132"/>
      <c r="Q1285" s="262"/>
      <c r="R1285" s="92"/>
    </row>
    <row r="1286" spans="3:18" x14ac:dyDescent="0.25">
      <c r="C1286" s="264"/>
      <c r="D1286" s="157"/>
      <c r="E1286" s="44"/>
      <c r="F1286" s="146"/>
      <c r="G1286" s="1"/>
      <c r="H1286" s="161"/>
      <c r="I1286" s="37"/>
      <c r="J1286" s="135"/>
      <c r="K1286" s="112"/>
      <c r="L1286" s="37"/>
      <c r="M1286" s="37"/>
      <c r="N1286" s="37"/>
      <c r="O1286" s="130"/>
      <c r="P1286" s="132"/>
      <c r="Q1286" s="262"/>
      <c r="R1286" s="92"/>
    </row>
    <row r="1287" spans="3:18" x14ac:dyDescent="0.25">
      <c r="C1287" s="264"/>
      <c r="D1287" s="157"/>
      <c r="E1287" s="44"/>
      <c r="F1287" s="146"/>
      <c r="G1287" s="1"/>
      <c r="H1287" s="161"/>
      <c r="I1287" s="37"/>
      <c r="J1287" s="135"/>
      <c r="K1287" s="112"/>
      <c r="L1287" s="37"/>
      <c r="M1287" s="37"/>
      <c r="N1287" s="37"/>
      <c r="O1287" s="130"/>
      <c r="P1287" s="132"/>
      <c r="Q1287" s="262"/>
      <c r="R1287" s="92"/>
    </row>
    <row r="1288" spans="3:18" x14ac:dyDescent="0.25">
      <c r="C1288" s="264"/>
      <c r="D1288" s="157"/>
      <c r="E1288" s="44"/>
      <c r="F1288" s="146"/>
      <c r="G1288" s="1"/>
      <c r="H1288" s="161"/>
      <c r="I1288" s="37"/>
      <c r="J1288" s="135"/>
      <c r="K1288" s="112"/>
      <c r="L1288" s="37"/>
      <c r="M1288" s="37"/>
      <c r="N1288" s="37"/>
      <c r="O1288" s="130"/>
      <c r="P1288" s="132"/>
      <c r="Q1288" s="262"/>
      <c r="R1288" s="92"/>
    </row>
    <row r="1289" spans="3:18" x14ac:dyDescent="0.25">
      <c r="C1289" s="264"/>
      <c r="D1289" s="157"/>
      <c r="E1289" s="44"/>
      <c r="F1289" s="146"/>
      <c r="G1289" s="1"/>
      <c r="H1289" s="161"/>
      <c r="I1289" s="37"/>
      <c r="J1289" s="135"/>
      <c r="K1289" s="112"/>
      <c r="L1289" s="37"/>
      <c r="M1289" s="37"/>
      <c r="N1289" s="37"/>
      <c r="O1289" s="130"/>
      <c r="P1289" s="132"/>
      <c r="Q1289" s="262"/>
      <c r="R1289" s="92"/>
    </row>
    <row r="1290" spans="3:18" x14ac:dyDescent="0.25">
      <c r="C1290" s="264"/>
      <c r="D1290" s="157"/>
      <c r="E1290" s="44"/>
      <c r="F1290" s="146"/>
      <c r="G1290" s="1"/>
      <c r="H1290" s="161"/>
      <c r="I1290" s="37"/>
      <c r="J1290" s="135"/>
      <c r="K1290" s="112"/>
      <c r="L1290" s="37"/>
      <c r="M1290" s="37"/>
      <c r="N1290" s="37"/>
      <c r="O1290" s="130"/>
      <c r="P1290" s="132"/>
      <c r="Q1290" s="262"/>
      <c r="R1290" s="92"/>
    </row>
    <row r="1291" spans="3:18" x14ac:dyDescent="0.25">
      <c r="C1291" s="264"/>
      <c r="D1291" s="157"/>
      <c r="E1291" s="44"/>
      <c r="F1291" s="146"/>
      <c r="G1291" s="1"/>
      <c r="H1291" s="161"/>
      <c r="I1291" s="37"/>
      <c r="J1291" s="135"/>
      <c r="K1291" s="112"/>
      <c r="L1291" s="37"/>
      <c r="M1291" s="37"/>
      <c r="N1291" s="37"/>
      <c r="O1291" s="130"/>
      <c r="P1291" s="132"/>
      <c r="Q1291" s="262"/>
      <c r="R1291" s="92"/>
    </row>
    <row r="1292" spans="3:18" x14ac:dyDescent="0.25">
      <c r="C1292" s="264"/>
      <c r="D1292" s="157"/>
      <c r="E1292" s="44"/>
      <c r="F1292" s="146"/>
      <c r="G1292" s="1"/>
      <c r="H1292" s="161"/>
      <c r="I1292" s="37"/>
      <c r="J1292" s="135"/>
      <c r="K1292" s="112"/>
      <c r="L1292" s="37"/>
      <c r="M1292" s="37"/>
      <c r="N1292" s="37"/>
      <c r="O1292" s="130"/>
      <c r="P1292" s="132"/>
      <c r="Q1292" s="262"/>
      <c r="R1292" s="92"/>
    </row>
    <row r="1293" spans="3:18" x14ac:dyDescent="0.25">
      <c r="C1293" s="264"/>
      <c r="D1293" s="157"/>
      <c r="E1293" s="44"/>
      <c r="F1293" s="146"/>
      <c r="G1293" s="1"/>
      <c r="H1293" s="161"/>
      <c r="I1293" s="37"/>
      <c r="J1293" s="135"/>
      <c r="K1293" s="112"/>
      <c r="L1293" s="37"/>
      <c r="M1293" s="37"/>
      <c r="N1293" s="37"/>
      <c r="O1293" s="130"/>
      <c r="P1293" s="132"/>
      <c r="Q1293" s="262"/>
      <c r="R1293" s="92"/>
    </row>
    <row r="1294" spans="3:18" x14ac:dyDescent="0.25">
      <c r="C1294" s="264"/>
      <c r="D1294" s="157"/>
      <c r="E1294" s="44"/>
      <c r="F1294" s="146"/>
      <c r="G1294" s="1"/>
      <c r="H1294" s="161"/>
      <c r="I1294" s="37"/>
      <c r="J1294" s="135"/>
      <c r="K1294" s="112"/>
      <c r="L1294" s="37"/>
      <c r="M1294" s="37"/>
      <c r="N1294" s="37"/>
      <c r="O1294" s="130"/>
      <c r="P1294" s="132"/>
      <c r="Q1294" s="262"/>
      <c r="R1294" s="92"/>
    </row>
    <row r="1295" spans="3:18" x14ac:dyDescent="0.25">
      <c r="C1295" s="264"/>
      <c r="D1295" s="157"/>
      <c r="E1295" s="44"/>
      <c r="F1295" s="146"/>
      <c r="G1295" s="1"/>
      <c r="H1295" s="161"/>
      <c r="I1295" s="37"/>
      <c r="J1295" s="135"/>
      <c r="K1295" s="112"/>
      <c r="L1295" s="37"/>
      <c r="M1295" s="37"/>
      <c r="N1295" s="37"/>
      <c r="O1295" s="130"/>
      <c r="P1295" s="132"/>
      <c r="Q1295" s="262"/>
      <c r="R1295" s="92"/>
    </row>
    <row r="1296" spans="3:18" x14ac:dyDescent="0.25">
      <c r="C1296" s="264"/>
      <c r="D1296" s="157"/>
      <c r="E1296" s="44"/>
      <c r="F1296" s="146"/>
      <c r="G1296" s="1"/>
      <c r="H1296" s="161"/>
      <c r="I1296" s="37"/>
      <c r="J1296" s="135"/>
      <c r="K1296" s="112"/>
      <c r="L1296" s="37"/>
      <c r="M1296" s="37"/>
      <c r="N1296" s="37"/>
      <c r="O1296" s="130"/>
      <c r="P1296" s="132"/>
      <c r="Q1296" s="262"/>
      <c r="R1296" s="92"/>
    </row>
    <row r="1297" spans="3:18" x14ac:dyDescent="0.25">
      <c r="C1297" s="264"/>
      <c r="D1297" s="157"/>
      <c r="E1297" s="44"/>
      <c r="F1297" s="146"/>
      <c r="G1297" s="1"/>
      <c r="H1297" s="161"/>
      <c r="I1297" s="37"/>
      <c r="J1297" s="135"/>
      <c r="K1297" s="112"/>
      <c r="L1297" s="37"/>
      <c r="M1297" s="37"/>
      <c r="N1297" s="37"/>
      <c r="O1297" s="130"/>
      <c r="P1297" s="132"/>
      <c r="Q1297" s="262"/>
      <c r="R1297" s="92"/>
    </row>
    <row r="1298" spans="3:18" x14ac:dyDescent="0.25">
      <c r="C1298" s="264"/>
      <c r="D1298" s="157"/>
      <c r="E1298" s="44"/>
      <c r="F1298" s="146"/>
      <c r="G1298" s="1"/>
      <c r="H1298" s="161"/>
      <c r="I1298" s="37"/>
      <c r="J1298" s="135"/>
      <c r="K1298" s="112"/>
      <c r="L1298" s="37"/>
      <c r="M1298" s="37"/>
      <c r="N1298" s="37"/>
      <c r="O1298" s="130"/>
      <c r="P1298" s="132"/>
      <c r="Q1298" s="262"/>
      <c r="R1298" s="92"/>
    </row>
    <row r="1299" spans="3:18" x14ac:dyDescent="0.25">
      <c r="C1299" s="264"/>
      <c r="D1299" s="157"/>
      <c r="E1299" s="44"/>
      <c r="F1299" s="146"/>
      <c r="G1299" s="1"/>
      <c r="H1299" s="161"/>
      <c r="I1299" s="37"/>
      <c r="J1299" s="135"/>
      <c r="K1299" s="112"/>
      <c r="L1299" s="37"/>
      <c r="M1299" s="37"/>
      <c r="N1299" s="37"/>
      <c r="O1299" s="130"/>
      <c r="P1299" s="132"/>
      <c r="Q1299" s="262"/>
      <c r="R1299" s="92"/>
    </row>
    <row r="1300" spans="3:18" x14ac:dyDescent="0.25">
      <c r="C1300" s="264"/>
      <c r="D1300" s="157"/>
      <c r="E1300" s="44"/>
      <c r="F1300" s="146"/>
      <c r="G1300" s="1"/>
      <c r="H1300" s="161"/>
      <c r="I1300" s="37"/>
      <c r="J1300" s="135"/>
      <c r="K1300" s="112"/>
      <c r="L1300" s="37"/>
      <c r="M1300" s="37"/>
      <c r="N1300" s="37"/>
      <c r="O1300" s="130"/>
      <c r="P1300" s="132"/>
      <c r="Q1300" s="262"/>
      <c r="R1300" s="92"/>
    </row>
    <row r="1301" spans="3:18" x14ac:dyDescent="0.25">
      <c r="C1301" s="264"/>
      <c r="D1301" s="157"/>
      <c r="E1301" s="44"/>
      <c r="F1301" s="146"/>
      <c r="G1301" s="1"/>
      <c r="H1301" s="161"/>
      <c r="I1301" s="37"/>
      <c r="J1301" s="135"/>
      <c r="K1301" s="112"/>
      <c r="L1301" s="37"/>
      <c r="M1301" s="37"/>
      <c r="N1301" s="37"/>
      <c r="O1301" s="130"/>
      <c r="P1301" s="132"/>
      <c r="Q1301" s="262"/>
      <c r="R1301" s="92"/>
    </row>
    <row r="1302" spans="3:18" x14ac:dyDescent="0.25">
      <c r="C1302" s="264"/>
      <c r="D1302" s="157"/>
      <c r="E1302" s="44"/>
      <c r="F1302" s="146"/>
      <c r="G1302" s="1"/>
      <c r="H1302" s="161"/>
      <c r="I1302" s="37"/>
      <c r="J1302" s="135"/>
      <c r="K1302" s="112"/>
      <c r="L1302" s="37"/>
      <c r="M1302" s="37"/>
      <c r="N1302" s="37"/>
      <c r="O1302" s="130"/>
      <c r="P1302" s="132"/>
      <c r="Q1302" s="262"/>
      <c r="R1302" s="92"/>
    </row>
    <row r="1303" spans="3:18" x14ac:dyDescent="0.25">
      <c r="C1303" s="264"/>
      <c r="D1303" s="157"/>
      <c r="E1303" s="44"/>
      <c r="F1303" s="146"/>
      <c r="G1303" s="1"/>
      <c r="H1303" s="161"/>
      <c r="I1303" s="37"/>
      <c r="J1303" s="135"/>
      <c r="K1303" s="112"/>
      <c r="L1303" s="37"/>
      <c r="M1303" s="37"/>
      <c r="N1303" s="37"/>
      <c r="O1303" s="130"/>
      <c r="P1303" s="132"/>
      <c r="Q1303" s="262"/>
      <c r="R1303" s="92"/>
    </row>
    <row r="1304" spans="3:18" x14ac:dyDescent="0.25">
      <c r="C1304" s="264"/>
      <c r="D1304" s="157"/>
      <c r="E1304" s="44"/>
      <c r="F1304" s="146"/>
      <c r="G1304" s="1"/>
      <c r="H1304" s="161"/>
      <c r="I1304" s="37"/>
      <c r="J1304" s="135"/>
      <c r="K1304" s="112"/>
      <c r="L1304" s="37"/>
      <c r="M1304" s="37"/>
      <c r="N1304" s="37"/>
      <c r="O1304" s="130"/>
      <c r="P1304" s="132"/>
      <c r="Q1304" s="262"/>
      <c r="R1304" s="92"/>
    </row>
    <row r="1305" spans="3:18" x14ac:dyDescent="0.25">
      <c r="C1305" s="264"/>
      <c r="D1305" s="157"/>
      <c r="E1305" s="44"/>
      <c r="F1305" s="146"/>
      <c r="G1305" s="1"/>
      <c r="H1305" s="161"/>
      <c r="I1305" s="37"/>
      <c r="J1305" s="135"/>
      <c r="K1305" s="112"/>
      <c r="L1305" s="37"/>
      <c r="M1305" s="37"/>
      <c r="N1305" s="37"/>
      <c r="O1305" s="130"/>
      <c r="P1305" s="132"/>
      <c r="Q1305" s="262"/>
      <c r="R1305" s="92"/>
    </row>
    <row r="1306" spans="3:18" x14ac:dyDescent="0.25">
      <c r="C1306" s="264"/>
      <c r="D1306" s="157"/>
      <c r="E1306" s="44"/>
      <c r="F1306" s="146"/>
      <c r="G1306" s="1"/>
      <c r="H1306" s="161"/>
      <c r="I1306" s="37"/>
      <c r="J1306" s="135"/>
      <c r="K1306" s="112"/>
      <c r="L1306" s="37"/>
      <c r="M1306" s="37"/>
      <c r="N1306" s="37"/>
      <c r="O1306" s="130"/>
      <c r="P1306" s="132"/>
      <c r="Q1306" s="262"/>
      <c r="R1306" s="92"/>
    </row>
    <row r="1307" spans="3:18" x14ac:dyDescent="0.25">
      <c r="C1307" s="264"/>
      <c r="D1307" s="157"/>
      <c r="E1307" s="44"/>
      <c r="F1307" s="146"/>
      <c r="G1307" s="1"/>
      <c r="H1307" s="161"/>
      <c r="I1307" s="37"/>
      <c r="J1307" s="135"/>
      <c r="K1307" s="112"/>
      <c r="L1307" s="37"/>
      <c r="M1307" s="37"/>
      <c r="N1307" s="37"/>
      <c r="O1307" s="130"/>
      <c r="P1307" s="132"/>
      <c r="Q1307" s="262"/>
      <c r="R1307" s="92"/>
    </row>
    <row r="1308" spans="3:18" x14ac:dyDescent="0.25">
      <c r="C1308" s="264"/>
      <c r="D1308" s="157"/>
      <c r="E1308" s="44"/>
      <c r="F1308" s="146"/>
      <c r="G1308" s="1"/>
      <c r="H1308" s="161"/>
      <c r="I1308" s="37"/>
      <c r="J1308" s="135"/>
      <c r="K1308" s="112"/>
      <c r="L1308" s="37"/>
      <c r="M1308" s="37"/>
      <c r="N1308" s="37"/>
      <c r="O1308" s="130"/>
      <c r="P1308" s="132"/>
      <c r="Q1308" s="262"/>
      <c r="R1308" s="92"/>
    </row>
    <row r="1309" spans="3:18" x14ac:dyDescent="0.25">
      <c r="C1309" s="264"/>
      <c r="D1309" s="157"/>
      <c r="E1309" s="44"/>
      <c r="F1309" s="146"/>
      <c r="G1309" s="1"/>
      <c r="H1309" s="161"/>
      <c r="I1309" s="37"/>
      <c r="J1309" s="135"/>
      <c r="K1309" s="112"/>
      <c r="L1309" s="37"/>
      <c r="M1309" s="37"/>
      <c r="N1309" s="37"/>
      <c r="O1309" s="130"/>
      <c r="P1309" s="132"/>
      <c r="Q1309" s="262"/>
      <c r="R1309" s="92"/>
    </row>
    <row r="1310" spans="3:18" x14ac:dyDescent="0.25">
      <c r="C1310" s="264"/>
      <c r="D1310" s="157"/>
      <c r="E1310" s="44"/>
      <c r="F1310" s="146"/>
      <c r="G1310" s="1"/>
      <c r="H1310" s="161"/>
      <c r="I1310" s="37"/>
      <c r="J1310" s="135"/>
      <c r="K1310" s="112"/>
      <c r="L1310" s="37"/>
      <c r="M1310" s="37"/>
      <c r="N1310" s="37"/>
      <c r="O1310" s="130"/>
      <c r="P1310" s="132"/>
      <c r="Q1310" s="262"/>
      <c r="R1310" s="92"/>
    </row>
    <row r="1311" spans="3:18" x14ac:dyDescent="0.25">
      <c r="C1311" s="264"/>
      <c r="D1311" s="157"/>
      <c r="E1311" s="44"/>
      <c r="F1311" s="146"/>
      <c r="G1311" s="1"/>
      <c r="H1311" s="161"/>
      <c r="I1311" s="37"/>
      <c r="J1311" s="135"/>
      <c r="K1311" s="112"/>
      <c r="L1311" s="37"/>
      <c r="M1311" s="37"/>
      <c r="N1311" s="37"/>
      <c r="O1311" s="130"/>
      <c r="P1311" s="132"/>
      <c r="Q1311" s="262"/>
      <c r="R1311" s="92"/>
    </row>
    <row r="1312" spans="3:18" x14ac:dyDescent="0.25">
      <c r="C1312" s="264"/>
      <c r="D1312" s="157"/>
      <c r="E1312" s="44"/>
      <c r="F1312" s="146"/>
      <c r="G1312" s="1"/>
      <c r="H1312" s="161"/>
      <c r="I1312" s="37"/>
      <c r="J1312" s="135"/>
      <c r="K1312" s="112"/>
      <c r="L1312" s="37"/>
      <c r="M1312" s="37"/>
      <c r="N1312" s="37"/>
      <c r="O1312" s="130"/>
      <c r="P1312" s="132"/>
      <c r="Q1312" s="262"/>
      <c r="R1312" s="92"/>
    </row>
    <row r="1313" spans="3:18" x14ac:dyDescent="0.25">
      <c r="C1313" s="264"/>
      <c r="D1313" s="157"/>
      <c r="E1313" s="44"/>
      <c r="F1313" s="146"/>
      <c r="G1313" s="1"/>
      <c r="H1313" s="161"/>
      <c r="I1313" s="37"/>
      <c r="J1313" s="135"/>
      <c r="K1313" s="112"/>
      <c r="L1313" s="37"/>
      <c r="M1313" s="37"/>
      <c r="N1313" s="37"/>
      <c r="O1313" s="130"/>
      <c r="P1313" s="132"/>
      <c r="Q1313" s="262"/>
      <c r="R1313" s="92"/>
    </row>
    <row r="1314" spans="3:18" x14ac:dyDescent="0.25">
      <c r="C1314" s="264"/>
      <c r="D1314" s="157"/>
      <c r="E1314" s="44"/>
      <c r="F1314" s="146"/>
      <c r="G1314" s="1"/>
      <c r="H1314" s="161"/>
      <c r="I1314" s="37"/>
      <c r="J1314" s="135"/>
      <c r="K1314" s="112"/>
      <c r="L1314" s="37"/>
      <c r="M1314" s="37"/>
      <c r="N1314" s="37"/>
      <c r="O1314" s="130"/>
      <c r="P1314" s="132"/>
      <c r="Q1314" s="262"/>
      <c r="R1314" s="92"/>
    </row>
    <row r="1315" spans="3:18" x14ac:dyDescent="0.25">
      <c r="C1315" s="264"/>
      <c r="D1315" s="157"/>
      <c r="E1315" s="44"/>
      <c r="F1315" s="146"/>
      <c r="G1315" s="1"/>
      <c r="H1315" s="161"/>
      <c r="I1315" s="37"/>
      <c r="J1315" s="135"/>
      <c r="K1315" s="112"/>
      <c r="L1315" s="37"/>
      <c r="M1315" s="37"/>
      <c r="N1315" s="37"/>
      <c r="O1315" s="130"/>
      <c r="P1315" s="132"/>
      <c r="Q1315" s="262"/>
      <c r="R1315" s="92"/>
    </row>
    <row r="1316" spans="3:18" x14ac:dyDescent="0.25">
      <c r="C1316" s="264"/>
      <c r="D1316" s="157"/>
      <c r="E1316" s="44"/>
      <c r="F1316" s="146"/>
      <c r="G1316" s="1"/>
      <c r="H1316" s="161"/>
      <c r="I1316" s="37"/>
      <c r="J1316" s="135"/>
      <c r="K1316" s="112"/>
      <c r="L1316" s="37"/>
      <c r="M1316" s="37"/>
      <c r="N1316" s="37"/>
      <c r="O1316" s="130"/>
      <c r="P1316" s="132"/>
      <c r="Q1316" s="262"/>
      <c r="R1316" s="92"/>
    </row>
    <row r="1317" spans="3:18" x14ac:dyDescent="0.25">
      <c r="C1317" s="264"/>
      <c r="D1317" s="157"/>
      <c r="E1317" s="44"/>
      <c r="F1317" s="146"/>
      <c r="G1317" s="1"/>
      <c r="H1317" s="161"/>
      <c r="I1317" s="37"/>
      <c r="J1317" s="135"/>
      <c r="K1317" s="112"/>
      <c r="L1317" s="37"/>
      <c r="M1317" s="37"/>
      <c r="N1317" s="37"/>
      <c r="O1317" s="130"/>
      <c r="P1317" s="132"/>
      <c r="Q1317" s="262"/>
      <c r="R1317" s="92"/>
    </row>
    <row r="1318" spans="3:18" x14ac:dyDescent="0.25">
      <c r="C1318" s="264"/>
      <c r="D1318" s="157"/>
      <c r="E1318" s="44"/>
      <c r="F1318" s="146"/>
      <c r="G1318" s="1"/>
      <c r="H1318" s="161"/>
      <c r="I1318" s="37"/>
      <c r="J1318" s="135"/>
      <c r="K1318" s="112"/>
      <c r="L1318" s="37"/>
      <c r="M1318" s="37"/>
      <c r="N1318" s="37"/>
      <c r="O1318" s="130"/>
      <c r="P1318" s="132"/>
      <c r="Q1318" s="262"/>
      <c r="R1318" s="92"/>
    </row>
    <row r="1319" spans="3:18" x14ac:dyDescent="0.25">
      <c r="C1319" s="264"/>
      <c r="D1319" s="157"/>
      <c r="E1319" s="44"/>
      <c r="F1319" s="146"/>
      <c r="G1319" s="1"/>
      <c r="H1319" s="161"/>
      <c r="I1319" s="37"/>
      <c r="J1319" s="135"/>
      <c r="K1319" s="112"/>
      <c r="L1319" s="37"/>
      <c r="M1319" s="37"/>
      <c r="N1319" s="37"/>
      <c r="O1319" s="130"/>
      <c r="P1319" s="132"/>
      <c r="Q1319" s="262"/>
      <c r="R1319" s="92"/>
    </row>
    <row r="1320" spans="3:18" x14ac:dyDescent="0.25">
      <c r="C1320" s="264"/>
      <c r="D1320" s="157"/>
      <c r="E1320" s="44"/>
      <c r="F1320" s="146"/>
      <c r="G1320" s="1"/>
      <c r="H1320" s="161"/>
      <c r="I1320" s="37"/>
      <c r="J1320" s="135"/>
      <c r="K1320" s="112"/>
      <c r="L1320" s="37"/>
      <c r="M1320" s="37"/>
      <c r="N1320" s="37"/>
      <c r="O1320" s="130"/>
      <c r="P1320" s="132"/>
      <c r="Q1320" s="262"/>
      <c r="R1320" s="92"/>
    </row>
    <row r="1321" spans="3:18" x14ac:dyDescent="0.25">
      <c r="C1321" s="264"/>
      <c r="D1321" s="157"/>
      <c r="E1321" s="44"/>
      <c r="F1321" s="146"/>
      <c r="G1321" s="1"/>
      <c r="H1321" s="161"/>
      <c r="I1321" s="37"/>
      <c r="J1321" s="135"/>
      <c r="K1321" s="112"/>
      <c r="L1321" s="37"/>
      <c r="M1321" s="37"/>
      <c r="N1321" s="37"/>
      <c r="O1321" s="130"/>
      <c r="P1321" s="132"/>
      <c r="Q1321" s="262"/>
      <c r="R1321" s="92"/>
    </row>
    <row r="1322" spans="3:18" x14ac:dyDescent="0.25">
      <c r="C1322" s="264"/>
      <c r="D1322" s="157"/>
      <c r="E1322" s="44"/>
      <c r="F1322" s="146"/>
      <c r="G1322" s="1"/>
      <c r="H1322" s="161"/>
      <c r="I1322" s="37"/>
      <c r="J1322" s="135"/>
      <c r="K1322" s="112"/>
      <c r="L1322" s="37"/>
      <c r="M1322" s="37"/>
      <c r="N1322" s="37"/>
      <c r="O1322" s="130"/>
      <c r="P1322" s="132"/>
      <c r="Q1322" s="262"/>
      <c r="R1322" s="92"/>
    </row>
    <row r="1323" spans="3:18" x14ac:dyDescent="0.25">
      <c r="C1323" s="264"/>
      <c r="D1323" s="157"/>
      <c r="E1323" s="44"/>
      <c r="F1323" s="146"/>
      <c r="G1323" s="1"/>
      <c r="H1323" s="161"/>
      <c r="I1323" s="37"/>
      <c r="J1323" s="135"/>
      <c r="K1323" s="112"/>
      <c r="L1323" s="37"/>
      <c r="M1323" s="37"/>
      <c r="N1323" s="37"/>
      <c r="O1323" s="130"/>
      <c r="P1323" s="132"/>
      <c r="Q1323" s="262"/>
      <c r="R1323" s="92"/>
    </row>
    <row r="1324" spans="3:18" x14ac:dyDescent="0.25">
      <c r="C1324" s="264"/>
      <c r="D1324" s="157"/>
      <c r="E1324" s="44"/>
      <c r="F1324" s="146"/>
      <c r="G1324" s="1"/>
      <c r="H1324" s="161"/>
      <c r="I1324" s="37"/>
      <c r="J1324" s="135"/>
      <c r="K1324" s="112"/>
      <c r="L1324" s="37"/>
      <c r="M1324" s="37"/>
      <c r="N1324" s="37"/>
      <c r="O1324" s="130"/>
      <c r="P1324" s="132"/>
      <c r="Q1324" s="262"/>
      <c r="R1324" s="92"/>
    </row>
    <row r="1325" spans="3:18" x14ac:dyDescent="0.25">
      <c r="C1325" s="264"/>
      <c r="D1325" s="157"/>
      <c r="E1325" s="44"/>
      <c r="F1325" s="146"/>
      <c r="G1325" s="1"/>
      <c r="H1325" s="161"/>
      <c r="I1325" s="37"/>
      <c r="J1325" s="135"/>
      <c r="K1325" s="112"/>
      <c r="L1325" s="37"/>
      <c r="M1325" s="37"/>
      <c r="N1325" s="37"/>
      <c r="O1325" s="130"/>
      <c r="P1325" s="132"/>
      <c r="Q1325" s="262"/>
      <c r="R1325" s="92"/>
    </row>
    <row r="1326" spans="3:18" x14ac:dyDescent="0.25">
      <c r="C1326" s="264"/>
      <c r="D1326" s="157"/>
      <c r="E1326" s="44"/>
      <c r="F1326" s="146"/>
      <c r="G1326" s="1"/>
      <c r="H1326" s="161"/>
      <c r="I1326" s="37"/>
      <c r="J1326" s="135"/>
      <c r="K1326" s="112"/>
      <c r="L1326" s="37"/>
      <c r="M1326" s="37"/>
      <c r="N1326" s="37"/>
      <c r="O1326" s="130"/>
      <c r="P1326" s="132"/>
      <c r="Q1326" s="262"/>
      <c r="R1326" s="92"/>
    </row>
    <row r="1327" spans="3:18" x14ac:dyDescent="0.25">
      <c r="C1327" s="264"/>
      <c r="D1327" s="157"/>
      <c r="E1327" s="44"/>
      <c r="F1327" s="146"/>
      <c r="G1327" s="1"/>
      <c r="H1327" s="161"/>
      <c r="I1327" s="37"/>
      <c r="J1327" s="135"/>
      <c r="K1327" s="112"/>
      <c r="L1327" s="37"/>
      <c r="M1327" s="37"/>
      <c r="N1327" s="37"/>
      <c r="O1327" s="130"/>
      <c r="P1327" s="132"/>
      <c r="Q1327" s="262"/>
      <c r="R1327" s="92"/>
    </row>
    <row r="1328" spans="3:18" x14ac:dyDescent="0.25">
      <c r="C1328" s="264"/>
      <c r="D1328" s="157"/>
      <c r="E1328" s="44"/>
      <c r="F1328" s="146"/>
      <c r="G1328" s="1"/>
      <c r="H1328" s="161"/>
      <c r="I1328" s="37"/>
      <c r="J1328" s="135"/>
      <c r="K1328" s="112"/>
      <c r="L1328" s="37"/>
      <c r="M1328" s="37"/>
      <c r="N1328" s="37"/>
      <c r="O1328" s="130"/>
      <c r="P1328" s="132"/>
      <c r="Q1328" s="262"/>
      <c r="R1328" s="92"/>
    </row>
    <row r="1329" spans="3:18" x14ac:dyDescent="0.25">
      <c r="C1329" s="264"/>
      <c r="D1329" s="157"/>
      <c r="E1329" s="44"/>
      <c r="F1329" s="146"/>
      <c r="G1329" s="1"/>
      <c r="H1329" s="161"/>
      <c r="I1329" s="37"/>
      <c r="J1329" s="135"/>
      <c r="K1329" s="112"/>
      <c r="L1329" s="37"/>
      <c r="M1329" s="37"/>
      <c r="N1329" s="37"/>
      <c r="O1329" s="130"/>
      <c r="P1329" s="132"/>
      <c r="Q1329" s="262"/>
      <c r="R1329" s="92"/>
    </row>
    <row r="1330" spans="3:18" x14ac:dyDescent="0.25">
      <c r="C1330" s="264"/>
      <c r="D1330" s="157"/>
      <c r="E1330" s="44"/>
      <c r="F1330" s="146"/>
      <c r="G1330" s="1"/>
      <c r="H1330" s="161"/>
      <c r="I1330" s="37"/>
      <c r="J1330" s="135"/>
      <c r="K1330" s="112"/>
      <c r="L1330" s="37"/>
      <c r="M1330" s="37"/>
      <c r="N1330" s="37"/>
      <c r="O1330" s="130"/>
      <c r="P1330" s="132"/>
      <c r="Q1330" s="262"/>
      <c r="R1330" s="92"/>
    </row>
    <row r="1331" spans="3:18" x14ac:dyDescent="0.25">
      <c r="C1331" s="264"/>
      <c r="D1331" s="157"/>
      <c r="E1331" s="44"/>
      <c r="F1331" s="146"/>
      <c r="G1331" s="1"/>
      <c r="H1331" s="161"/>
      <c r="I1331" s="37"/>
      <c r="J1331" s="135"/>
      <c r="K1331" s="112"/>
      <c r="L1331" s="37"/>
      <c r="M1331" s="37"/>
      <c r="N1331" s="37"/>
      <c r="O1331" s="130"/>
      <c r="P1331" s="132"/>
      <c r="Q1331" s="262"/>
      <c r="R1331" s="92"/>
    </row>
    <row r="1332" spans="3:18" x14ac:dyDescent="0.25">
      <c r="C1332" s="264"/>
      <c r="D1332" s="157"/>
      <c r="E1332" s="44"/>
      <c r="F1332" s="146"/>
      <c r="G1332" s="1"/>
      <c r="H1332" s="161"/>
      <c r="I1332" s="37"/>
      <c r="J1332" s="135"/>
      <c r="K1332" s="112"/>
      <c r="L1332" s="37"/>
      <c r="M1332" s="37"/>
      <c r="N1332" s="37"/>
      <c r="O1332" s="130"/>
      <c r="P1332" s="132"/>
      <c r="Q1332" s="262"/>
      <c r="R1332" s="92"/>
    </row>
    <row r="1333" spans="3:18" x14ac:dyDescent="0.25">
      <c r="C1333" s="264"/>
      <c r="D1333" s="157"/>
      <c r="E1333" s="44"/>
      <c r="F1333" s="146"/>
      <c r="G1333" s="1"/>
      <c r="H1333" s="161"/>
      <c r="I1333" s="37"/>
      <c r="J1333" s="135"/>
      <c r="K1333" s="112"/>
      <c r="L1333" s="37"/>
      <c r="M1333" s="37"/>
      <c r="N1333" s="37"/>
      <c r="O1333" s="130"/>
      <c r="P1333" s="132"/>
      <c r="Q1333" s="262"/>
      <c r="R1333" s="92"/>
    </row>
    <row r="1334" spans="3:18" x14ac:dyDescent="0.25">
      <c r="C1334" s="264"/>
      <c r="D1334" s="157"/>
      <c r="E1334" s="44"/>
      <c r="F1334" s="146"/>
      <c r="G1334" s="1"/>
      <c r="H1334" s="161"/>
      <c r="I1334" s="37"/>
      <c r="J1334" s="135"/>
      <c r="K1334" s="112"/>
      <c r="L1334" s="37"/>
      <c r="M1334" s="37"/>
      <c r="N1334" s="37"/>
      <c r="O1334" s="130"/>
      <c r="P1334" s="132"/>
      <c r="Q1334" s="262"/>
      <c r="R1334" s="92"/>
    </row>
    <row r="1335" spans="3:18" x14ac:dyDescent="0.25">
      <c r="C1335" s="264"/>
      <c r="D1335" s="157"/>
      <c r="E1335" s="44"/>
      <c r="F1335" s="146"/>
      <c r="G1335" s="1"/>
      <c r="H1335" s="161"/>
      <c r="I1335" s="37"/>
      <c r="J1335" s="135"/>
      <c r="K1335" s="112"/>
      <c r="L1335" s="37"/>
      <c r="M1335" s="37"/>
      <c r="N1335" s="37"/>
      <c r="O1335" s="130"/>
      <c r="P1335" s="132"/>
      <c r="Q1335" s="262"/>
      <c r="R1335" s="92"/>
    </row>
    <row r="1336" spans="3:18" x14ac:dyDescent="0.25">
      <c r="C1336" s="264"/>
      <c r="D1336" s="157"/>
      <c r="E1336" s="44"/>
      <c r="F1336" s="146"/>
      <c r="G1336" s="1"/>
      <c r="H1336" s="161"/>
      <c r="I1336" s="37"/>
      <c r="J1336" s="135"/>
      <c r="K1336" s="112"/>
      <c r="L1336" s="37"/>
      <c r="M1336" s="37"/>
      <c r="N1336" s="37"/>
      <c r="O1336" s="130"/>
      <c r="P1336" s="132"/>
      <c r="Q1336" s="262"/>
      <c r="R1336" s="92"/>
    </row>
    <row r="1337" spans="3:18" x14ac:dyDescent="0.25">
      <c r="C1337" s="264"/>
      <c r="D1337" s="157"/>
      <c r="E1337" s="44"/>
      <c r="F1337" s="146"/>
      <c r="G1337" s="1"/>
      <c r="H1337" s="161"/>
      <c r="I1337" s="37"/>
      <c r="J1337" s="135"/>
      <c r="K1337" s="112"/>
      <c r="L1337" s="37"/>
      <c r="M1337" s="37"/>
      <c r="N1337" s="37"/>
      <c r="O1337" s="130"/>
      <c r="P1337" s="132"/>
      <c r="Q1337" s="262"/>
      <c r="R1337" s="92"/>
    </row>
    <row r="1338" spans="3:18" x14ac:dyDescent="0.25">
      <c r="C1338" s="264"/>
      <c r="D1338" s="157"/>
      <c r="E1338" s="44"/>
      <c r="F1338" s="146"/>
      <c r="G1338" s="1"/>
      <c r="H1338" s="161"/>
      <c r="I1338" s="37"/>
      <c r="J1338" s="135"/>
      <c r="K1338" s="112"/>
      <c r="L1338" s="37"/>
      <c r="M1338" s="37"/>
      <c r="N1338" s="37"/>
      <c r="O1338" s="130"/>
      <c r="P1338" s="132"/>
      <c r="Q1338" s="262"/>
      <c r="R1338" s="92"/>
    </row>
    <row r="1339" spans="3:18" x14ac:dyDescent="0.25">
      <c r="C1339" s="264"/>
      <c r="D1339" s="157"/>
      <c r="E1339" s="44"/>
      <c r="F1339" s="146"/>
      <c r="G1339" s="1"/>
      <c r="H1339" s="161"/>
      <c r="I1339" s="37"/>
      <c r="J1339" s="135"/>
      <c r="K1339" s="112"/>
      <c r="L1339" s="37"/>
      <c r="M1339" s="37"/>
      <c r="N1339" s="37"/>
      <c r="O1339" s="130"/>
      <c r="P1339" s="132"/>
      <c r="Q1339" s="262"/>
      <c r="R1339" s="92"/>
    </row>
    <row r="1340" spans="3:18" x14ac:dyDescent="0.25">
      <c r="C1340" s="264"/>
      <c r="D1340" s="157"/>
      <c r="E1340" s="44"/>
      <c r="F1340" s="146"/>
      <c r="G1340" s="1"/>
      <c r="H1340" s="161"/>
      <c r="I1340" s="37"/>
      <c r="J1340" s="135"/>
      <c r="K1340" s="112"/>
      <c r="L1340" s="37"/>
      <c r="M1340" s="37"/>
      <c r="N1340" s="37"/>
      <c r="O1340" s="130"/>
      <c r="P1340" s="132"/>
      <c r="Q1340" s="262"/>
      <c r="R1340" s="92"/>
    </row>
    <row r="1341" spans="3:18" x14ac:dyDescent="0.25">
      <c r="C1341" s="264"/>
      <c r="D1341" s="157"/>
      <c r="E1341" s="44"/>
      <c r="F1341" s="146"/>
      <c r="G1341" s="1"/>
      <c r="H1341" s="161"/>
      <c r="I1341" s="37"/>
      <c r="J1341" s="135"/>
      <c r="K1341" s="112"/>
      <c r="L1341" s="37"/>
      <c r="M1341" s="37"/>
      <c r="N1341" s="37"/>
      <c r="O1341" s="130"/>
      <c r="P1341" s="132"/>
      <c r="Q1341" s="262"/>
      <c r="R1341" s="92"/>
    </row>
    <row r="1342" spans="3:18" x14ac:dyDescent="0.25">
      <c r="C1342" s="264"/>
      <c r="D1342" s="157"/>
      <c r="E1342" s="44"/>
      <c r="F1342" s="146"/>
      <c r="G1342" s="1"/>
      <c r="H1342" s="161"/>
      <c r="I1342" s="37"/>
      <c r="J1342" s="135"/>
      <c r="K1342" s="112"/>
      <c r="L1342" s="37"/>
      <c r="M1342" s="37"/>
      <c r="N1342" s="37"/>
      <c r="O1342" s="130"/>
      <c r="P1342" s="132"/>
      <c r="Q1342" s="262"/>
      <c r="R1342" s="92"/>
    </row>
    <row r="1343" spans="3:18" x14ac:dyDescent="0.25">
      <c r="C1343" s="264"/>
      <c r="D1343" s="157"/>
      <c r="E1343" s="44"/>
      <c r="F1343" s="146"/>
      <c r="G1343" s="1"/>
      <c r="H1343" s="161"/>
      <c r="I1343" s="37"/>
      <c r="J1343" s="135"/>
      <c r="K1343" s="112"/>
      <c r="L1343" s="37"/>
      <c r="M1343" s="37"/>
      <c r="N1343" s="37"/>
      <c r="O1343" s="130"/>
      <c r="P1343" s="132"/>
      <c r="Q1343" s="262"/>
      <c r="R1343" s="92"/>
    </row>
    <row r="1344" spans="3:18" x14ac:dyDescent="0.25">
      <c r="C1344" s="264"/>
      <c r="D1344" s="157"/>
      <c r="E1344" s="44"/>
      <c r="F1344" s="146"/>
      <c r="G1344" s="1"/>
      <c r="H1344" s="161"/>
      <c r="I1344" s="37"/>
      <c r="J1344" s="135"/>
      <c r="K1344" s="112"/>
      <c r="L1344" s="37"/>
      <c r="M1344" s="37"/>
      <c r="N1344" s="37"/>
      <c r="O1344" s="130"/>
      <c r="P1344" s="132"/>
      <c r="Q1344" s="262"/>
      <c r="R1344" s="92"/>
    </row>
    <row r="1345" spans="3:18" x14ac:dyDescent="0.25">
      <c r="C1345" s="264"/>
      <c r="D1345" s="157"/>
      <c r="E1345" s="44"/>
      <c r="F1345" s="146"/>
      <c r="G1345" s="1"/>
      <c r="H1345" s="161"/>
      <c r="I1345" s="37"/>
      <c r="J1345" s="135"/>
      <c r="K1345" s="112"/>
      <c r="L1345" s="37"/>
      <c r="M1345" s="37"/>
      <c r="N1345" s="37"/>
      <c r="O1345" s="130"/>
      <c r="P1345" s="132"/>
      <c r="Q1345" s="262"/>
      <c r="R1345" s="92"/>
    </row>
    <row r="1346" spans="3:18" x14ac:dyDescent="0.25">
      <c r="C1346" s="264"/>
      <c r="D1346" s="157"/>
      <c r="E1346" s="44"/>
      <c r="F1346" s="146"/>
      <c r="G1346" s="1"/>
      <c r="H1346" s="161"/>
      <c r="I1346" s="37"/>
      <c r="J1346" s="135"/>
      <c r="K1346" s="112"/>
      <c r="L1346" s="37"/>
      <c r="M1346" s="37"/>
      <c r="N1346" s="37"/>
      <c r="O1346" s="130"/>
      <c r="P1346" s="132"/>
      <c r="Q1346" s="262"/>
      <c r="R1346" s="92"/>
    </row>
    <row r="1347" spans="3:18" x14ac:dyDescent="0.25">
      <c r="C1347" s="264"/>
      <c r="D1347" s="157"/>
      <c r="E1347" s="44"/>
      <c r="F1347" s="146"/>
      <c r="G1347" s="1"/>
      <c r="H1347" s="161"/>
      <c r="I1347" s="37"/>
      <c r="J1347" s="135"/>
      <c r="K1347" s="112"/>
      <c r="L1347" s="37"/>
      <c r="M1347" s="37"/>
      <c r="N1347" s="37"/>
      <c r="O1347" s="130"/>
      <c r="P1347" s="132"/>
      <c r="Q1347" s="262"/>
      <c r="R1347" s="92"/>
    </row>
    <row r="1348" spans="3:18" x14ac:dyDescent="0.25">
      <c r="C1348" s="264"/>
      <c r="D1348" s="157"/>
      <c r="E1348" s="44"/>
      <c r="F1348" s="146"/>
      <c r="G1348" s="1"/>
      <c r="H1348" s="161"/>
      <c r="I1348" s="37"/>
      <c r="J1348" s="135"/>
      <c r="K1348" s="112"/>
      <c r="L1348" s="37"/>
      <c r="M1348" s="37"/>
      <c r="N1348" s="37"/>
      <c r="O1348" s="130"/>
      <c r="P1348" s="132"/>
      <c r="Q1348" s="262"/>
      <c r="R1348" s="92"/>
    </row>
    <row r="1349" spans="3:18" x14ac:dyDescent="0.25">
      <c r="C1349" s="264"/>
      <c r="D1349" s="157"/>
      <c r="E1349" s="44"/>
      <c r="F1349" s="146"/>
      <c r="G1349" s="1"/>
      <c r="H1349" s="161"/>
      <c r="I1349" s="37"/>
      <c r="J1349" s="135"/>
      <c r="K1349" s="112"/>
      <c r="L1349" s="37"/>
      <c r="M1349" s="37"/>
      <c r="N1349" s="37"/>
      <c r="O1349" s="130"/>
      <c r="P1349" s="132"/>
      <c r="Q1349" s="262"/>
      <c r="R1349" s="92"/>
    </row>
    <row r="1350" spans="3:18" x14ac:dyDescent="0.25">
      <c r="C1350" s="264"/>
      <c r="D1350" s="157"/>
      <c r="E1350" s="44"/>
      <c r="F1350" s="146"/>
      <c r="G1350" s="1"/>
      <c r="H1350" s="161"/>
      <c r="I1350" s="37"/>
      <c r="J1350" s="135"/>
      <c r="K1350" s="112"/>
      <c r="L1350" s="37"/>
      <c r="M1350" s="37"/>
      <c r="N1350" s="37"/>
      <c r="O1350" s="130"/>
      <c r="P1350" s="132"/>
      <c r="Q1350" s="262"/>
      <c r="R1350" s="92"/>
    </row>
    <row r="1351" spans="3:18" x14ac:dyDescent="0.25">
      <c r="C1351" s="264"/>
      <c r="D1351" s="157"/>
      <c r="E1351" s="44"/>
      <c r="F1351" s="146"/>
      <c r="G1351" s="1"/>
      <c r="H1351" s="161"/>
      <c r="I1351" s="37"/>
      <c r="J1351" s="135"/>
      <c r="K1351" s="112"/>
      <c r="L1351" s="37"/>
      <c r="M1351" s="37"/>
      <c r="N1351" s="37"/>
      <c r="O1351" s="130"/>
      <c r="P1351" s="132"/>
      <c r="Q1351" s="262"/>
      <c r="R1351" s="92"/>
    </row>
    <row r="1352" spans="3:18" x14ac:dyDescent="0.25">
      <c r="C1352" s="264"/>
      <c r="D1352" s="157"/>
      <c r="E1352" s="44"/>
      <c r="F1352" s="146"/>
      <c r="G1352" s="1"/>
      <c r="H1352" s="161"/>
      <c r="I1352" s="37"/>
      <c r="J1352" s="135"/>
      <c r="K1352" s="112"/>
      <c r="L1352" s="37"/>
      <c r="M1352" s="37"/>
      <c r="N1352" s="37"/>
      <c r="O1352" s="130"/>
      <c r="P1352" s="132"/>
      <c r="Q1352" s="262"/>
      <c r="R1352" s="92"/>
    </row>
    <row r="1353" spans="3:18" x14ac:dyDescent="0.25">
      <c r="C1353" s="264"/>
      <c r="D1353" s="157"/>
      <c r="E1353" s="44"/>
      <c r="F1353" s="146"/>
      <c r="G1353" s="1"/>
      <c r="H1353" s="161"/>
      <c r="I1353" s="37"/>
      <c r="J1353" s="135"/>
      <c r="K1353" s="112"/>
      <c r="L1353" s="37"/>
      <c r="M1353" s="37"/>
      <c r="N1353" s="37"/>
      <c r="O1353" s="130"/>
      <c r="P1353" s="132"/>
      <c r="Q1353" s="262"/>
      <c r="R1353" s="92"/>
    </row>
    <row r="1354" spans="3:18" x14ac:dyDescent="0.25">
      <c r="C1354" s="264"/>
      <c r="D1354" s="157"/>
      <c r="E1354" s="44"/>
      <c r="F1354" s="146"/>
      <c r="G1354" s="1"/>
      <c r="H1354" s="161"/>
      <c r="I1354" s="37"/>
      <c r="J1354" s="135"/>
      <c r="K1354" s="112"/>
      <c r="L1354" s="37"/>
      <c r="M1354" s="37"/>
      <c r="N1354" s="37"/>
      <c r="O1354" s="130"/>
      <c r="P1354" s="132"/>
      <c r="Q1354" s="262"/>
      <c r="R1354" s="92"/>
    </row>
    <row r="1355" spans="3:18" x14ac:dyDescent="0.25">
      <c r="C1355" s="264"/>
      <c r="D1355" s="157"/>
      <c r="E1355" s="44"/>
      <c r="F1355" s="146"/>
      <c r="G1355" s="1"/>
      <c r="H1355" s="161"/>
      <c r="I1355" s="37"/>
      <c r="J1355" s="135"/>
      <c r="K1355" s="112"/>
      <c r="L1355" s="37"/>
      <c r="M1355" s="37"/>
      <c r="N1355" s="37"/>
      <c r="O1355" s="130"/>
      <c r="P1355" s="132"/>
      <c r="Q1355" s="262"/>
      <c r="R1355" s="92"/>
    </row>
    <row r="1356" spans="3:18" x14ac:dyDescent="0.25">
      <c r="C1356" s="264"/>
      <c r="D1356" s="157"/>
      <c r="E1356" s="44"/>
      <c r="F1356" s="146"/>
      <c r="G1356" s="1"/>
      <c r="H1356" s="161"/>
      <c r="I1356" s="37"/>
      <c r="J1356" s="135"/>
      <c r="K1356" s="112"/>
      <c r="L1356" s="37"/>
      <c r="M1356" s="37"/>
      <c r="N1356" s="37"/>
      <c r="O1356" s="130"/>
      <c r="P1356" s="132"/>
      <c r="Q1356" s="262"/>
      <c r="R1356" s="92"/>
    </row>
    <row r="1357" spans="3:18" x14ac:dyDescent="0.25">
      <c r="C1357" s="264"/>
      <c r="D1357" s="157"/>
      <c r="E1357" s="44"/>
      <c r="F1357" s="146"/>
      <c r="G1357" s="1"/>
      <c r="H1357" s="161"/>
      <c r="I1357" s="37"/>
      <c r="J1357" s="135"/>
      <c r="K1357" s="112"/>
      <c r="L1357" s="37"/>
      <c r="M1357" s="37"/>
      <c r="N1357" s="37"/>
      <c r="O1357" s="130"/>
      <c r="P1357" s="132"/>
      <c r="Q1357" s="262"/>
      <c r="R1357" s="92"/>
    </row>
    <row r="1358" spans="3:18" x14ac:dyDescent="0.25">
      <c r="C1358" s="264"/>
      <c r="D1358" s="157"/>
      <c r="E1358" s="44"/>
      <c r="F1358" s="146"/>
      <c r="G1358" s="1"/>
      <c r="H1358" s="161"/>
      <c r="I1358" s="37"/>
      <c r="J1358" s="135"/>
      <c r="K1358" s="112"/>
      <c r="L1358" s="37"/>
      <c r="M1358" s="37"/>
      <c r="N1358" s="37"/>
      <c r="O1358" s="130"/>
      <c r="P1358" s="132"/>
      <c r="Q1358" s="262"/>
      <c r="R1358" s="92"/>
    </row>
    <row r="1359" spans="3:18" x14ac:dyDescent="0.25">
      <c r="C1359" s="264"/>
      <c r="D1359" s="157"/>
      <c r="E1359" s="44"/>
      <c r="F1359" s="146"/>
      <c r="G1359" s="1"/>
      <c r="H1359" s="161"/>
      <c r="I1359" s="37"/>
      <c r="J1359" s="135"/>
      <c r="K1359" s="112"/>
      <c r="L1359" s="37"/>
      <c r="M1359" s="37"/>
      <c r="N1359" s="37"/>
      <c r="O1359" s="130"/>
      <c r="P1359" s="132"/>
      <c r="Q1359" s="262"/>
      <c r="R1359" s="92"/>
    </row>
    <row r="1360" spans="3:18" x14ac:dyDescent="0.25">
      <c r="C1360" s="264"/>
      <c r="D1360" s="157"/>
      <c r="E1360" s="44"/>
      <c r="F1360" s="146"/>
      <c r="G1360" s="1"/>
      <c r="H1360" s="161"/>
      <c r="I1360" s="37"/>
      <c r="J1360" s="135"/>
      <c r="K1360" s="112"/>
      <c r="L1360" s="37"/>
      <c r="M1360" s="37"/>
      <c r="N1360" s="37"/>
      <c r="O1360" s="130"/>
      <c r="P1360" s="132"/>
      <c r="Q1360" s="262"/>
      <c r="R1360" s="92"/>
    </row>
    <row r="1361" spans="3:18" x14ac:dyDescent="0.25">
      <c r="C1361" s="264"/>
      <c r="D1361" s="157"/>
      <c r="E1361" s="44"/>
      <c r="F1361" s="146"/>
      <c r="G1361" s="1"/>
      <c r="H1361" s="161"/>
      <c r="I1361" s="37"/>
      <c r="J1361" s="135"/>
      <c r="K1361" s="112"/>
      <c r="L1361" s="37"/>
      <c r="M1361" s="37"/>
      <c r="N1361" s="37"/>
      <c r="O1361" s="130"/>
      <c r="P1361" s="132"/>
      <c r="Q1361" s="262"/>
      <c r="R1361" s="92"/>
    </row>
    <row r="1362" spans="3:18" x14ac:dyDescent="0.25">
      <c r="C1362" s="264"/>
      <c r="D1362" s="157"/>
      <c r="E1362" s="44"/>
      <c r="F1362" s="146"/>
      <c r="G1362" s="1"/>
      <c r="H1362" s="161"/>
      <c r="I1362" s="37"/>
      <c r="J1362" s="135"/>
      <c r="K1362" s="112"/>
      <c r="L1362" s="37"/>
      <c r="M1362" s="37"/>
      <c r="N1362" s="37"/>
      <c r="O1362" s="130"/>
      <c r="P1362" s="132"/>
      <c r="Q1362" s="262"/>
      <c r="R1362" s="92"/>
    </row>
    <row r="1363" spans="3:18" x14ac:dyDescent="0.25">
      <c r="C1363" s="264"/>
      <c r="D1363" s="157"/>
      <c r="E1363" s="44"/>
      <c r="F1363" s="146"/>
      <c r="G1363" s="1"/>
      <c r="H1363" s="161"/>
      <c r="I1363" s="37"/>
      <c r="J1363" s="135"/>
      <c r="K1363" s="112"/>
      <c r="L1363" s="37"/>
      <c r="M1363" s="37"/>
      <c r="N1363" s="37"/>
      <c r="O1363" s="130"/>
      <c r="P1363" s="132"/>
      <c r="Q1363" s="262"/>
      <c r="R1363" s="92"/>
    </row>
    <row r="1364" spans="3:18" x14ac:dyDescent="0.25">
      <c r="C1364" s="264"/>
      <c r="D1364" s="157"/>
      <c r="E1364" s="44"/>
      <c r="F1364" s="146"/>
      <c r="G1364" s="1"/>
      <c r="H1364" s="161"/>
      <c r="I1364" s="37"/>
      <c r="J1364" s="135"/>
      <c r="K1364" s="112"/>
      <c r="L1364" s="37"/>
      <c r="M1364" s="37"/>
      <c r="N1364" s="37"/>
      <c r="O1364" s="130"/>
      <c r="P1364" s="132"/>
      <c r="Q1364" s="262"/>
      <c r="R1364" s="92"/>
    </row>
    <row r="1365" spans="3:18" x14ac:dyDescent="0.25">
      <c r="C1365" s="264"/>
      <c r="D1365" s="157"/>
      <c r="E1365" s="44"/>
      <c r="F1365" s="146"/>
      <c r="G1365" s="1"/>
      <c r="H1365" s="161"/>
      <c r="I1365" s="37"/>
      <c r="J1365" s="135"/>
      <c r="K1365" s="112"/>
      <c r="L1365" s="37"/>
      <c r="M1365" s="37"/>
      <c r="N1365" s="37"/>
      <c r="O1365" s="130"/>
      <c r="P1365" s="132"/>
      <c r="Q1365" s="262"/>
      <c r="R1365" s="92"/>
    </row>
    <row r="1366" spans="3:18" x14ac:dyDescent="0.25">
      <c r="C1366" s="264"/>
      <c r="D1366" s="157"/>
      <c r="E1366" s="44"/>
      <c r="F1366" s="146"/>
      <c r="G1366" s="1"/>
      <c r="H1366" s="161"/>
      <c r="I1366" s="37"/>
      <c r="J1366" s="135"/>
      <c r="K1366" s="112"/>
      <c r="L1366" s="37"/>
      <c r="M1366" s="37"/>
      <c r="N1366" s="37"/>
      <c r="O1366" s="130"/>
      <c r="P1366" s="132"/>
      <c r="Q1366" s="262"/>
      <c r="R1366" s="92"/>
    </row>
    <row r="1367" spans="3:18" x14ac:dyDescent="0.25">
      <c r="C1367" s="264"/>
      <c r="D1367" s="157"/>
      <c r="E1367" s="44"/>
      <c r="F1367" s="146"/>
      <c r="G1367" s="1"/>
      <c r="H1367" s="161"/>
      <c r="I1367" s="37"/>
      <c r="J1367" s="135"/>
      <c r="K1367" s="112"/>
      <c r="L1367" s="37"/>
      <c r="M1367" s="37"/>
      <c r="N1367" s="37"/>
      <c r="O1367" s="130"/>
      <c r="P1367" s="132"/>
      <c r="Q1367" s="262"/>
      <c r="R1367" s="92"/>
    </row>
    <row r="1368" spans="3:18" x14ac:dyDescent="0.25">
      <c r="C1368" s="264"/>
      <c r="D1368" s="157"/>
      <c r="E1368" s="44"/>
      <c r="F1368" s="146"/>
      <c r="G1368" s="1"/>
      <c r="H1368" s="161"/>
      <c r="I1368" s="37"/>
      <c r="J1368" s="135"/>
      <c r="K1368" s="112"/>
      <c r="L1368" s="37"/>
      <c r="M1368" s="37"/>
      <c r="N1368" s="37"/>
      <c r="O1368" s="130"/>
      <c r="P1368" s="132"/>
      <c r="Q1368" s="262"/>
      <c r="R1368" s="92"/>
    </row>
    <row r="1369" spans="3:18" x14ac:dyDescent="0.25">
      <c r="C1369" s="264"/>
      <c r="D1369" s="157"/>
      <c r="E1369" s="44"/>
      <c r="F1369" s="146"/>
      <c r="G1369" s="1"/>
      <c r="H1369" s="161"/>
      <c r="I1369" s="37"/>
      <c r="J1369" s="135"/>
      <c r="K1369" s="112"/>
      <c r="L1369" s="37"/>
      <c r="M1369" s="37"/>
      <c r="N1369" s="37"/>
      <c r="O1369" s="130"/>
      <c r="P1369" s="132"/>
      <c r="Q1369" s="262"/>
      <c r="R1369" s="92"/>
    </row>
    <row r="1370" spans="3:18" x14ac:dyDescent="0.25">
      <c r="C1370" s="264"/>
      <c r="D1370" s="157"/>
      <c r="E1370" s="44"/>
      <c r="F1370" s="146"/>
      <c r="G1370" s="1"/>
      <c r="H1370" s="161"/>
      <c r="I1370" s="37"/>
      <c r="J1370" s="135"/>
      <c r="K1370" s="112"/>
      <c r="L1370" s="37"/>
      <c r="M1370" s="37"/>
      <c r="N1370" s="37"/>
      <c r="O1370" s="130"/>
      <c r="P1370" s="132"/>
      <c r="Q1370" s="262"/>
      <c r="R1370" s="92"/>
    </row>
    <row r="1371" spans="3:18" x14ac:dyDescent="0.25">
      <c r="C1371" s="264"/>
      <c r="D1371" s="157"/>
      <c r="E1371" s="44"/>
      <c r="F1371" s="146"/>
      <c r="G1371" s="1"/>
      <c r="H1371" s="161"/>
      <c r="I1371" s="37"/>
      <c r="J1371" s="135"/>
      <c r="K1371" s="112"/>
      <c r="L1371" s="37"/>
      <c r="M1371" s="37"/>
      <c r="N1371" s="37"/>
      <c r="O1371" s="130"/>
      <c r="P1371" s="132"/>
      <c r="Q1371" s="262"/>
      <c r="R1371" s="92"/>
    </row>
    <row r="1372" spans="3:18" x14ac:dyDescent="0.25">
      <c r="C1372" s="264"/>
      <c r="D1372" s="157"/>
      <c r="E1372" s="44"/>
      <c r="F1372" s="146"/>
      <c r="G1372" s="1"/>
      <c r="H1372" s="161"/>
      <c r="I1372" s="37"/>
      <c r="J1372" s="135"/>
      <c r="K1372" s="112"/>
      <c r="L1372" s="37"/>
      <c r="M1372" s="37"/>
      <c r="N1372" s="37"/>
      <c r="O1372" s="130"/>
      <c r="P1372" s="132"/>
      <c r="Q1372" s="262"/>
      <c r="R1372" s="92"/>
    </row>
    <row r="1373" spans="3:18" x14ac:dyDescent="0.25">
      <c r="C1373" s="264"/>
      <c r="D1373" s="157"/>
      <c r="E1373" s="44"/>
      <c r="F1373" s="146"/>
      <c r="G1373" s="1"/>
      <c r="H1373" s="161"/>
      <c r="I1373" s="37"/>
      <c r="J1373" s="135"/>
      <c r="K1373" s="112"/>
      <c r="L1373" s="37"/>
      <c r="M1373" s="37"/>
      <c r="N1373" s="37"/>
      <c r="O1373" s="130"/>
      <c r="P1373" s="132"/>
      <c r="Q1373" s="262"/>
      <c r="R1373" s="92"/>
    </row>
    <row r="1374" spans="3:18" x14ac:dyDescent="0.25">
      <c r="C1374" s="264"/>
      <c r="D1374" s="157"/>
      <c r="E1374" s="44"/>
      <c r="F1374" s="146"/>
      <c r="G1374" s="1"/>
      <c r="H1374" s="161"/>
      <c r="I1374" s="37"/>
      <c r="J1374" s="135"/>
      <c r="K1374" s="112"/>
      <c r="L1374" s="37"/>
      <c r="M1374" s="37"/>
      <c r="N1374" s="37"/>
      <c r="O1374" s="130"/>
      <c r="P1374" s="132"/>
      <c r="Q1374" s="262"/>
      <c r="R1374" s="92"/>
    </row>
    <row r="1375" spans="3:18" x14ac:dyDescent="0.25">
      <c r="C1375" s="264"/>
      <c r="D1375" s="157"/>
      <c r="E1375" s="44"/>
      <c r="F1375" s="146"/>
      <c r="G1375" s="1"/>
      <c r="H1375" s="161"/>
      <c r="I1375" s="37"/>
      <c r="J1375" s="135"/>
      <c r="K1375" s="112"/>
      <c r="L1375" s="37"/>
      <c r="M1375" s="37"/>
      <c r="N1375" s="37"/>
      <c r="O1375" s="130"/>
      <c r="P1375" s="132"/>
      <c r="Q1375" s="262"/>
      <c r="R1375" s="92"/>
    </row>
    <row r="1376" spans="3:18" x14ac:dyDescent="0.25">
      <c r="C1376" s="264"/>
      <c r="D1376" s="157"/>
      <c r="E1376" s="44"/>
      <c r="F1376" s="146"/>
      <c r="G1376" s="1"/>
      <c r="H1376" s="161"/>
      <c r="I1376" s="37"/>
      <c r="J1376" s="135"/>
      <c r="K1376" s="112"/>
      <c r="L1376" s="37"/>
      <c r="M1376" s="37"/>
      <c r="N1376" s="37"/>
      <c r="O1376" s="130"/>
      <c r="P1376" s="132"/>
      <c r="Q1376" s="262"/>
      <c r="R1376" s="92"/>
    </row>
    <row r="1377" spans="3:18" x14ac:dyDescent="0.25">
      <c r="C1377" s="264"/>
      <c r="D1377" s="157"/>
      <c r="E1377" s="44"/>
      <c r="F1377" s="146"/>
      <c r="G1377" s="1"/>
      <c r="H1377" s="161"/>
      <c r="I1377" s="37"/>
      <c r="J1377" s="135"/>
      <c r="K1377" s="112"/>
      <c r="L1377" s="37"/>
      <c r="M1377" s="37"/>
      <c r="N1377" s="37"/>
      <c r="O1377" s="130"/>
      <c r="P1377" s="132"/>
      <c r="Q1377" s="262"/>
      <c r="R1377" s="92"/>
    </row>
    <row r="1378" spans="3:18" x14ac:dyDescent="0.25">
      <c r="C1378" s="264"/>
      <c r="D1378" s="157"/>
      <c r="E1378" s="44"/>
      <c r="F1378" s="146"/>
      <c r="G1378" s="1"/>
      <c r="H1378" s="161"/>
      <c r="I1378" s="37"/>
      <c r="J1378" s="135"/>
      <c r="K1378" s="112"/>
      <c r="L1378" s="37"/>
      <c r="M1378" s="37"/>
      <c r="N1378" s="37"/>
      <c r="O1378" s="130"/>
      <c r="P1378" s="132"/>
      <c r="Q1378" s="262"/>
      <c r="R1378" s="92"/>
    </row>
    <row r="1379" spans="3:18" x14ac:dyDescent="0.25">
      <c r="C1379" s="264"/>
      <c r="D1379" s="157"/>
      <c r="E1379" s="44"/>
      <c r="F1379" s="146"/>
      <c r="G1379" s="1"/>
      <c r="H1379" s="161"/>
      <c r="I1379" s="37"/>
      <c r="J1379" s="135"/>
      <c r="K1379" s="112"/>
      <c r="L1379" s="37"/>
      <c r="M1379" s="37"/>
      <c r="N1379" s="37"/>
      <c r="O1379" s="130"/>
      <c r="P1379" s="132"/>
      <c r="Q1379" s="262"/>
      <c r="R1379" s="92"/>
    </row>
    <row r="1380" spans="3:18" x14ac:dyDescent="0.25">
      <c r="C1380" s="264"/>
      <c r="D1380" s="157"/>
      <c r="E1380" s="44"/>
      <c r="F1380" s="146"/>
      <c r="G1380" s="1"/>
      <c r="H1380" s="161"/>
      <c r="I1380" s="37"/>
      <c r="J1380" s="135"/>
      <c r="K1380" s="112"/>
      <c r="L1380" s="37"/>
      <c r="M1380" s="37"/>
      <c r="N1380" s="37"/>
      <c r="O1380" s="130"/>
      <c r="P1380" s="132"/>
      <c r="Q1380" s="262"/>
      <c r="R1380" s="92"/>
    </row>
    <row r="1381" spans="3:18" x14ac:dyDescent="0.25">
      <c r="C1381" s="264"/>
      <c r="D1381" s="157"/>
      <c r="E1381" s="44"/>
      <c r="F1381" s="146"/>
      <c r="G1381" s="1"/>
      <c r="H1381" s="161"/>
      <c r="I1381" s="37"/>
      <c r="J1381" s="135"/>
      <c r="K1381" s="112"/>
      <c r="L1381" s="37"/>
      <c r="M1381" s="37"/>
      <c r="N1381" s="37"/>
      <c r="O1381" s="130"/>
      <c r="P1381" s="132"/>
      <c r="Q1381" s="262"/>
      <c r="R1381" s="92"/>
    </row>
    <row r="1382" spans="3:18" x14ac:dyDescent="0.25">
      <c r="C1382" s="264"/>
      <c r="D1382" s="157"/>
      <c r="E1382" s="44"/>
      <c r="F1382" s="146"/>
      <c r="G1382" s="1"/>
      <c r="H1382" s="161"/>
      <c r="I1382" s="37"/>
      <c r="J1382" s="135"/>
      <c r="K1382" s="112"/>
      <c r="L1382" s="37"/>
      <c r="M1382" s="37"/>
      <c r="N1382" s="37"/>
      <c r="O1382" s="130"/>
      <c r="P1382" s="132"/>
      <c r="Q1382" s="262"/>
      <c r="R1382" s="92"/>
    </row>
    <row r="1383" spans="3:18" x14ac:dyDescent="0.25">
      <c r="C1383" s="264"/>
      <c r="D1383" s="157"/>
      <c r="E1383" s="44"/>
      <c r="F1383" s="146"/>
      <c r="G1383" s="1"/>
      <c r="H1383" s="161"/>
      <c r="I1383" s="37"/>
      <c r="J1383" s="135"/>
      <c r="K1383" s="112"/>
      <c r="L1383" s="37"/>
      <c r="M1383" s="37"/>
      <c r="N1383" s="37"/>
      <c r="O1383" s="130"/>
      <c r="P1383" s="132"/>
      <c r="Q1383" s="262"/>
      <c r="R1383" s="92"/>
    </row>
    <row r="1384" spans="3:18" x14ac:dyDescent="0.25">
      <c r="C1384" s="264"/>
      <c r="D1384" s="157"/>
      <c r="E1384" s="44"/>
      <c r="F1384" s="146"/>
      <c r="G1384" s="1"/>
      <c r="H1384" s="161"/>
      <c r="I1384" s="37"/>
      <c r="J1384" s="135"/>
      <c r="K1384" s="112"/>
      <c r="L1384" s="37"/>
      <c r="M1384" s="37"/>
      <c r="N1384" s="37"/>
      <c r="O1384" s="130"/>
      <c r="P1384" s="132"/>
      <c r="Q1384" s="262"/>
      <c r="R1384" s="92"/>
    </row>
    <row r="1385" spans="3:18" x14ac:dyDescent="0.25">
      <c r="C1385" s="264"/>
      <c r="D1385" s="157"/>
      <c r="E1385" s="44"/>
      <c r="F1385" s="146"/>
      <c r="G1385" s="1"/>
      <c r="H1385" s="161"/>
      <c r="I1385" s="37"/>
      <c r="J1385" s="135"/>
      <c r="K1385" s="112"/>
      <c r="L1385" s="37"/>
      <c r="M1385" s="37"/>
      <c r="N1385" s="37"/>
      <c r="O1385" s="130"/>
      <c r="P1385" s="132"/>
      <c r="Q1385" s="262"/>
      <c r="R1385" s="92"/>
    </row>
    <row r="1386" spans="3:18" x14ac:dyDescent="0.25">
      <c r="C1386" s="264"/>
      <c r="D1386" s="157"/>
      <c r="E1386" s="44"/>
      <c r="F1386" s="146"/>
      <c r="G1386" s="1"/>
      <c r="H1386" s="161"/>
      <c r="I1386" s="37"/>
      <c r="J1386" s="135"/>
      <c r="K1386" s="112"/>
      <c r="L1386" s="37"/>
      <c r="M1386" s="37"/>
      <c r="N1386" s="37"/>
      <c r="O1386" s="130"/>
      <c r="P1386" s="132"/>
      <c r="Q1386" s="262"/>
      <c r="R1386" s="92"/>
    </row>
    <row r="1387" spans="3:18" x14ac:dyDescent="0.25">
      <c r="C1387" s="264"/>
      <c r="D1387" s="157"/>
      <c r="E1387" s="44"/>
      <c r="F1387" s="146"/>
      <c r="G1387" s="1"/>
      <c r="H1387" s="161"/>
      <c r="I1387" s="37"/>
      <c r="J1387" s="135"/>
      <c r="K1387" s="112"/>
      <c r="L1387" s="37"/>
      <c r="M1387" s="37"/>
      <c r="N1387" s="37"/>
      <c r="O1387" s="130"/>
      <c r="P1387" s="132"/>
      <c r="Q1387" s="262"/>
      <c r="R1387" s="92"/>
    </row>
    <row r="1388" spans="3:18" x14ac:dyDescent="0.25">
      <c r="C1388" s="264"/>
      <c r="D1388" s="157"/>
      <c r="E1388" s="44"/>
      <c r="F1388" s="146"/>
      <c r="G1388" s="1"/>
      <c r="H1388" s="161"/>
      <c r="I1388" s="37"/>
      <c r="J1388" s="135"/>
      <c r="K1388" s="112"/>
      <c r="L1388" s="37"/>
      <c r="M1388" s="37"/>
      <c r="N1388" s="37"/>
      <c r="O1388" s="130"/>
      <c r="P1388" s="132"/>
      <c r="Q1388" s="262"/>
      <c r="R1388" s="92"/>
    </row>
    <row r="1389" spans="3:18" x14ac:dyDescent="0.25">
      <c r="C1389" s="264"/>
      <c r="D1389" s="157"/>
      <c r="E1389" s="44"/>
      <c r="F1389" s="146"/>
      <c r="G1389" s="1"/>
      <c r="H1389" s="161"/>
      <c r="I1389" s="37"/>
      <c r="J1389" s="135"/>
      <c r="K1389" s="112"/>
      <c r="L1389" s="37"/>
      <c r="M1389" s="37"/>
      <c r="N1389" s="37"/>
      <c r="O1389" s="130"/>
      <c r="P1389" s="132"/>
      <c r="Q1389" s="262"/>
      <c r="R1389" s="92"/>
    </row>
    <row r="1390" spans="3:18" x14ac:dyDescent="0.25">
      <c r="C1390" s="264"/>
      <c r="D1390" s="157"/>
      <c r="E1390" s="44"/>
      <c r="F1390" s="146"/>
      <c r="G1390" s="1"/>
      <c r="H1390" s="161"/>
      <c r="I1390" s="37"/>
      <c r="J1390" s="135"/>
      <c r="K1390" s="112"/>
      <c r="L1390" s="37"/>
      <c r="M1390" s="37"/>
      <c r="N1390" s="37"/>
      <c r="O1390" s="130"/>
      <c r="P1390" s="132"/>
      <c r="Q1390" s="262"/>
      <c r="R1390" s="92"/>
    </row>
    <row r="1391" spans="3:18" x14ac:dyDescent="0.25">
      <c r="C1391" s="264"/>
      <c r="D1391" s="157"/>
      <c r="E1391" s="44"/>
      <c r="F1391" s="146"/>
      <c r="G1391" s="1"/>
      <c r="H1391" s="161"/>
      <c r="I1391" s="37"/>
      <c r="J1391" s="135"/>
      <c r="K1391" s="112"/>
      <c r="L1391" s="37"/>
      <c r="M1391" s="37"/>
      <c r="N1391" s="37"/>
      <c r="O1391" s="130"/>
      <c r="P1391" s="132"/>
      <c r="Q1391" s="262"/>
      <c r="R1391" s="92"/>
    </row>
    <row r="1392" spans="3:18" x14ac:dyDescent="0.25">
      <c r="C1392" s="264"/>
      <c r="D1392" s="157"/>
      <c r="E1392" s="44"/>
      <c r="F1392" s="146"/>
      <c r="G1392" s="1"/>
      <c r="H1392" s="161"/>
      <c r="I1392" s="37"/>
      <c r="J1392" s="135"/>
      <c r="K1392" s="112"/>
      <c r="L1392" s="37"/>
      <c r="M1392" s="37"/>
      <c r="N1392" s="37"/>
      <c r="O1392" s="130"/>
      <c r="P1392" s="132"/>
      <c r="Q1392" s="262"/>
      <c r="R1392" s="92"/>
    </row>
    <row r="1393" spans="3:18" x14ac:dyDescent="0.25">
      <c r="C1393" s="264"/>
      <c r="D1393" s="157"/>
      <c r="E1393" s="44"/>
      <c r="F1393" s="146"/>
      <c r="G1393" s="1"/>
      <c r="H1393" s="161"/>
      <c r="I1393" s="37"/>
      <c r="J1393" s="135"/>
      <c r="K1393" s="112"/>
      <c r="L1393" s="37"/>
      <c r="M1393" s="37"/>
      <c r="N1393" s="37"/>
      <c r="O1393" s="130"/>
      <c r="P1393" s="132"/>
      <c r="Q1393" s="262"/>
      <c r="R1393" s="92"/>
    </row>
    <row r="1394" spans="3:18" x14ac:dyDescent="0.25">
      <c r="C1394" s="264"/>
      <c r="D1394" s="157"/>
      <c r="E1394" s="44"/>
      <c r="F1394" s="146"/>
      <c r="G1394" s="1"/>
      <c r="H1394" s="161"/>
      <c r="I1394" s="37"/>
      <c r="J1394" s="135"/>
      <c r="K1394" s="112"/>
      <c r="L1394" s="37"/>
      <c r="M1394" s="37"/>
      <c r="N1394" s="37"/>
      <c r="O1394" s="130"/>
      <c r="P1394" s="132"/>
      <c r="Q1394" s="262"/>
      <c r="R1394" s="92"/>
    </row>
    <row r="1395" spans="3:18" x14ac:dyDescent="0.25">
      <c r="C1395" s="264"/>
      <c r="D1395" s="157"/>
      <c r="E1395" s="44"/>
      <c r="F1395" s="146"/>
      <c r="G1395" s="1"/>
      <c r="H1395" s="161"/>
      <c r="I1395" s="37"/>
      <c r="J1395" s="135"/>
      <c r="K1395" s="112"/>
      <c r="L1395" s="37"/>
      <c r="M1395" s="37"/>
      <c r="N1395" s="37"/>
      <c r="O1395" s="130"/>
      <c r="P1395" s="132"/>
      <c r="Q1395" s="262"/>
      <c r="R1395" s="92"/>
    </row>
    <row r="1396" spans="3:18" x14ac:dyDescent="0.25">
      <c r="C1396" s="264"/>
      <c r="D1396" s="157"/>
      <c r="E1396" s="44"/>
      <c r="F1396" s="146"/>
      <c r="G1396" s="1"/>
      <c r="H1396" s="161"/>
      <c r="I1396" s="37"/>
      <c r="J1396" s="135"/>
      <c r="K1396" s="112"/>
      <c r="L1396" s="37"/>
      <c r="M1396" s="37"/>
      <c r="N1396" s="37"/>
      <c r="O1396" s="130"/>
      <c r="P1396" s="132"/>
      <c r="Q1396" s="262"/>
      <c r="R1396" s="92"/>
    </row>
    <row r="1397" spans="3:18" x14ac:dyDescent="0.25">
      <c r="C1397" s="264"/>
      <c r="D1397" s="157"/>
      <c r="E1397" s="44"/>
      <c r="F1397" s="146"/>
      <c r="G1397" s="1"/>
      <c r="H1397" s="161"/>
      <c r="I1397" s="37"/>
      <c r="J1397" s="135"/>
      <c r="K1397" s="112"/>
      <c r="L1397" s="37"/>
      <c r="M1397" s="37"/>
      <c r="N1397" s="37"/>
      <c r="O1397" s="130"/>
      <c r="P1397" s="132"/>
      <c r="Q1397" s="262"/>
      <c r="R1397" s="92"/>
    </row>
    <row r="1398" spans="3:18" x14ac:dyDescent="0.25">
      <c r="C1398" s="264"/>
      <c r="D1398" s="157"/>
      <c r="E1398" s="44"/>
      <c r="F1398" s="146"/>
      <c r="G1398" s="1"/>
      <c r="H1398" s="161"/>
      <c r="I1398" s="37"/>
      <c r="J1398" s="135"/>
      <c r="K1398" s="112"/>
      <c r="L1398" s="37"/>
      <c r="M1398" s="37"/>
      <c r="N1398" s="37"/>
      <c r="O1398" s="130"/>
      <c r="P1398" s="132"/>
      <c r="Q1398" s="262"/>
      <c r="R1398" s="92"/>
    </row>
    <row r="1399" spans="3:18" x14ac:dyDescent="0.25">
      <c r="C1399" s="264"/>
      <c r="D1399" s="157"/>
      <c r="E1399" s="44"/>
      <c r="F1399" s="146"/>
      <c r="G1399" s="1"/>
      <c r="H1399" s="161"/>
      <c r="I1399" s="37"/>
      <c r="J1399" s="135"/>
      <c r="K1399" s="112"/>
      <c r="L1399" s="37"/>
      <c r="M1399" s="37"/>
      <c r="N1399" s="37"/>
      <c r="O1399" s="130"/>
      <c r="P1399" s="132"/>
      <c r="Q1399" s="262"/>
      <c r="R1399" s="92"/>
    </row>
    <row r="1400" spans="3:18" x14ac:dyDescent="0.25">
      <c r="C1400" s="264"/>
      <c r="D1400" s="157"/>
      <c r="E1400" s="44"/>
      <c r="F1400" s="146"/>
      <c r="G1400" s="1"/>
      <c r="H1400" s="161"/>
      <c r="I1400" s="37"/>
      <c r="J1400" s="135"/>
      <c r="K1400" s="112"/>
      <c r="L1400" s="37"/>
      <c r="M1400" s="37"/>
      <c r="N1400" s="37"/>
      <c r="O1400" s="130"/>
      <c r="P1400" s="132"/>
      <c r="Q1400" s="262"/>
      <c r="R1400" s="92"/>
    </row>
    <row r="1401" spans="3:18" x14ac:dyDescent="0.25">
      <c r="C1401" s="264"/>
      <c r="D1401" s="157"/>
      <c r="E1401" s="44"/>
      <c r="F1401" s="146"/>
      <c r="G1401" s="1"/>
      <c r="H1401" s="161"/>
      <c r="I1401" s="37"/>
      <c r="J1401" s="135"/>
      <c r="K1401" s="112"/>
      <c r="L1401" s="37"/>
      <c r="M1401" s="37"/>
      <c r="N1401" s="37"/>
      <c r="O1401" s="130"/>
      <c r="P1401" s="132"/>
      <c r="Q1401" s="262"/>
      <c r="R1401" s="92"/>
    </row>
    <row r="1402" spans="3:18" x14ac:dyDescent="0.25">
      <c r="C1402" s="264"/>
      <c r="D1402" s="157"/>
      <c r="E1402" s="44"/>
      <c r="F1402" s="146"/>
      <c r="G1402" s="1"/>
      <c r="H1402" s="161"/>
      <c r="I1402" s="37"/>
      <c r="J1402" s="135"/>
      <c r="K1402" s="112"/>
      <c r="L1402" s="37"/>
      <c r="M1402" s="37"/>
      <c r="N1402" s="37"/>
      <c r="O1402" s="130"/>
      <c r="P1402" s="132"/>
      <c r="Q1402" s="262"/>
      <c r="R1402" s="92"/>
    </row>
    <row r="1403" spans="3:18" x14ac:dyDescent="0.25">
      <c r="C1403" s="264"/>
      <c r="D1403" s="157"/>
      <c r="E1403" s="44"/>
      <c r="F1403" s="146"/>
      <c r="G1403" s="1"/>
      <c r="H1403" s="161"/>
      <c r="I1403" s="37"/>
      <c r="J1403" s="135"/>
      <c r="K1403" s="112"/>
      <c r="L1403" s="37"/>
      <c r="M1403" s="37"/>
      <c r="N1403" s="37"/>
      <c r="O1403" s="130"/>
      <c r="P1403" s="132"/>
      <c r="Q1403" s="262"/>
      <c r="R1403" s="92"/>
    </row>
    <row r="1404" spans="3:18" x14ac:dyDescent="0.25">
      <c r="C1404" s="264"/>
      <c r="D1404" s="157"/>
      <c r="E1404" s="44"/>
      <c r="F1404" s="146"/>
      <c r="G1404" s="1"/>
      <c r="H1404" s="161"/>
      <c r="I1404" s="37"/>
      <c r="J1404" s="135"/>
      <c r="K1404" s="112"/>
      <c r="L1404" s="37"/>
      <c r="M1404" s="37"/>
      <c r="N1404" s="37"/>
      <c r="O1404" s="130"/>
      <c r="P1404" s="132"/>
      <c r="Q1404" s="262"/>
      <c r="R1404" s="92"/>
    </row>
    <row r="1405" spans="3:18" x14ac:dyDescent="0.25">
      <c r="C1405" s="264"/>
      <c r="D1405" s="157"/>
      <c r="E1405" s="44"/>
      <c r="F1405" s="146"/>
      <c r="G1405" s="1"/>
      <c r="H1405" s="161"/>
      <c r="I1405" s="37"/>
      <c r="J1405" s="135"/>
      <c r="K1405" s="112"/>
      <c r="L1405" s="37"/>
      <c r="M1405" s="37"/>
      <c r="N1405" s="37"/>
      <c r="O1405" s="130"/>
      <c r="P1405" s="132"/>
      <c r="Q1405" s="262"/>
      <c r="R1405" s="92"/>
    </row>
    <row r="1406" spans="3:18" x14ac:dyDescent="0.25">
      <c r="C1406" s="264"/>
      <c r="D1406" s="157"/>
      <c r="E1406" s="44"/>
      <c r="F1406" s="146"/>
      <c r="G1406" s="1"/>
      <c r="H1406" s="161"/>
      <c r="I1406" s="37"/>
      <c r="J1406" s="135"/>
      <c r="K1406" s="112"/>
      <c r="L1406" s="37"/>
      <c r="M1406" s="37"/>
      <c r="N1406" s="37"/>
      <c r="O1406" s="130"/>
      <c r="P1406" s="132"/>
      <c r="Q1406" s="262"/>
      <c r="R1406" s="92"/>
    </row>
    <row r="1407" spans="3:18" x14ac:dyDescent="0.25">
      <c r="C1407" s="264"/>
      <c r="D1407" s="157"/>
      <c r="E1407" s="44"/>
      <c r="F1407" s="146"/>
      <c r="G1407" s="1"/>
      <c r="H1407" s="161"/>
      <c r="I1407" s="37"/>
      <c r="J1407" s="135"/>
      <c r="K1407" s="112"/>
      <c r="L1407" s="37"/>
      <c r="M1407" s="37"/>
      <c r="N1407" s="37"/>
      <c r="O1407" s="130"/>
      <c r="P1407" s="132"/>
      <c r="Q1407" s="262"/>
      <c r="R1407" s="92"/>
    </row>
    <row r="1408" spans="3:18" x14ac:dyDescent="0.25">
      <c r="C1408" s="264"/>
      <c r="D1408" s="157"/>
      <c r="E1408" s="44"/>
      <c r="F1408" s="146"/>
      <c r="G1408" s="1"/>
      <c r="H1408" s="161"/>
      <c r="I1408" s="37"/>
      <c r="J1408" s="135"/>
      <c r="K1408" s="112"/>
      <c r="L1408" s="37"/>
      <c r="M1408" s="37"/>
      <c r="N1408" s="37"/>
      <c r="O1408" s="130"/>
      <c r="P1408" s="132"/>
      <c r="Q1408" s="262"/>
      <c r="R1408" s="92"/>
    </row>
    <row r="1409" spans="3:18" x14ac:dyDescent="0.25">
      <c r="C1409" s="264"/>
      <c r="D1409" s="157"/>
      <c r="E1409" s="44"/>
      <c r="F1409" s="146"/>
      <c r="G1409" s="1"/>
      <c r="H1409" s="161"/>
      <c r="I1409" s="37"/>
      <c r="J1409" s="135"/>
      <c r="K1409" s="112"/>
      <c r="L1409" s="37"/>
      <c r="M1409" s="37"/>
      <c r="N1409" s="37"/>
      <c r="O1409" s="130"/>
      <c r="P1409" s="132"/>
      <c r="Q1409" s="262"/>
      <c r="R1409" s="92"/>
    </row>
    <row r="1410" spans="3:18" x14ac:dyDescent="0.25">
      <c r="C1410" s="264"/>
      <c r="D1410" s="157"/>
      <c r="E1410" s="44"/>
      <c r="F1410" s="146"/>
      <c r="G1410" s="1"/>
      <c r="H1410" s="161"/>
      <c r="I1410" s="37"/>
      <c r="J1410" s="135"/>
      <c r="K1410" s="112"/>
      <c r="L1410" s="37"/>
      <c r="M1410" s="37"/>
      <c r="N1410" s="37"/>
      <c r="O1410" s="130"/>
      <c r="P1410" s="132"/>
      <c r="Q1410" s="262"/>
      <c r="R1410" s="92"/>
    </row>
    <row r="1411" spans="3:18" x14ac:dyDescent="0.25">
      <c r="C1411" s="264"/>
      <c r="D1411" s="157"/>
      <c r="E1411" s="44"/>
      <c r="F1411" s="146"/>
      <c r="G1411" s="1"/>
      <c r="H1411" s="161"/>
      <c r="I1411" s="37"/>
      <c r="J1411" s="135"/>
      <c r="K1411" s="112"/>
      <c r="L1411" s="37"/>
      <c r="M1411" s="37"/>
      <c r="N1411" s="37"/>
      <c r="O1411" s="130"/>
      <c r="P1411" s="132"/>
      <c r="Q1411" s="262"/>
      <c r="R1411" s="92"/>
    </row>
    <row r="1412" spans="3:18" x14ac:dyDescent="0.25">
      <c r="C1412" s="264"/>
      <c r="D1412" s="157"/>
      <c r="E1412" s="44"/>
      <c r="F1412" s="146"/>
      <c r="G1412" s="1"/>
      <c r="H1412" s="161"/>
      <c r="I1412" s="37"/>
      <c r="J1412" s="135"/>
      <c r="K1412" s="112"/>
      <c r="L1412" s="37"/>
      <c r="M1412" s="37"/>
      <c r="N1412" s="37"/>
      <c r="O1412" s="130"/>
      <c r="P1412" s="132"/>
      <c r="Q1412" s="262"/>
      <c r="R1412" s="92"/>
    </row>
    <row r="1413" spans="3:18" x14ac:dyDescent="0.25">
      <c r="C1413" s="264"/>
      <c r="D1413" s="157"/>
      <c r="E1413" s="44"/>
      <c r="F1413" s="146"/>
      <c r="G1413" s="1"/>
      <c r="H1413" s="161"/>
      <c r="I1413" s="37"/>
      <c r="J1413" s="135"/>
      <c r="K1413" s="112"/>
      <c r="L1413" s="37"/>
      <c r="M1413" s="37"/>
      <c r="N1413" s="37"/>
      <c r="O1413" s="130"/>
      <c r="P1413" s="132"/>
      <c r="Q1413" s="262"/>
      <c r="R1413" s="92"/>
    </row>
    <row r="1414" spans="3:18" x14ac:dyDescent="0.25">
      <c r="C1414" s="264"/>
      <c r="D1414" s="157"/>
      <c r="E1414" s="44"/>
      <c r="F1414" s="146"/>
      <c r="G1414" s="1"/>
      <c r="H1414" s="161"/>
      <c r="I1414" s="37"/>
      <c r="J1414" s="135"/>
      <c r="K1414" s="112"/>
      <c r="L1414" s="37"/>
      <c r="M1414" s="37"/>
      <c r="N1414" s="37"/>
      <c r="O1414" s="130"/>
      <c r="P1414" s="132"/>
      <c r="Q1414" s="262"/>
      <c r="R1414" s="92"/>
    </row>
    <row r="1415" spans="3:18" x14ac:dyDescent="0.25">
      <c r="C1415" s="264"/>
      <c r="D1415" s="157"/>
      <c r="E1415" s="44"/>
      <c r="F1415" s="146"/>
      <c r="G1415" s="1"/>
      <c r="H1415" s="161"/>
      <c r="I1415" s="37"/>
      <c r="J1415" s="135"/>
      <c r="K1415" s="112"/>
      <c r="L1415" s="37"/>
      <c r="M1415" s="37"/>
      <c r="N1415" s="37"/>
      <c r="O1415" s="130"/>
      <c r="P1415" s="132"/>
      <c r="Q1415" s="262"/>
      <c r="R1415" s="92"/>
    </row>
    <row r="1416" spans="3:18" x14ac:dyDescent="0.25">
      <c r="C1416" s="264"/>
      <c r="D1416" s="157"/>
      <c r="E1416" s="44"/>
      <c r="F1416" s="146"/>
      <c r="G1416" s="1"/>
      <c r="H1416" s="161"/>
      <c r="I1416" s="37"/>
      <c r="J1416" s="135"/>
      <c r="K1416" s="112"/>
      <c r="L1416" s="37"/>
      <c r="M1416" s="37"/>
      <c r="N1416" s="37"/>
      <c r="O1416" s="130"/>
      <c r="P1416" s="132"/>
      <c r="Q1416" s="262"/>
      <c r="R1416" s="92"/>
    </row>
    <row r="1417" spans="3:18" x14ac:dyDescent="0.25">
      <c r="C1417" s="264"/>
      <c r="D1417" s="157"/>
      <c r="E1417" s="44"/>
      <c r="F1417" s="146"/>
      <c r="G1417" s="1"/>
      <c r="H1417" s="161"/>
      <c r="I1417" s="37"/>
      <c r="J1417" s="135"/>
      <c r="K1417" s="112"/>
      <c r="L1417" s="37"/>
      <c r="M1417" s="37"/>
      <c r="N1417" s="37"/>
      <c r="O1417" s="130"/>
      <c r="P1417" s="132"/>
      <c r="Q1417" s="262"/>
      <c r="R1417" s="92"/>
    </row>
    <row r="1418" spans="3:18" x14ac:dyDescent="0.25">
      <c r="C1418" s="264"/>
      <c r="D1418" s="157"/>
      <c r="E1418" s="44"/>
      <c r="F1418" s="146"/>
      <c r="G1418" s="1"/>
      <c r="H1418" s="161"/>
      <c r="I1418" s="37"/>
      <c r="J1418" s="135"/>
      <c r="K1418" s="112"/>
      <c r="L1418" s="37"/>
      <c r="M1418" s="37"/>
      <c r="N1418" s="37"/>
      <c r="O1418" s="130"/>
      <c r="P1418" s="132"/>
      <c r="Q1418" s="262"/>
      <c r="R1418" s="92"/>
    </row>
    <row r="1419" spans="3:18" x14ac:dyDescent="0.25">
      <c r="C1419" s="264"/>
      <c r="D1419" s="157"/>
      <c r="E1419" s="44"/>
      <c r="F1419" s="146"/>
      <c r="G1419" s="1"/>
      <c r="H1419" s="161"/>
      <c r="I1419" s="37"/>
      <c r="J1419" s="135"/>
      <c r="K1419" s="112"/>
      <c r="L1419" s="37"/>
      <c r="M1419" s="37"/>
      <c r="N1419" s="37"/>
      <c r="O1419" s="130"/>
      <c r="P1419" s="132"/>
      <c r="Q1419" s="262"/>
      <c r="R1419" s="92"/>
    </row>
    <row r="1420" spans="3:18" x14ac:dyDescent="0.25">
      <c r="C1420" s="264"/>
      <c r="D1420" s="157"/>
      <c r="E1420" s="44"/>
      <c r="F1420" s="146"/>
      <c r="G1420" s="1"/>
      <c r="H1420" s="161"/>
      <c r="I1420" s="37"/>
      <c r="J1420" s="135"/>
      <c r="K1420" s="112"/>
      <c r="L1420" s="37"/>
      <c r="M1420" s="37"/>
      <c r="N1420" s="37"/>
      <c r="O1420" s="130"/>
      <c r="P1420" s="132"/>
      <c r="Q1420" s="262"/>
      <c r="R1420" s="92"/>
    </row>
    <row r="1421" spans="3:18" x14ac:dyDescent="0.25">
      <c r="C1421" s="264"/>
      <c r="D1421" s="157"/>
      <c r="E1421" s="44"/>
      <c r="F1421" s="146"/>
      <c r="G1421" s="1"/>
      <c r="H1421" s="161"/>
      <c r="I1421" s="37"/>
      <c r="J1421" s="135"/>
      <c r="K1421" s="112"/>
      <c r="L1421" s="37"/>
      <c r="M1421" s="37"/>
      <c r="N1421" s="37"/>
      <c r="O1421" s="130"/>
      <c r="P1421" s="132"/>
      <c r="Q1421" s="262"/>
      <c r="R1421" s="92"/>
    </row>
    <row r="1422" spans="3:18" x14ac:dyDescent="0.25">
      <c r="C1422" s="264"/>
      <c r="D1422" s="157"/>
      <c r="E1422" s="44"/>
      <c r="F1422" s="146"/>
      <c r="G1422" s="1"/>
      <c r="H1422" s="161"/>
      <c r="I1422" s="37"/>
      <c r="J1422" s="135"/>
      <c r="K1422" s="112"/>
      <c r="L1422" s="37"/>
      <c r="M1422" s="37"/>
      <c r="N1422" s="37"/>
      <c r="O1422" s="130"/>
      <c r="P1422" s="132"/>
      <c r="Q1422" s="262"/>
      <c r="R1422" s="92"/>
    </row>
    <row r="1423" spans="3:18" x14ac:dyDescent="0.25">
      <c r="C1423" s="264"/>
      <c r="D1423" s="157"/>
      <c r="E1423" s="44"/>
      <c r="F1423" s="146"/>
      <c r="G1423" s="1"/>
      <c r="H1423" s="161"/>
      <c r="I1423" s="37"/>
      <c r="J1423" s="135"/>
      <c r="K1423" s="112"/>
      <c r="L1423" s="37"/>
      <c r="M1423" s="37"/>
      <c r="N1423" s="37"/>
      <c r="O1423" s="130"/>
      <c r="P1423" s="132"/>
      <c r="Q1423" s="262"/>
      <c r="R1423" s="92"/>
    </row>
    <row r="1424" spans="3:18" x14ac:dyDescent="0.25">
      <c r="C1424" s="264"/>
      <c r="D1424" s="157"/>
      <c r="E1424" s="44"/>
      <c r="F1424" s="146"/>
      <c r="G1424" s="1"/>
      <c r="H1424" s="161"/>
      <c r="I1424" s="37"/>
      <c r="J1424" s="135"/>
      <c r="K1424" s="112"/>
      <c r="L1424" s="37"/>
      <c r="M1424" s="37"/>
      <c r="N1424" s="37"/>
      <c r="O1424" s="130"/>
      <c r="P1424" s="132"/>
      <c r="Q1424" s="262"/>
      <c r="R1424" s="92"/>
    </row>
    <row r="1425" spans="3:18" x14ac:dyDescent="0.25">
      <c r="C1425" s="264"/>
      <c r="D1425" s="157"/>
      <c r="E1425" s="44"/>
      <c r="F1425" s="146"/>
      <c r="G1425" s="1"/>
      <c r="H1425" s="161"/>
      <c r="I1425" s="37"/>
      <c r="J1425" s="135"/>
      <c r="K1425" s="112"/>
      <c r="L1425" s="37"/>
      <c r="M1425" s="37"/>
      <c r="N1425" s="37"/>
      <c r="O1425" s="130"/>
      <c r="P1425" s="132"/>
      <c r="Q1425" s="262"/>
      <c r="R1425" s="92"/>
    </row>
    <row r="1426" spans="3:18" x14ac:dyDescent="0.25">
      <c r="C1426" s="264"/>
      <c r="D1426" s="157"/>
      <c r="E1426" s="44"/>
      <c r="F1426" s="146"/>
      <c r="G1426" s="1"/>
      <c r="H1426" s="161"/>
      <c r="I1426" s="37"/>
      <c r="J1426" s="135"/>
      <c r="K1426" s="112"/>
      <c r="L1426" s="37"/>
      <c r="M1426" s="37"/>
      <c r="N1426" s="37"/>
      <c r="O1426" s="130"/>
      <c r="P1426" s="132"/>
      <c r="Q1426" s="262"/>
      <c r="R1426" s="92"/>
    </row>
    <row r="1427" spans="3:18" x14ac:dyDescent="0.25">
      <c r="C1427" s="264"/>
      <c r="D1427" s="157"/>
      <c r="E1427" s="44"/>
      <c r="F1427" s="146"/>
      <c r="G1427" s="1"/>
      <c r="H1427" s="161"/>
      <c r="I1427" s="37"/>
      <c r="J1427" s="135"/>
      <c r="K1427" s="112"/>
      <c r="L1427" s="37"/>
      <c r="M1427" s="37"/>
      <c r="N1427" s="37"/>
      <c r="O1427" s="130"/>
      <c r="P1427" s="132"/>
      <c r="Q1427" s="262"/>
      <c r="R1427" s="92"/>
    </row>
    <row r="1428" spans="3:18" x14ac:dyDescent="0.25">
      <c r="C1428" s="264"/>
      <c r="D1428" s="157"/>
      <c r="E1428" s="44"/>
      <c r="F1428" s="146"/>
      <c r="G1428" s="1"/>
      <c r="H1428" s="161"/>
      <c r="I1428" s="37"/>
      <c r="J1428" s="135"/>
      <c r="K1428" s="112"/>
      <c r="L1428" s="37"/>
      <c r="M1428" s="37"/>
      <c r="N1428" s="37"/>
      <c r="O1428" s="130"/>
      <c r="P1428" s="132"/>
      <c r="Q1428" s="262"/>
      <c r="R1428" s="92"/>
    </row>
    <row r="1429" spans="3:18" x14ac:dyDescent="0.25">
      <c r="C1429" s="264"/>
      <c r="D1429" s="157"/>
      <c r="E1429" s="44"/>
      <c r="F1429" s="146"/>
      <c r="G1429" s="1"/>
      <c r="H1429" s="161"/>
      <c r="I1429" s="37"/>
      <c r="J1429" s="135"/>
      <c r="K1429" s="112"/>
      <c r="L1429" s="37"/>
      <c r="M1429" s="37"/>
      <c r="N1429" s="37"/>
      <c r="O1429" s="130"/>
      <c r="P1429" s="132"/>
      <c r="Q1429" s="262"/>
      <c r="R1429" s="92"/>
    </row>
    <row r="1430" spans="3:18" x14ac:dyDescent="0.25">
      <c r="C1430" s="264"/>
      <c r="D1430" s="157"/>
      <c r="E1430" s="44"/>
      <c r="F1430" s="146"/>
      <c r="G1430" s="1"/>
      <c r="H1430" s="161"/>
      <c r="I1430" s="37"/>
      <c r="J1430" s="135"/>
      <c r="K1430" s="112"/>
      <c r="L1430" s="37"/>
      <c r="M1430" s="37"/>
      <c r="N1430" s="37"/>
      <c r="O1430" s="130"/>
      <c r="P1430" s="132"/>
      <c r="Q1430" s="262"/>
      <c r="R1430" s="92"/>
    </row>
    <row r="1431" spans="3:18" x14ac:dyDescent="0.25">
      <c r="C1431" s="264"/>
      <c r="D1431" s="157"/>
      <c r="E1431" s="44"/>
      <c r="F1431" s="146"/>
      <c r="G1431" s="1"/>
      <c r="H1431" s="161"/>
      <c r="I1431" s="37"/>
      <c r="J1431" s="135"/>
      <c r="K1431" s="112"/>
      <c r="L1431" s="37"/>
      <c r="M1431" s="37"/>
      <c r="N1431" s="37"/>
      <c r="O1431" s="130"/>
      <c r="P1431" s="132"/>
      <c r="Q1431" s="262"/>
      <c r="R1431" s="92"/>
    </row>
    <row r="1432" spans="3:18" x14ac:dyDescent="0.25">
      <c r="C1432" s="264"/>
      <c r="D1432" s="157"/>
      <c r="E1432" s="44"/>
      <c r="F1432" s="146"/>
      <c r="G1432" s="1"/>
      <c r="H1432" s="161"/>
      <c r="I1432" s="37"/>
      <c r="J1432" s="135"/>
      <c r="K1432" s="112"/>
      <c r="L1432" s="37"/>
      <c r="M1432" s="37"/>
      <c r="N1432" s="37"/>
      <c r="O1432" s="130"/>
      <c r="P1432" s="132"/>
      <c r="Q1432" s="262"/>
      <c r="R1432" s="92"/>
    </row>
    <row r="1433" spans="3:18" x14ac:dyDescent="0.25">
      <c r="C1433" s="264"/>
      <c r="D1433" s="157"/>
      <c r="E1433" s="44"/>
      <c r="F1433" s="146"/>
      <c r="G1433" s="1"/>
      <c r="H1433" s="161"/>
      <c r="I1433" s="37"/>
      <c r="J1433" s="135"/>
      <c r="K1433" s="112"/>
      <c r="L1433" s="37"/>
      <c r="M1433" s="37"/>
      <c r="N1433" s="37"/>
      <c r="O1433" s="130"/>
      <c r="P1433" s="132"/>
      <c r="Q1433" s="262"/>
      <c r="R1433" s="92"/>
    </row>
    <row r="1434" spans="3:18" x14ac:dyDescent="0.25">
      <c r="C1434" s="264"/>
      <c r="D1434" s="157"/>
      <c r="E1434" s="44"/>
      <c r="F1434" s="146"/>
      <c r="G1434" s="1"/>
      <c r="H1434" s="161"/>
      <c r="I1434" s="37"/>
      <c r="J1434" s="135"/>
      <c r="K1434" s="112"/>
      <c r="L1434" s="37"/>
      <c r="M1434" s="37"/>
      <c r="N1434" s="37"/>
      <c r="O1434" s="130"/>
      <c r="P1434" s="132"/>
      <c r="Q1434" s="262"/>
      <c r="R1434" s="92"/>
    </row>
    <row r="1435" spans="3:18" x14ac:dyDescent="0.25">
      <c r="C1435" s="264"/>
      <c r="D1435" s="157"/>
      <c r="E1435" s="44"/>
      <c r="F1435" s="146"/>
      <c r="G1435" s="1"/>
      <c r="H1435" s="161"/>
      <c r="I1435" s="37"/>
      <c r="J1435" s="135"/>
      <c r="K1435" s="112"/>
      <c r="L1435" s="37"/>
      <c r="M1435" s="37"/>
      <c r="N1435" s="37"/>
      <c r="O1435" s="130"/>
      <c r="P1435" s="132"/>
      <c r="Q1435" s="262"/>
      <c r="R1435" s="92"/>
    </row>
    <row r="1436" spans="3:18" x14ac:dyDescent="0.25">
      <c r="C1436" s="264"/>
      <c r="D1436" s="157"/>
      <c r="E1436" s="44"/>
      <c r="F1436" s="146"/>
      <c r="G1436" s="1"/>
      <c r="H1436" s="161"/>
      <c r="I1436" s="37"/>
      <c r="J1436" s="135"/>
      <c r="K1436" s="112"/>
      <c r="L1436" s="37"/>
      <c r="M1436" s="37"/>
      <c r="N1436" s="37"/>
      <c r="O1436" s="130"/>
      <c r="P1436" s="132"/>
      <c r="Q1436" s="262"/>
      <c r="R1436" s="92"/>
    </row>
    <row r="1437" spans="3:18" x14ac:dyDescent="0.25">
      <c r="C1437" s="264"/>
      <c r="D1437" s="157"/>
      <c r="E1437" s="44"/>
      <c r="F1437" s="146"/>
      <c r="G1437" s="1"/>
      <c r="H1437" s="161"/>
      <c r="I1437" s="37"/>
      <c r="J1437" s="135"/>
      <c r="K1437" s="112"/>
      <c r="L1437" s="37"/>
      <c r="M1437" s="37"/>
      <c r="N1437" s="37"/>
      <c r="O1437" s="130"/>
      <c r="P1437" s="132"/>
      <c r="Q1437" s="262"/>
      <c r="R1437" s="92"/>
    </row>
    <row r="1438" spans="3:18" x14ac:dyDescent="0.25">
      <c r="C1438" s="264"/>
      <c r="D1438" s="157"/>
      <c r="E1438" s="44"/>
      <c r="F1438" s="146"/>
      <c r="G1438" s="1"/>
      <c r="H1438" s="161"/>
      <c r="I1438" s="37"/>
      <c r="J1438" s="135"/>
      <c r="K1438" s="112"/>
      <c r="L1438" s="37"/>
      <c r="M1438" s="37"/>
      <c r="N1438" s="37"/>
      <c r="O1438" s="130"/>
      <c r="P1438" s="132"/>
      <c r="Q1438" s="262"/>
      <c r="R1438" s="92"/>
    </row>
    <row r="1439" spans="3:18" x14ac:dyDescent="0.25">
      <c r="C1439" s="264"/>
      <c r="D1439" s="157"/>
      <c r="E1439" s="44"/>
      <c r="F1439" s="146"/>
      <c r="G1439" s="1"/>
      <c r="H1439" s="161"/>
      <c r="I1439" s="37"/>
      <c r="J1439" s="135"/>
      <c r="K1439" s="112"/>
      <c r="L1439" s="37"/>
      <c r="M1439" s="37"/>
      <c r="N1439" s="37"/>
      <c r="O1439" s="130"/>
      <c r="P1439" s="132"/>
      <c r="Q1439" s="262"/>
      <c r="R1439" s="92"/>
    </row>
    <row r="1440" spans="3:18" x14ac:dyDescent="0.25">
      <c r="C1440" s="264"/>
      <c r="D1440" s="157"/>
      <c r="E1440" s="44"/>
      <c r="F1440" s="146"/>
      <c r="G1440" s="1"/>
      <c r="H1440" s="161"/>
      <c r="I1440" s="37"/>
      <c r="J1440" s="135"/>
      <c r="K1440" s="112"/>
      <c r="L1440" s="37"/>
      <c r="M1440" s="37"/>
      <c r="N1440" s="37"/>
      <c r="O1440" s="130"/>
      <c r="P1440" s="132"/>
      <c r="Q1440" s="262"/>
      <c r="R1440" s="92"/>
    </row>
    <row r="1441" spans="3:18" x14ac:dyDescent="0.25">
      <c r="C1441" s="264"/>
      <c r="D1441" s="157"/>
      <c r="E1441" s="44"/>
      <c r="F1441" s="146"/>
      <c r="G1441" s="1"/>
      <c r="H1441" s="161"/>
      <c r="I1441" s="37"/>
      <c r="J1441" s="135"/>
      <c r="K1441" s="112"/>
      <c r="L1441" s="37"/>
      <c r="M1441" s="37"/>
      <c r="N1441" s="37"/>
      <c r="O1441" s="130"/>
      <c r="P1441" s="132"/>
      <c r="Q1441" s="262"/>
      <c r="R1441" s="92"/>
    </row>
    <row r="1442" spans="3:18" x14ac:dyDescent="0.25">
      <c r="C1442" s="264"/>
      <c r="D1442" s="157"/>
      <c r="E1442" s="44"/>
      <c r="F1442" s="146"/>
      <c r="G1442" s="1"/>
      <c r="H1442" s="161"/>
      <c r="I1442" s="37"/>
      <c r="J1442" s="135"/>
      <c r="K1442" s="112"/>
      <c r="L1442" s="37"/>
      <c r="M1442" s="37"/>
      <c r="N1442" s="37"/>
      <c r="O1442" s="130"/>
      <c r="P1442" s="132"/>
      <c r="Q1442" s="262"/>
      <c r="R1442" s="92"/>
    </row>
    <row r="1443" spans="3:18" x14ac:dyDescent="0.25">
      <c r="C1443" s="264"/>
      <c r="D1443" s="157"/>
      <c r="E1443" s="44"/>
      <c r="F1443" s="146"/>
      <c r="G1443" s="1"/>
      <c r="H1443" s="161"/>
      <c r="I1443" s="37"/>
      <c r="J1443" s="135"/>
      <c r="K1443" s="112"/>
      <c r="L1443" s="37"/>
      <c r="M1443" s="37"/>
      <c r="N1443" s="37"/>
      <c r="O1443" s="130"/>
      <c r="P1443" s="132"/>
      <c r="Q1443" s="262"/>
      <c r="R1443" s="92"/>
    </row>
    <row r="1444" spans="3:18" x14ac:dyDescent="0.25">
      <c r="C1444" s="264"/>
      <c r="D1444" s="157"/>
      <c r="E1444" s="44"/>
      <c r="F1444" s="146"/>
      <c r="G1444" s="1"/>
      <c r="H1444" s="161"/>
      <c r="I1444" s="37"/>
      <c r="J1444" s="135"/>
      <c r="K1444" s="112"/>
      <c r="L1444" s="37"/>
      <c r="M1444" s="37"/>
      <c r="N1444" s="37"/>
      <c r="O1444" s="130"/>
      <c r="P1444" s="132"/>
      <c r="Q1444" s="262"/>
      <c r="R1444" s="92"/>
    </row>
    <row r="1445" spans="3:18" x14ac:dyDescent="0.25">
      <c r="C1445" s="264"/>
      <c r="D1445" s="157"/>
      <c r="E1445" s="44"/>
      <c r="F1445" s="146"/>
      <c r="G1445" s="1"/>
      <c r="H1445" s="161"/>
      <c r="I1445" s="37"/>
      <c r="J1445" s="135"/>
      <c r="K1445" s="112"/>
      <c r="L1445" s="37"/>
      <c r="M1445" s="37"/>
      <c r="N1445" s="37"/>
      <c r="O1445" s="130"/>
      <c r="P1445" s="132"/>
      <c r="Q1445" s="262"/>
      <c r="R1445" s="92"/>
    </row>
    <row r="1446" spans="3:18" x14ac:dyDescent="0.25">
      <c r="C1446" s="264"/>
      <c r="D1446" s="157"/>
      <c r="E1446" s="44"/>
      <c r="F1446" s="146"/>
      <c r="G1446" s="1"/>
      <c r="H1446" s="161"/>
      <c r="I1446" s="37"/>
      <c r="J1446" s="135"/>
      <c r="K1446" s="112"/>
      <c r="L1446" s="37"/>
      <c r="M1446" s="37"/>
      <c r="N1446" s="37"/>
      <c r="O1446" s="130"/>
      <c r="P1446" s="132"/>
      <c r="Q1446" s="262"/>
      <c r="R1446" s="92"/>
    </row>
    <row r="1447" spans="3:18" x14ac:dyDescent="0.25">
      <c r="C1447" s="264"/>
      <c r="D1447" s="157"/>
      <c r="E1447" s="44"/>
      <c r="F1447" s="146"/>
      <c r="G1447" s="1"/>
      <c r="H1447" s="161"/>
      <c r="I1447" s="37"/>
      <c r="J1447" s="135"/>
      <c r="K1447" s="112"/>
      <c r="L1447" s="37"/>
      <c r="M1447" s="37"/>
      <c r="N1447" s="37"/>
      <c r="O1447" s="130"/>
      <c r="P1447" s="132"/>
      <c r="Q1447" s="262"/>
      <c r="R1447" s="92"/>
    </row>
    <row r="1448" spans="3:18" x14ac:dyDescent="0.25">
      <c r="C1448" s="264"/>
      <c r="D1448" s="157"/>
      <c r="E1448" s="44"/>
      <c r="F1448" s="146"/>
      <c r="G1448" s="1"/>
      <c r="H1448" s="161"/>
      <c r="I1448" s="37"/>
      <c r="J1448" s="135"/>
      <c r="K1448" s="112"/>
      <c r="L1448" s="37"/>
      <c r="M1448" s="37"/>
      <c r="N1448" s="37"/>
      <c r="O1448" s="130"/>
      <c r="P1448" s="132"/>
      <c r="Q1448" s="262"/>
      <c r="R1448" s="92"/>
    </row>
    <row r="1449" spans="3:18" x14ac:dyDescent="0.25">
      <c r="C1449" s="264"/>
      <c r="D1449" s="157"/>
      <c r="E1449" s="44"/>
      <c r="F1449" s="146"/>
      <c r="G1449" s="1"/>
      <c r="H1449" s="161"/>
      <c r="I1449" s="37"/>
      <c r="J1449" s="135"/>
      <c r="K1449" s="112"/>
      <c r="L1449" s="37"/>
      <c r="M1449" s="37"/>
      <c r="N1449" s="37"/>
      <c r="O1449" s="130"/>
      <c r="P1449" s="132"/>
      <c r="Q1449" s="262"/>
      <c r="R1449" s="92"/>
    </row>
    <row r="1450" spans="3:18" x14ac:dyDescent="0.25">
      <c r="C1450" s="264"/>
      <c r="D1450" s="157"/>
      <c r="E1450" s="44"/>
      <c r="F1450" s="146"/>
      <c r="G1450" s="1"/>
      <c r="H1450" s="161"/>
      <c r="I1450" s="37"/>
      <c r="J1450" s="135"/>
      <c r="K1450" s="112"/>
      <c r="L1450" s="37"/>
      <c r="M1450" s="37"/>
      <c r="N1450" s="37"/>
      <c r="O1450" s="130"/>
      <c r="P1450" s="132"/>
      <c r="Q1450" s="262"/>
      <c r="R1450" s="92"/>
    </row>
    <row r="1451" spans="3:18" x14ac:dyDescent="0.25">
      <c r="C1451" s="264"/>
      <c r="D1451" s="157"/>
      <c r="E1451" s="44"/>
      <c r="F1451" s="146"/>
      <c r="G1451" s="1"/>
      <c r="H1451" s="161"/>
      <c r="I1451" s="37"/>
      <c r="J1451" s="135"/>
      <c r="K1451" s="112"/>
      <c r="L1451" s="37"/>
      <c r="M1451" s="37"/>
      <c r="N1451" s="37"/>
      <c r="O1451" s="130"/>
      <c r="P1451" s="132"/>
      <c r="Q1451" s="262"/>
      <c r="R1451" s="92"/>
    </row>
    <row r="1452" spans="3:18" x14ac:dyDescent="0.25">
      <c r="C1452" s="264"/>
      <c r="D1452" s="157"/>
      <c r="E1452" s="44"/>
      <c r="F1452" s="146"/>
      <c r="G1452" s="1"/>
      <c r="H1452" s="161"/>
      <c r="I1452" s="37"/>
      <c r="J1452" s="135"/>
      <c r="K1452" s="112"/>
      <c r="L1452" s="37"/>
      <c r="M1452" s="37"/>
      <c r="N1452" s="37"/>
      <c r="O1452" s="130"/>
      <c r="P1452" s="132"/>
      <c r="Q1452" s="262"/>
      <c r="R1452" s="92"/>
    </row>
    <row r="1453" spans="3:18" x14ac:dyDescent="0.25">
      <c r="C1453" s="264"/>
      <c r="D1453" s="157"/>
      <c r="E1453" s="44"/>
      <c r="F1453" s="146"/>
      <c r="G1453" s="1"/>
      <c r="H1453" s="161"/>
      <c r="I1453" s="37"/>
      <c r="J1453" s="135"/>
      <c r="K1453" s="112"/>
      <c r="L1453" s="37"/>
      <c r="M1453" s="37"/>
      <c r="N1453" s="37"/>
      <c r="O1453" s="130"/>
      <c r="P1453" s="132"/>
      <c r="Q1453" s="262"/>
      <c r="R1453" s="92"/>
    </row>
    <row r="1454" spans="3:18" x14ac:dyDescent="0.25">
      <c r="C1454" s="264"/>
      <c r="D1454" s="157"/>
      <c r="E1454" s="44"/>
      <c r="F1454" s="146"/>
      <c r="G1454" s="1"/>
      <c r="H1454" s="161"/>
      <c r="I1454" s="37"/>
      <c r="J1454" s="135"/>
      <c r="K1454" s="112"/>
      <c r="L1454" s="37"/>
      <c r="M1454" s="37"/>
      <c r="N1454" s="37"/>
      <c r="O1454" s="130"/>
      <c r="P1454" s="132"/>
      <c r="Q1454" s="262"/>
      <c r="R1454" s="92"/>
    </row>
    <row r="1455" spans="3:18" x14ac:dyDescent="0.25">
      <c r="C1455" s="264"/>
      <c r="D1455" s="157"/>
      <c r="E1455" s="44"/>
      <c r="F1455" s="146"/>
      <c r="G1455" s="1"/>
      <c r="H1455" s="161"/>
      <c r="I1455" s="37"/>
      <c r="J1455" s="135"/>
      <c r="K1455" s="112"/>
      <c r="L1455" s="37"/>
      <c r="M1455" s="37"/>
      <c r="N1455" s="37"/>
      <c r="O1455" s="130"/>
      <c r="P1455" s="132"/>
      <c r="Q1455" s="262"/>
      <c r="R1455" s="92"/>
    </row>
    <row r="1456" spans="3:18" x14ac:dyDescent="0.25">
      <c r="C1456" s="264"/>
      <c r="D1456" s="157"/>
      <c r="E1456" s="44"/>
      <c r="F1456" s="146"/>
      <c r="G1456" s="1"/>
      <c r="H1456" s="161"/>
      <c r="I1456" s="37"/>
      <c r="J1456" s="135"/>
      <c r="K1456" s="112"/>
      <c r="L1456" s="37"/>
      <c r="M1456" s="37"/>
      <c r="N1456" s="37"/>
      <c r="O1456" s="130"/>
      <c r="P1456" s="132"/>
      <c r="Q1456" s="262"/>
      <c r="R1456" s="92"/>
    </row>
    <row r="1457" spans="3:18" x14ac:dyDescent="0.25">
      <c r="C1457" s="264"/>
      <c r="D1457" s="157"/>
      <c r="E1457" s="44"/>
      <c r="F1457" s="146"/>
      <c r="G1457" s="1"/>
      <c r="H1457" s="161"/>
      <c r="I1457" s="37"/>
      <c r="J1457" s="135"/>
      <c r="K1457" s="112"/>
      <c r="L1457" s="37"/>
      <c r="M1457" s="37"/>
      <c r="N1457" s="37"/>
      <c r="O1457" s="130"/>
      <c r="P1457" s="132"/>
      <c r="Q1457" s="262"/>
      <c r="R1457" s="92"/>
    </row>
    <row r="1458" spans="3:18" x14ac:dyDescent="0.25">
      <c r="C1458" s="264"/>
      <c r="D1458" s="157"/>
      <c r="E1458" s="44"/>
      <c r="F1458" s="146"/>
      <c r="G1458" s="1"/>
      <c r="H1458" s="161"/>
      <c r="I1458" s="37"/>
      <c r="J1458" s="135"/>
      <c r="K1458" s="112"/>
      <c r="L1458" s="37"/>
      <c r="M1458" s="37"/>
      <c r="N1458" s="37"/>
      <c r="O1458" s="130"/>
      <c r="P1458" s="132"/>
      <c r="Q1458" s="262"/>
      <c r="R1458" s="92"/>
    </row>
    <row r="1459" spans="3:18" x14ac:dyDescent="0.25">
      <c r="C1459" s="264"/>
      <c r="D1459" s="157"/>
      <c r="E1459" s="44"/>
      <c r="F1459" s="146"/>
      <c r="G1459" s="1"/>
      <c r="H1459" s="161"/>
      <c r="I1459" s="37"/>
      <c r="J1459" s="135"/>
      <c r="K1459" s="112"/>
      <c r="L1459" s="37"/>
      <c r="M1459" s="37"/>
      <c r="N1459" s="37"/>
      <c r="O1459" s="130"/>
      <c r="P1459" s="132"/>
      <c r="Q1459" s="262"/>
      <c r="R1459" s="92"/>
    </row>
    <row r="1460" spans="3:18" x14ac:dyDescent="0.25">
      <c r="C1460" s="264"/>
      <c r="D1460" s="157"/>
      <c r="E1460" s="44"/>
      <c r="F1460" s="146"/>
      <c r="G1460" s="1"/>
      <c r="H1460" s="161"/>
      <c r="I1460" s="37"/>
      <c r="J1460" s="135"/>
      <c r="K1460" s="112"/>
      <c r="L1460" s="37"/>
      <c r="M1460" s="37"/>
      <c r="N1460" s="37"/>
      <c r="O1460" s="130"/>
      <c r="P1460" s="132"/>
      <c r="Q1460" s="262"/>
      <c r="R1460" s="92"/>
    </row>
    <row r="1461" spans="3:18" x14ac:dyDescent="0.25">
      <c r="C1461" s="264"/>
      <c r="D1461" s="157"/>
      <c r="E1461" s="44"/>
      <c r="F1461" s="146"/>
      <c r="G1461" s="1"/>
      <c r="H1461" s="161"/>
      <c r="I1461" s="37"/>
      <c r="J1461" s="135"/>
      <c r="K1461" s="112"/>
      <c r="L1461" s="37"/>
      <c r="M1461" s="37"/>
      <c r="N1461" s="37"/>
      <c r="O1461" s="130"/>
      <c r="P1461" s="132"/>
      <c r="Q1461" s="262"/>
      <c r="R1461" s="92"/>
    </row>
    <row r="1462" spans="3:18" x14ac:dyDescent="0.25">
      <c r="C1462" s="264"/>
      <c r="D1462" s="157"/>
      <c r="E1462" s="44"/>
      <c r="F1462" s="146"/>
      <c r="G1462" s="1"/>
      <c r="H1462" s="161"/>
      <c r="I1462" s="37"/>
      <c r="J1462" s="135"/>
      <c r="K1462" s="112"/>
      <c r="L1462" s="37"/>
      <c r="M1462" s="37"/>
      <c r="N1462" s="37"/>
      <c r="O1462" s="130"/>
      <c r="P1462" s="132"/>
      <c r="Q1462" s="262"/>
      <c r="R1462" s="92"/>
    </row>
    <row r="1463" spans="3:18" x14ac:dyDescent="0.25">
      <c r="C1463" s="264"/>
      <c r="D1463" s="157"/>
      <c r="E1463" s="44"/>
      <c r="F1463" s="146"/>
      <c r="G1463" s="1"/>
      <c r="H1463" s="161"/>
      <c r="I1463" s="37"/>
      <c r="J1463" s="135"/>
      <c r="K1463" s="112"/>
      <c r="L1463" s="37"/>
      <c r="M1463" s="37"/>
      <c r="N1463" s="37"/>
      <c r="O1463" s="130"/>
      <c r="P1463" s="132"/>
      <c r="Q1463" s="262"/>
      <c r="R1463" s="92"/>
    </row>
    <row r="1464" spans="3:18" x14ac:dyDescent="0.25">
      <c r="C1464" s="264"/>
      <c r="D1464" s="157"/>
      <c r="E1464" s="44"/>
      <c r="F1464" s="146"/>
      <c r="G1464" s="1"/>
      <c r="H1464" s="161"/>
      <c r="I1464" s="37"/>
      <c r="J1464" s="135"/>
      <c r="K1464" s="112"/>
      <c r="L1464" s="37"/>
      <c r="M1464" s="37"/>
      <c r="N1464" s="37"/>
      <c r="O1464" s="130"/>
      <c r="P1464" s="132"/>
      <c r="Q1464" s="262"/>
      <c r="R1464" s="92"/>
    </row>
    <row r="1465" spans="3:18" x14ac:dyDescent="0.25">
      <c r="C1465" s="264"/>
      <c r="D1465" s="157"/>
      <c r="E1465" s="44"/>
      <c r="F1465" s="146"/>
      <c r="G1465" s="1"/>
      <c r="H1465" s="161"/>
      <c r="I1465" s="37"/>
      <c r="J1465" s="135"/>
      <c r="K1465" s="112"/>
      <c r="L1465" s="37"/>
      <c r="M1465" s="37"/>
      <c r="N1465" s="37"/>
      <c r="O1465" s="130"/>
      <c r="P1465" s="132"/>
      <c r="Q1465" s="262"/>
      <c r="R1465" s="92"/>
    </row>
    <row r="1466" spans="3:18" x14ac:dyDescent="0.25">
      <c r="C1466" s="264"/>
      <c r="D1466" s="157"/>
      <c r="E1466" s="44"/>
      <c r="F1466" s="146"/>
      <c r="G1466" s="1"/>
      <c r="H1466" s="161"/>
      <c r="I1466" s="37"/>
      <c r="J1466" s="135"/>
      <c r="K1466" s="112"/>
      <c r="L1466" s="37"/>
      <c r="M1466" s="37"/>
      <c r="N1466" s="37"/>
      <c r="O1466" s="130"/>
      <c r="P1466" s="132"/>
      <c r="Q1466" s="262"/>
      <c r="R1466" s="92"/>
    </row>
    <row r="1467" spans="3:18" x14ac:dyDescent="0.25">
      <c r="C1467" s="264"/>
      <c r="D1467" s="157"/>
      <c r="E1467" s="44"/>
      <c r="F1467" s="146"/>
      <c r="G1467" s="1"/>
      <c r="H1467" s="161"/>
      <c r="I1467" s="37"/>
      <c r="J1467" s="135"/>
      <c r="K1467" s="112"/>
      <c r="L1467" s="37"/>
      <c r="M1467" s="37"/>
      <c r="N1467" s="37"/>
      <c r="O1467" s="130"/>
      <c r="P1467" s="132"/>
      <c r="Q1467" s="262"/>
      <c r="R1467" s="92"/>
    </row>
    <row r="1468" spans="3:18" x14ac:dyDescent="0.25">
      <c r="C1468" s="264"/>
      <c r="D1468" s="157"/>
      <c r="E1468" s="44"/>
      <c r="F1468" s="146"/>
      <c r="G1468" s="1"/>
      <c r="H1468" s="161"/>
      <c r="I1468" s="37"/>
      <c r="J1468" s="135"/>
      <c r="K1468" s="112"/>
      <c r="L1468" s="37"/>
      <c r="M1468" s="37"/>
      <c r="N1468" s="37"/>
      <c r="O1468" s="130"/>
      <c r="P1468" s="132"/>
      <c r="Q1468" s="262"/>
      <c r="R1468" s="92"/>
    </row>
    <row r="1469" spans="3:18" x14ac:dyDescent="0.25">
      <c r="C1469" s="264"/>
      <c r="D1469" s="157"/>
      <c r="E1469" s="44"/>
      <c r="F1469" s="146"/>
      <c r="G1469" s="1"/>
      <c r="H1469" s="161"/>
      <c r="I1469" s="37"/>
      <c r="J1469" s="135"/>
      <c r="K1469" s="112"/>
      <c r="L1469" s="37"/>
      <c r="M1469" s="37"/>
      <c r="N1469" s="37"/>
      <c r="O1469" s="130"/>
      <c r="P1469" s="132"/>
      <c r="Q1469" s="262"/>
      <c r="R1469" s="92"/>
    </row>
    <row r="1470" spans="3:18" x14ac:dyDescent="0.25">
      <c r="C1470" s="264"/>
      <c r="D1470" s="157"/>
      <c r="E1470" s="44"/>
      <c r="F1470" s="146"/>
      <c r="G1470" s="1"/>
      <c r="H1470" s="161"/>
      <c r="I1470" s="37"/>
      <c r="J1470" s="135"/>
      <c r="K1470" s="112"/>
      <c r="L1470" s="37"/>
      <c r="M1470" s="37"/>
      <c r="N1470" s="37"/>
      <c r="O1470" s="130"/>
      <c r="P1470" s="132"/>
      <c r="Q1470" s="262"/>
      <c r="R1470" s="92"/>
    </row>
    <row r="1471" spans="3:18" x14ac:dyDescent="0.25">
      <c r="C1471" s="264"/>
      <c r="D1471" s="157"/>
      <c r="E1471" s="44"/>
      <c r="F1471" s="146"/>
      <c r="G1471" s="1"/>
      <c r="H1471" s="161"/>
      <c r="I1471" s="37"/>
      <c r="J1471" s="135"/>
      <c r="K1471" s="112"/>
      <c r="L1471" s="37"/>
      <c r="M1471" s="37"/>
      <c r="N1471" s="37"/>
      <c r="O1471" s="130"/>
      <c r="P1471" s="132"/>
      <c r="Q1471" s="262"/>
      <c r="R1471" s="92"/>
    </row>
    <row r="1472" spans="3:18" x14ac:dyDescent="0.25">
      <c r="C1472" s="264"/>
      <c r="D1472" s="157"/>
      <c r="E1472" s="44"/>
      <c r="F1472" s="146"/>
      <c r="G1472" s="1"/>
      <c r="H1472" s="161"/>
      <c r="I1472" s="37"/>
      <c r="J1472" s="135"/>
      <c r="K1472" s="112"/>
      <c r="L1472" s="37"/>
      <c r="M1472" s="37"/>
      <c r="N1472" s="37"/>
      <c r="O1472" s="130"/>
      <c r="P1472" s="132"/>
      <c r="Q1472" s="262"/>
      <c r="R1472" s="92"/>
    </row>
    <row r="1473" spans="3:18" x14ac:dyDescent="0.25">
      <c r="C1473" s="264"/>
      <c r="D1473" s="157"/>
      <c r="E1473" s="44"/>
      <c r="F1473" s="146"/>
      <c r="G1473" s="1"/>
      <c r="H1473" s="161"/>
      <c r="I1473" s="37"/>
      <c r="J1473" s="135"/>
      <c r="K1473" s="112"/>
      <c r="L1473" s="37"/>
      <c r="M1473" s="37"/>
      <c r="N1473" s="37"/>
      <c r="O1473" s="130"/>
      <c r="P1473" s="132"/>
      <c r="Q1473" s="262"/>
      <c r="R1473" s="92"/>
    </row>
    <row r="1474" spans="3:18" x14ac:dyDescent="0.25">
      <c r="C1474" s="264"/>
      <c r="D1474" s="157"/>
      <c r="E1474" s="44"/>
      <c r="F1474" s="146"/>
      <c r="G1474" s="1"/>
      <c r="H1474" s="161"/>
      <c r="I1474" s="37"/>
      <c r="J1474" s="135"/>
      <c r="K1474" s="112"/>
      <c r="L1474" s="37"/>
      <c r="M1474" s="37"/>
      <c r="N1474" s="37"/>
      <c r="O1474" s="130"/>
      <c r="P1474" s="132"/>
      <c r="Q1474" s="262"/>
      <c r="R1474" s="92"/>
    </row>
    <row r="1475" spans="3:18" x14ac:dyDescent="0.25">
      <c r="C1475" s="264"/>
      <c r="D1475" s="157"/>
      <c r="E1475" s="44"/>
      <c r="F1475" s="146"/>
      <c r="G1475" s="1"/>
      <c r="H1475" s="161"/>
      <c r="I1475" s="37"/>
      <c r="J1475" s="135"/>
      <c r="K1475" s="112"/>
      <c r="L1475" s="37"/>
      <c r="M1475" s="37"/>
      <c r="N1475" s="37"/>
      <c r="O1475" s="130"/>
      <c r="P1475" s="132"/>
      <c r="Q1475" s="262"/>
      <c r="R1475" s="92"/>
    </row>
    <row r="1476" spans="3:18" x14ac:dyDescent="0.25">
      <c r="C1476" s="264"/>
      <c r="D1476" s="157"/>
      <c r="E1476" s="44"/>
      <c r="F1476" s="146"/>
      <c r="G1476" s="1"/>
      <c r="H1476" s="161"/>
      <c r="I1476" s="37"/>
      <c r="J1476" s="135"/>
      <c r="K1476" s="112"/>
      <c r="L1476" s="37"/>
      <c r="M1476" s="37"/>
      <c r="N1476" s="37"/>
      <c r="O1476" s="130"/>
      <c r="P1476" s="132"/>
      <c r="Q1476" s="262"/>
      <c r="R1476" s="92"/>
    </row>
    <row r="1477" spans="3:18" x14ac:dyDescent="0.25">
      <c r="C1477" s="264"/>
      <c r="D1477" s="157"/>
      <c r="E1477" s="44"/>
      <c r="F1477" s="146"/>
      <c r="G1477" s="1"/>
      <c r="H1477" s="161"/>
      <c r="I1477" s="37"/>
      <c r="J1477" s="135"/>
      <c r="K1477" s="112"/>
      <c r="L1477" s="37"/>
      <c r="M1477" s="37"/>
      <c r="N1477" s="37"/>
      <c r="O1477" s="130"/>
      <c r="P1477" s="132"/>
      <c r="Q1477" s="262"/>
      <c r="R1477" s="92"/>
    </row>
    <row r="1478" spans="3:18" x14ac:dyDescent="0.25">
      <c r="C1478" s="264"/>
      <c r="D1478" s="157"/>
      <c r="E1478" s="44"/>
      <c r="F1478" s="146"/>
      <c r="G1478" s="1"/>
      <c r="H1478" s="161"/>
      <c r="I1478" s="37"/>
      <c r="J1478" s="135"/>
      <c r="K1478" s="112"/>
      <c r="L1478" s="37"/>
      <c r="M1478" s="37"/>
      <c r="N1478" s="37"/>
      <c r="O1478" s="130"/>
      <c r="P1478" s="132"/>
      <c r="Q1478" s="262"/>
      <c r="R1478" s="92"/>
    </row>
    <row r="1479" spans="3:18" x14ac:dyDescent="0.25">
      <c r="C1479" s="264"/>
      <c r="D1479" s="157"/>
      <c r="E1479" s="44"/>
      <c r="F1479" s="146"/>
      <c r="G1479" s="1"/>
      <c r="H1479" s="161"/>
      <c r="I1479" s="37"/>
      <c r="J1479" s="135"/>
      <c r="K1479" s="112"/>
      <c r="L1479" s="37"/>
      <c r="M1479" s="37"/>
      <c r="N1479" s="37"/>
      <c r="O1479" s="130"/>
      <c r="P1479" s="132"/>
      <c r="Q1479" s="262"/>
      <c r="R1479" s="92"/>
    </row>
    <row r="1480" spans="3:18" x14ac:dyDescent="0.25">
      <c r="C1480" s="264"/>
      <c r="D1480" s="157"/>
      <c r="E1480" s="44"/>
      <c r="F1480" s="146"/>
      <c r="G1480" s="1"/>
      <c r="H1480" s="161"/>
      <c r="I1480" s="37"/>
      <c r="J1480" s="135"/>
      <c r="K1480" s="112"/>
      <c r="L1480" s="37"/>
      <c r="M1480" s="37"/>
      <c r="N1480" s="37"/>
      <c r="O1480" s="130"/>
      <c r="P1480" s="132"/>
      <c r="Q1480" s="262"/>
      <c r="R1480" s="92"/>
    </row>
    <row r="1481" spans="3:18" x14ac:dyDescent="0.25">
      <c r="C1481" s="264"/>
      <c r="D1481" s="157"/>
      <c r="E1481" s="44"/>
      <c r="F1481" s="146"/>
      <c r="G1481" s="1"/>
      <c r="H1481" s="161"/>
      <c r="I1481" s="37"/>
      <c r="J1481" s="135"/>
      <c r="K1481" s="112"/>
      <c r="L1481" s="37"/>
      <c r="M1481" s="37"/>
      <c r="N1481" s="37"/>
      <c r="O1481" s="130"/>
      <c r="P1481" s="132"/>
      <c r="Q1481" s="262"/>
      <c r="R1481" s="92"/>
    </row>
    <row r="1482" spans="3:18" x14ac:dyDescent="0.25">
      <c r="C1482" s="264"/>
      <c r="D1482" s="157"/>
      <c r="E1482" s="44"/>
      <c r="F1482" s="146"/>
      <c r="G1482" s="1"/>
      <c r="H1482" s="161"/>
      <c r="I1482" s="37"/>
      <c r="J1482" s="135"/>
      <c r="K1482" s="112"/>
      <c r="L1482" s="37"/>
      <c r="M1482" s="37"/>
      <c r="N1482" s="37"/>
      <c r="O1482" s="130"/>
      <c r="P1482" s="132"/>
      <c r="Q1482" s="262"/>
      <c r="R1482" s="92"/>
    </row>
    <row r="1483" spans="3:18" x14ac:dyDescent="0.25">
      <c r="C1483" s="264"/>
      <c r="D1483" s="157"/>
      <c r="E1483" s="44"/>
      <c r="F1483" s="146"/>
      <c r="G1483" s="1"/>
      <c r="H1483" s="161"/>
      <c r="I1483" s="37"/>
      <c r="J1483" s="135"/>
      <c r="K1483" s="112"/>
      <c r="L1483" s="37"/>
      <c r="M1483" s="37"/>
      <c r="N1483" s="37"/>
      <c r="O1483" s="130"/>
      <c r="P1483" s="132"/>
      <c r="Q1483" s="262"/>
      <c r="R1483" s="92"/>
    </row>
    <row r="1484" spans="3:18" x14ac:dyDescent="0.25">
      <c r="C1484" s="264"/>
      <c r="D1484" s="157"/>
      <c r="E1484" s="44"/>
      <c r="F1484" s="146"/>
      <c r="G1484" s="1"/>
      <c r="H1484" s="161"/>
      <c r="I1484" s="37"/>
      <c r="J1484" s="135"/>
      <c r="K1484" s="112"/>
      <c r="L1484" s="37"/>
      <c r="M1484" s="37"/>
      <c r="N1484" s="37"/>
      <c r="O1484" s="130"/>
      <c r="P1484" s="132"/>
      <c r="Q1484" s="262"/>
      <c r="R1484" s="92"/>
    </row>
    <row r="1485" spans="3:18" x14ac:dyDescent="0.25">
      <c r="C1485" s="264"/>
      <c r="D1485" s="157"/>
      <c r="E1485" s="44"/>
      <c r="F1485" s="146"/>
      <c r="G1485" s="1"/>
      <c r="H1485" s="161"/>
      <c r="I1485" s="37"/>
      <c r="J1485" s="135"/>
      <c r="K1485" s="112"/>
      <c r="L1485" s="37"/>
      <c r="M1485" s="37"/>
      <c r="N1485" s="37"/>
      <c r="O1485" s="130"/>
      <c r="P1485" s="132"/>
      <c r="Q1485" s="262"/>
      <c r="R1485" s="92"/>
    </row>
    <row r="1486" spans="3:18" x14ac:dyDescent="0.25">
      <c r="C1486" s="264"/>
      <c r="D1486" s="157"/>
      <c r="E1486" s="44"/>
      <c r="F1486" s="146"/>
      <c r="G1486" s="1"/>
      <c r="H1486" s="161"/>
      <c r="I1486" s="37"/>
      <c r="J1486" s="135"/>
      <c r="K1486" s="112"/>
      <c r="L1486" s="37"/>
      <c r="M1486" s="37"/>
      <c r="N1486" s="37"/>
      <c r="O1486" s="130"/>
      <c r="P1486" s="132"/>
      <c r="Q1486" s="262"/>
      <c r="R1486" s="92"/>
    </row>
    <row r="1487" spans="3:18" x14ac:dyDescent="0.25">
      <c r="C1487" s="264"/>
      <c r="D1487" s="157"/>
      <c r="E1487" s="44"/>
      <c r="F1487" s="146"/>
      <c r="G1487" s="1"/>
      <c r="H1487" s="161"/>
      <c r="I1487" s="37"/>
      <c r="J1487" s="135"/>
      <c r="K1487" s="112"/>
      <c r="L1487" s="37"/>
      <c r="M1487" s="37"/>
      <c r="N1487" s="37"/>
      <c r="O1487" s="130"/>
      <c r="P1487" s="132"/>
      <c r="Q1487" s="262"/>
      <c r="R1487" s="92"/>
    </row>
    <row r="1488" spans="3:18" x14ac:dyDescent="0.25">
      <c r="C1488" s="264"/>
      <c r="D1488" s="157"/>
      <c r="E1488" s="44"/>
      <c r="F1488" s="146"/>
      <c r="G1488" s="1"/>
      <c r="H1488" s="161"/>
      <c r="I1488" s="37"/>
      <c r="J1488" s="135"/>
      <c r="K1488" s="112"/>
      <c r="L1488" s="37"/>
      <c r="M1488" s="37"/>
      <c r="N1488" s="37"/>
      <c r="O1488" s="130"/>
      <c r="P1488" s="132"/>
      <c r="Q1488" s="262"/>
      <c r="R1488" s="92"/>
    </row>
    <row r="1489" spans="3:18" x14ac:dyDescent="0.25">
      <c r="C1489" s="264"/>
      <c r="D1489" s="157"/>
      <c r="E1489" s="44"/>
      <c r="F1489" s="146"/>
      <c r="G1489" s="1"/>
      <c r="H1489" s="161"/>
      <c r="I1489" s="37"/>
      <c r="J1489" s="135"/>
      <c r="K1489" s="112"/>
      <c r="L1489" s="37"/>
      <c r="M1489" s="37"/>
      <c r="N1489" s="37"/>
      <c r="O1489" s="130"/>
      <c r="P1489" s="132"/>
      <c r="Q1489" s="262"/>
      <c r="R1489" s="92"/>
    </row>
    <row r="1490" spans="3:18" x14ac:dyDescent="0.25">
      <c r="C1490" s="264"/>
      <c r="D1490" s="157"/>
      <c r="E1490" s="44"/>
      <c r="F1490" s="146"/>
      <c r="G1490" s="1"/>
      <c r="H1490" s="161"/>
      <c r="I1490" s="37"/>
      <c r="J1490" s="135"/>
      <c r="K1490" s="112"/>
      <c r="L1490" s="37"/>
      <c r="M1490" s="37"/>
      <c r="N1490" s="37"/>
      <c r="O1490" s="130"/>
      <c r="P1490" s="132"/>
      <c r="Q1490" s="262"/>
      <c r="R1490" s="92"/>
    </row>
    <row r="1491" spans="3:18" x14ac:dyDescent="0.25">
      <c r="C1491" s="264"/>
      <c r="D1491" s="157"/>
      <c r="E1491" s="44"/>
      <c r="F1491" s="146"/>
      <c r="G1491" s="1"/>
      <c r="H1491" s="161"/>
      <c r="I1491" s="37"/>
      <c r="J1491" s="135"/>
      <c r="K1491" s="112"/>
      <c r="L1491" s="37"/>
      <c r="M1491" s="37"/>
      <c r="N1491" s="37"/>
      <c r="O1491" s="130"/>
      <c r="P1491" s="132"/>
      <c r="Q1491" s="262"/>
      <c r="R1491" s="92"/>
    </row>
    <row r="1492" spans="3:18" x14ac:dyDescent="0.25">
      <c r="C1492" s="264"/>
      <c r="D1492" s="157"/>
      <c r="E1492" s="44"/>
      <c r="F1492" s="146"/>
      <c r="G1492" s="1"/>
      <c r="H1492" s="161"/>
      <c r="I1492" s="37"/>
      <c r="J1492" s="135"/>
      <c r="K1492" s="112"/>
      <c r="L1492" s="37"/>
      <c r="M1492" s="37"/>
      <c r="N1492" s="37"/>
      <c r="O1492" s="130"/>
      <c r="P1492" s="132"/>
      <c r="Q1492" s="262"/>
      <c r="R1492" s="92"/>
    </row>
    <row r="1493" spans="3:18" x14ac:dyDescent="0.25">
      <c r="C1493" s="264"/>
      <c r="D1493" s="157"/>
      <c r="E1493" s="44"/>
      <c r="F1493" s="146"/>
      <c r="G1493" s="1"/>
      <c r="H1493" s="161"/>
      <c r="I1493" s="37"/>
      <c r="J1493" s="135"/>
      <c r="K1493" s="112"/>
      <c r="L1493" s="37"/>
      <c r="M1493" s="37"/>
      <c r="N1493" s="37"/>
      <c r="O1493" s="130"/>
      <c r="P1493" s="132"/>
      <c r="Q1493" s="262"/>
      <c r="R1493" s="92"/>
    </row>
    <row r="1494" spans="3:18" x14ac:dyDescent="0.25">
      <c r="C1494" s="264"/>
      <c r="D1494" s="157"/>
      <c r="E1494" s="44"/>
      <c r="F1494" s="146"/>
      <c r="G1494" s="1"/>
      <c r="H1494" s="161"/>
      <c r="I1494" s="37"/>
      <c r="J1494" s="135"/>
      <c r="K1494" s="112"/>
      <c r="L1494" s="37"/>
      <c r="M1494" s="37"/>
      <c r="N1494" s="37"/>
      <c r="O1494" s="130"/>
      <c r="P1494" s="132"/>
      <c r="Q1494" s="262"/>
      <c r="R1494" s="92"/>
    </row>
    <row r="1495" spans="3:18" x14ac:dyDescent="0.25">
      <c r="C1495" s="264"/>
      <c r="D1495" s="157"/>
      <c r="E1495" s="44"/>
      <c r="F1495" s="146"/>
      <c r="G1495" s="1"/>
      <c r="H1495" s="161"/>
      <c r="I1495" s="37"/>
      <c r="J1495" s="135"/>
      <c r="K1495" s="112"/>
      <c r="L1495" s="37"/>
      <c r="M1495" s="37"/>
      <c r="N1495" s="37"/>
      <c r="O1495" s="130"/>
      <c r="P1495" s="132"/>
      <c r="Q1495" s="262"/>
      <c r="R1495" s="92"/>
    </row>
    <row r="1496" spans="3:18" x14ac:dyDescent="0.25">
      <c r="C1496" s="264"/>
      <c r="D1496" s="157"/>
      <c r="E1496" s="44"/>
      <c r="F1496" s="146"/>
      <c r="G1496" s="1"/>
      <c r="H1496" s="161"/>
      <c r="I1496" s="37"/>
      <c r="J1496" s="135"/>
      <c r="K1496" s="112"/>
      <c r="L1496" s="37"/>
      <c r="M1496" s="37"/>
      <c r="N1496" s="37"/>
      <c r="O1496" s="130"/>
      <c r="P1496" s="132"/>
      <c r="Q1496" s="262"/>
      <c r="R1496" s="92"/>
    </row>
    <row r="1497" spans="3:18" x14ac:dyDescent="0.25">
      <c r="C1497" s="264"/>
      <c r="D1497" s="157"/>
      <c r="E1497" s="44"/>
      <c r="F1497" s="146"/>
      <c r="G1497" s="1"/>
      <c r="H1497" s="161"/>
      <c r="I1497" s="37"/>
      <c r="J1497" s="135"/>
      <c r="K1497" s="112"/>
      <c r="L1497" s="37"/>
      <c r="M1497" s="37"/>
      <c r="N1497" s="37"/>
      <c r="O1497" s="130"/>
      <c r="P1497" s="132"/>
      <c r="Q1497" s="262"/>
      <c r="R1497" s="92"/>
    </row>
    <row r="1498" spans="3:18" x14ac:dyDescent="0.25">
      <c r="C1498" s="264"/>
      <c r="D1498" s="157"/>
      <c r="E1498" s="44"/>
      <c r="F1498" s="146"/>
      <c r="G1498" s="1"/>
      <c r="H1498" s="161"/>
      <c r="I1498" s="37"/>
      <c r="J1498" s="135"/>
      <c r="K1498" s="112"/>
      <c r="L1498" s="37"/>
      <c r="M1498" s="37"/>
      <c r="N1498" s="37"/>
      <c r="O1498" s="130"/>
      <c r="P1498" s="132"/>
      <c r="Q1498" s="262"/>
      <c r="R1498" s="92"/>
    </row>
    <row r="1499" spans="3:18" x14ac:dyDescent="0.25">
      <c r="C1499" s="264"/>
      <c r="D1499" s="157"/>
      <c r="E1499" s="44"/>
      <c r="F1499" s="146"/>
      <c r="G1499" s="1"/>
      <c r="H1499" s="161"/>
      <c r="I1499" s="37"/>
      <c r="J1499" s="135"/>
      <c r="K1499" s="112"/>
      <c r="L1499" s="37"/>
      <c r="M1499" s="37"/>
      <c r="N1499" s="37"/>
      <c r="O1499" s="130"/>
      <c r="P1499" s="132"/>
      <c r="Q1499" s="262"/>
      <c r="R1499" s="92"/>
    </row>
    <row r="1500" spans="3:18" x14ac:dyDescent="0.25">
      <c r="C1500" s="264"/>
      <c r="D1500" s="157"/>
      <c r="E1500" s="44"/>
      <c r="F1500" s="146"/>
      <c r="G1500" s="1"/>
      <c r="H1500" s="161"/>
      <c r="I1500" s="37"/>
      <c r="J1500" s="135"/>
      <c r="K1500" s="112"/>
      <c r="L1500" s="37"/>
      <c r="M1500" s="37"/>
      <c r="N1500" s="37"/>
      <c r="O1500" s="130"/>
      <c r="P1500" s="132"/>
      <c r="Q1500" s="262"/>
      <c r="R1500" s="92"/>
    </row>
    <row r="1501" spans="3:18" x14ac:dyDescent="0.25">
      <c r="C1501" s="264"/>
      <c r="D1501" s="157"/>
      <c r="E1501" s="44"/>
      <c r="F1501" s="146"/>
      <c r="G1501" s="1"/>
      <c r="H1501" s="161"/>
      <c r="I1501" s="37"/>
      <c r="J1501" s="135"/>
      <c r="K1501" s="112"/>
      <c r="L1501" s="37"/>
      <c r="M1501" s="37"/>
      <c r="N1501" s="37"/>
      <c r="O1501" s="130"/>
      <c r="P1501" s="132"/>
      <c r="Q1501" s="262"/>
      <c r="R1501" s="92"/>
    </row>
    <row r="1502" spans="3:18" x14ac:dyDescent="0.25">
      <c r="C1502" s="264"/>
      <c r="D1502" s="157"/>
      <c r="E1502" s="44"/>
      <c r="F1502" s="146"/>
      <c r="G1502" s="1"/>
      <c r="H1502" s="161"/>
      <c r="I1502" s="37"/>
      <c r="J1502" s="135"/>
      <c r="K1502" s="112"/>
      <c r="L1502" s="37"/>
      <c r="M1502" s="37"/>
      <c r="N1502" s="37"/>
      <c r="O1502" s="130"/>
      <c r="P1502" s="132"/>
      <c r="Q1502" s="262"/>
      <c r="R1502" s="92"/>
    </row>
    <row r="1503" spans="3:18" x14ac:dyDescent="0.25">
      <c r="C1503" s="264"/>
      <c r="D1503" s="157"/>
      <c r="E1503" s="44"/>
      <c r="F1503" s="146"/>
      <c r="G1503" s="1"/>
      <c r="H1503" s="161"/>
      <c r="I1503" s="37"/>
      <c r="J1503" s="135"/>
      <c r="K1503" s="112"/>
      <c r="L1503" s="37"/>
      <c r="M1503" s="37"/>
      <c r="N1503" s="37"/>
      <c r="O1503" s="130"/>
      <c r="P1503" s="132"/>
      <c r="Q1503" s="262"/>
      <c r="R1503" s="92"/>
    </row>
    <row r="1504" spans="3:18" x14ac:dyDescent="0.25">
      <c r="C1504" s="264"/>
      <c r="D1504" s="157"/>
      <c r="E1504" s="44"/>
      <c r="F1504" s="146"/>
      <c r="G1504" s="1"/>
      <c r="H1504" s="161"/>
      <c r="I1504" s="37"/>
      <c r="J1504" s="135"/>
      <c r="K1504" s="112"/>
      <c r="L1504" s="37"/>
      <c r="M1504" s="37"/>
      <c r="N1504" s="37"/>
      <c r="O1504" s="130"/>
      <c r="P1504" s="132"/>
      <c r="Q1504" s="262"/>
      <c r="R1504" s="92"/>
    </row>
    <row r="1505" spans="3:18" x14ac:dyDescent="0.25">
      <c r="C1505" s="264"/>
      <c r="D1505" s="157"/>
      <c r="E1505" s="44"/>
      <c r="F1505" s="146"/>
      <c r="G1505" s="1"/>
      <c r="H1505" s="161"/>
      <c r="I1505" s="37"/>
      <c r="J1505" s="135"/>
      <c r="K1505" s="112"/>
      <c r="L1505" s="37"/>
      <c r="M1505" s="37"/>
      <c r="N1505" s="37"/>
      <c r="O1505" s="130"/>
      <c r="P1505" s="132"/>
      <c r="Q1505" s="262"/>
      <c r="R1505" s="92"/>
    </row>
    <row r="1506" spans="3:18" x14ac:dyDescent="0.25">
      <c r="C1506" s="264"/>
      <c r="D1506" s="157"/>
      <c r="E1506" s="44"/>
      <c r="F1506" s="146"/>
      <c r="G1506" s="1"/>
      <c r="H1506" s="161"/>
      <c r="I1506" s="37"/>
      <c r="J1506" s="135"/>
      <c r="K1506" s="112"/>
      <c r="L1506" s="37"/>
      <c r="M1506" s="37"/>
      <c r="N1506" s="37"/>
      <c r="O1506" s="130"/>
      <c r="P1506" s="132"/>
      <c r="Q1506" s="262"/>
      <c r="R1506" s="92"/>
    </row>
    <row r="1507" spans="3:18" x14ac:dyDescent="0.25">
      <c r="C1507" s="264"/>
      <c r="D1507" s="157"/>
      <c r="E1507" s="44"/>
      <c r="F1507" s="146"/>
      <c r="G1507" s="1"/>
      <c r="H1507" s="161"/>
      <c r="I1507" s="37"/>
      <c r="J1507" s="135"/>
      <c r="K1507" s="112"/>
      <c r="L1507" s="37"/>
      <c r="M1507" s="37"/>
      <c r="N1507" s="37"/>
      <c r="O1507" s="130"/>
      <c r="P1507" s="132"/>
      <c r="Q1507" s="262"/>
      <c r="R1507" s="92"/>
    </row>
    <row r="1508" spans="3:18" x14ac:dyDescent="0.25">
      <c r="C1508" s="264"/>
      <c r="D1508" s="157"/>
      <c r="E1508" s="44"/>
      <c r="F1508" s="146"/>
      <c r="G1508" s="1"/>
      <c r="H1508" s="161"/>
      <c r="I1508" s="37"/>
      <c r="J1508" s="135"/>
      <c r="K1508" s="112"/>
      <c r="L1508" s="37"/>
      <c r="M1508" s="37"/>
      <c r="N1508" s="37"/>
      <c r="O1508" s="130"/>
      <c r="P1508" s="132"/>
      <c r="Q1508" s="262"/>
      <c r="R1508" s="92"/>
    </row>
    <row r="1509" spans="3:18" x14ac:dyDescent="0.25">
      <c r="C1509" s="264"/>
      <c r="D1509" s="157"/>
      <c r="E1509" s="44"/>
      <c r="F1509" s="146"/>
      <c r="G1509" s="1"/>
      <c r="H1509" s="161"/>
      <c r="I1509" s="37"/>
      <c r="J1509" s="135"/>
      <c r="K1509" s="112"/>
      <c r="L1509" s="37"/>
      <c r="M1509" s="37"/>
      <c r="N1509" s="37"/>
      <c r="O1509" s="130"/>
      <c r="P1509" s="132"/>
      <c r="Q1509" s="262"/>
      <c r="R1509" s="92"/>
    </row>
    <row r="1510" spans="3:18" x14ac:dyDescent="0.25">
      <c r="C1510" s="264"/>
      <c r="D1510" s="157"/>
      <c r="E1510" s="44"/>
      <c r="F1510" s="146"/>
      <c r="G1510" s="1"/>
      <c r="H1510" s="161"/>
      <c r="I1510" s="37"/>
      <c r="J1510" s="135"/>
      <c r="K1510" s="112"/>
      <c r="L1510" s="37"/>
      <c r="M1510" s="37"/>
      <c r="N1510" s="37"/>
      <c r="O1510" s="130"/>
      <c r="P1510" s="132"/>
      <c r="Q1510" s="262"/>
      <c r="R1510" s="92"/>
    </row>
    <row r="1511" spans="3:18" x14ac:dyDescent="0.25">
      <c r="C1511" s="264"/>
      <c r="D1511" s="157"/>
      <c r="E1511" s="44"/>
      <c r="F1511" s="146"/>
      <c r="G1511" s="1"/>
      <c r="H1511" s="161"/>
      <c r="I1511" s="37"/>
      <c r="J1511" s="135"/>
      <c r="K1511" s="112"/>
      <c r="L1511" s="37"/>
      <c r="M1511" s="37"/>
      <c r="N1511" s="37"/>
      <c r="O1511" s="130"/>
      <c r="P1511" s="132"/>
      <c r="Q1511" s="262"/>
      <c r="R1511" s="92"/>
    </row>
    <row r="1512" spans="3:18" x14ac:dyDescent="0.25">
      <c r="C1512" s="264"/>
      <c r="D1512" s="157"/>
      <c r="E1512" s="44"/>
      <c r="F1512" s="146"/>
      <c r="G1512" s="1"/>
      <c r="H1512" s="161"/>
      <c r="I1512" s="37"/>
      <c r="J1512" s="135"/>
      <c r="K1512" s="112"/>
      <c r="L1512" s="37"/>
      <c r="M1512" s="37"/>
      <c r="N1512" s="37"/>
      <c r="O1512" s="130"/>
      <c r="P1512" s="132"/>
      <c r="Q1512" s="262"/>
      <c r="R1512" s="92"/>
    </row>
    <row r="1513" spans="3:18" x14ac:dyDescent="0.25">
      <c r="C1513" s="264"/>
      <c r="D1513" s="157"/>
      <c r="E1513" s="44"/>
      <c r="F1513" s="146"/>
      <c r="G1513" s="1"/>
      <c r="H1513" s="161"/>
      <c r="I1513" s="37"/>
      <c r="J1513" s="135"/>
      <c r="K1513" s="112"/>
      <c r="L1513" s="37"/>
      <c r="M1513" s="37"/>
      <c r="N1513" s="37"/>
      <c r="O1513" s="130"/>
      <c r="P1513" s="132"/>
      <c r="Q1513" s="262"/>
      <c r="R1513" s="92"/>
    </row>
    <row r="1514" spans="3:18" x14ac:dyDescent="0.25">
      <c r="C1514" s="264"/>
      <c r="D1514" s="157"/>
      <c r="E1514" s="44"/>
      <c r="F1514" s="146"/>
      <c r="G1514" s="1"/>
      <c r="H1514" s="161"/>
      <c r="I1514" s="37"/>
      <c r="J1514" s="135"/>
      <c r="K1514" s="112"/>
      <c r="L1514" s="37"/>
      <c r="M1514" s="37"/>
      <c r="N1514" s="37"/>
      <c r="O1514" s="130"/>
      <c r="P1514" s="132"/>
      <c r="Q1514" s="262"/>
      <c r="R1514" s="92"/>
    </row>
    <row r="1515" spans="3:18" x14ac:dyDescent="0.25">
      <c r="C1515" s="264"/>
      <c r="D1515" s="157"/>
      <c r="E1515" s="44"/>
      <c r="F1515" s="146"/>
      <c r="G1515" s="1"/>
      <c r="H1515" s="161"/>
      <c r="I1515" s="37"/>
      <c r="J1515" s="135"/>
      <c r="K1515" s="112"/>
      <c r="L1515" s="37"/>
      <c r="M1515" s="37"/>
      <c r="N1515" s="37"/>
      <c r="O1515" s="130"/>
      <c r="P1515" s="132"/>
      <c r="Q1515" s="262"/>
      <c r="R1515" s="92"/>
    </row>
    <row r="1516" spans="3:18" x14ac:dyDescent="0.25">
      <c r="C1516" s="264"/>
      <c r="D1516" s="157"/>
      <c r="E1516" s="44"/>
      <c r="F1516" s="146"/>
      <c r="G1516" s="1"/>
      <c r="H1516" s="161"/>
      <c r="I1516" s="37"/>
      <c r="J1516" s="135"/>
      <c r="K1516" s="112"/>
      <c r="L1516" s="37"/>
      <c r="M1516" s="37"/>
      <c r="N1516" s="37"/>
      <c r="O1516" s="130"/>
      <c r="P1516" s="132"/>
      <c r="Q1516" s="262"/>
      <c r="R1516" s="92"/>
    </row>
    <row r="1517" spans="3:18" x14ac:dyDescent="0.25">
      <c r="C1517" s="264"/>
      <c r="D1517" s="157"/>
      <c r="E1517" s="44"/>
      <c r="F1517" s="146"/>
      <c r="G1517" s="1"/>
      <c r="H1517" s="161"/>
      <c r="I1517" s="37"/>
      <c r="J1517" s="135"/>
      <c r="K1517" s="112"/>
      <c r="L1517" s="37"/>
      <c r="M1517" s="37"/>
      <c r="N1517" s="37"/>
      <c r="O1517" s="130"/>
      <c r="P1517" s="132"/>
      <c r="Q1517" s="262"/>
      <c r="R1517" s="92"/>
    </row>
    <row r="1518" spans="3:18" x14ac:dyDescent="0.25">
      <c r="C1518" s="264"/>
      <c r="D1518" s="157"/>
      <c r="E1518" s="44"/>
      <c r="F1518" s="146"/>
      <c r="G1518" s="1"/>
      <c r="H1518" s="161"/>
      <c r="I1518" s="37"/>
      <c r="J1518" s="135"/>
      <c r="K1518" s="112"/>
      <c r="L1518" s="37"/>
      <c r="M1518" s="37"/>
      <c r="N1518" s="37"/>
      <c r="O1518" s="130"/>
      <c r="P1518" s="132"/>
      <c r="Q1518" s="262"/>
      <c r="R1518" s="92"/>
    </row>
    <row r="1519" spans="3:18" x14ac:dyDescent="0.25">
      <c r="C1519" s="264"/>
      <c r="D1519" s="157"/>
      <c r="E1519" s="44"/>
      <c r="F1519" s="146"/>
      <c r="G1519" s="1"/>
      <c r="H1519" s="161"/>
      <c r="I1519" s="37"/>
      <c r="J1519" s="135"/>
      <c r="K1519" s="112"/>
      <c r="L1519" s="37"/>
      <c r="M1519" s="37"/>
      <c r="N1519" s="37"/>
      <c r="O1519" s="130"/>
      <c r="P1519" s="132"/>
      <c r="Q1519" s="262"/>
      <c r="R1519" s="92"/>
    </row>
    <row r="1520" spans="3:18" x14ac:dyDescent="0.25">
      <c r="C1520" s="264"/>
      <c r="D1520" s="157"/>
      <c r="E1520" s="44"/>
      <c r="F1520" s="146"/>
      <c r="G1520" s="1"/>
      <c r="H1520" s="161"/>
      <c r="I1520" s="37"/>
      <c r="J1520" s="135"/>
      <c r="K1520" s="112"/>
      <c r="L1520" s="37"/>
      <c r="M1520" s="37"/>
      <c r="N1520" s="37"/>
      <c r="O1520" s="130"/>
      <c r="P1520" s="132"/>
      <c r="Q1520" s="262"/>
      <c r="R1520" s="92"/>
    </row>
    <row r="1521" spans="3:18" x14ac:dyDescent="0.25">
      <c r="C1521" s="264"/>
      <c r="D1521" s="157"/>
      <c r="E1521" s="44"/>
      <c r="F1521" s="146"/>
      <c r="G1521" s="1"/>
      <c r="H1521" s="161"/>
      <c r="I1521" s="37"/>
      <c r="J1521" s="135"/>
      <c r="K1521" s="112"/>
      <c r="L1521" s="37"/>
      <c r="M1521" s="37"/>
      <c r="N1521" s="37"/>
      <c r="O1521" s="130"/>
      <c r="P1521" s="132"/>
      <c r="Q1521" s="262"/>
      <c r="R1521" s="92"/>
    </row>
    <row r="1522" spans="3:18" x14ac:dyDescent="0.25">
      <c r="C1522" s="264"/>
      <c r="D1522" s="157"/>
      <c r="E1522" s="44"/>
      <c r="F1522" s="146"/>
      <c r="G1522" s="1"/>
      <c r="H1522" s="161"/>
      <c r="I1522" s="37"/>
      <c r="J1522" s="135"/>
      <c r="K1522" s="112"/>
      <c r="L1522" s="37"/>
      <c r="M1522" s="37"/>
      <c r="N1522" s="37"/>
      <c r="O1522" s="130"/>
      <c r="P1522" s="132"/>
      <c r="Q1522" s="262"/>
      <c r="R1522" s="92"/>
    </row>
    <row r="1523" spans="3:18" x14ac:dyDescent="0.25">
      <c r="C1523" s="264"/>
      <c r="D1523" s="157"/>
      <c r="E1523" s="44"/>
      <c r="F1523" s="146"/>
      <c r="G1523" s="1"/>
      <c r="H1523" s="161"/>
      <c r="I1523" s="37"/>
      <c r="J1523" s="135"/>
      <c r="K1523" s="112"/>
      <c r="L1523" s="37"/>
      <c r="M1523" s="37"/>
      <c r="N1523" s="37"/>
      <c r="O1523" s="130"/>
      <c r="P1523" s="132"/>
      <c r="Q1523" s="262"/>
      <c r="R1523" s="92"/>
    </row>
    <row r="1524" spans="3:18" x14ac:dyDescent="0.25">
      <c r="C1524" s="264"/>
      <c r="D1524" s="157"/>
      <c r="E1524" s="44"/>
      <c r="F1524" s="146"/>
      <c r="G1524" s="1"/>
      <c r="H1524" s="161"/>
      <c r="I1524" s="37"/>
      <c r="J1524" s="135"/>
      <c r="K1524" s="112"/>
      <c r="L1524" s="37"/>
      <c r="M1524" s="37"/>
      <c r="N1524" s="37"/>
      <c r="O1524" s="130"/>
      <c r="P1524" s="132"/>
      <c r="Q1524" s="262"/>
      <c r="R1524" s="92"/>
    </row>
    <row r="1525" spans="3:18" x14ac:dyDescent="0.25">
      <c r="C1525" s="264"/>
      <c r="D1525" s="157"/>
      <c r="E1525" s="44"/>
      <c r="F1525" s="146"/>
      <c r="G1525" s="1"/>
      <c r="H1525" s="161"/>
      <c r="I1525" s="37"/>
      <c r="J1525" s="135"/>
      <c r="K1525" s="112"/>
      <c r="L1525" s="37"/>
      <c r="M1525" s="37"/>
      <c r="N1525" s="37"/>
      <c r="O1525" s="130"/>
      <c r="P1525" s="132"/>
      <c r="Q1525" s="262"/>
      <c r="R1525" s="92"/>
    </row>
    <row r="1526" spans="3:18" x14ac:dyDescent="0.25">
      <c r="C1526" s="264"/>
      <c r="D1526" s="157"/>
      <c r="E1526" s="44"/>
      <c r="F1526" s="146"/>
      <c r="G1526" s="1"/>
      <c r="H1526" s="161"/>
      <c r="I1526" s="37"/>
      <c r="J1526" s="135"/>
      <c r="K1526" s="112"/>
      <c r="L1526" s="37"/>
      <c r="M1526" s="37"/>
      <c r="N1526" s="37"/>
      <c r="O1526" s="130"/>
      <c r="P1526" s="132"/>
      <c r="Q1526" s="262"/>
      <c r="R1526" s="92"/>
    </row>
    <row r="1527" spans="3:18" x14ac:dyDescent="0.25">
      <c r="C1527" s="264"/>
      <c r="D1527" s="157"/>
      <c r="E1527" s="44"/>
      <c r="F1527" s="146"/>
      <c r="G1527" s="1"/>
      <c r="H1527" s="161"/>
      <c r="I1527" s="37"/>
      <c r="J1527" s="135"/>
      <c r="K1527" s="112"/>
      <c r="L1527" s="37"/>
      <c r="M1527" s="37"/>
      <c r="N1527" s="37"/>
      <c r="O1527" s="130"/>
      <c r="P1527" s="132"/>
      <c r="Q1527" s="262"/>
      <c r="R1527" s="92"/>
    </row>
    <row r="1528" spans="3:18" x14ac:dyDescent="0.25">
      <c r="C1528" s="264"/>
      <c r="D1528" s="157"/>
      <c r="E1528" s="44"/>
      <c r="F1528" s="146"/>
      <c r="G1528" s="1"/>
      <c r="H1528" s="161"/>
      <c r="I1528" s="37"/>
      <c r="J1528" s="135"/>
      <c r="K1528" s="112"/>
      <c r="L1528" s="37"/>
      <c r="M1528" s="37"/>
      <c r="N1528" s="37"/>
      <c r="O1528" s="130"/>
      <c r="P1528" s="132"/>
      <c r="Q1528" s="262"/>
      <c r="R1528" s="92"/>
    </row>
    <row r="1529" spans="3:18" x14ac:dyDescent="0.25">
      <c r="C1529" s="264"/>
      <c r="D1529" s="157"/>
      <c r="E1529" s="44"/>
      <c r="F1529" s="146"/>
      <c r="G1529" s="1"/>
      <c r="H1529" s="161"/>
      <c r="I1529" s="37"/>
      <c r="J1529" s="135"/>
      <c r="K1529" s="112"/>
      <c r="L1529" s="37"/>
      <c r="M1529" s="37"/>
      <c r="N1529" s="37"/>
      <c r="O1529" s="130"/>
      <c r="P1529" s="132"/>
      <c r="Q1529" s="262"/>
      <c r="R1529" s="92"/>
    </row>
    <row r="1530" spans="3:18" x14ac:dyDescent="0.25">
      <c r="C1530" s="264"/>
      <c r="D1530" s="157"/>
      <c r="E1530" s="44"/>
      <c r="F1530" s="146"/>
      <c r="G1530" s="1"/>
      <c r="H1530" s="161"/>
      <c r="I1530" s="37"/>
      <c r="J1530" s="135"/>
      <c r="K1530" s="112"/>
      <c r="L1530" s="37"/>
      <c r="M1530" s="37"/>
      <c r="N1530" s="37"/>
      <c r="O1530" s="130"/>
      <c r="P1530" s="132"/>
      <c r="Q1530" s="262"/>
      <c r="R1530" s="92"/>
    </row>
    <row r="1531" spans="3:18" x14ac:dyDescent="0.25">
      <c r="C1531" s="264"/>
      <c r="D1531" s="157"/>
      <c r="E1531" s="44"/>
      <c r="F1531" s="146"/>
      <c r="G1531" s="1"/>
      <c r="H1531" s="161"/>
      <c r="I1531" s="37"/>
      <c r="J1531" s="135"/>
      <c r="K1531" s="112"/>
      <c r="L1531" s="37"/>
      <c r="M1531" s="37"/>
      <c r="N1531" s="37"/>
      <c r="O1531" s="130"/>
      <c r="P1531" s="132"/>
      <c r="Q1531" s="262"/>
      <c r="R1531" s="92"/>
    </row>
    <row r="1532" spans="3:18" x14ac:dyDescent="0.25">
      <c r="C1532" s="264"/>
      <c r="D1532" s="157"/>
      <c r="E1532" s="44"/>
      <c r="F1532" s="146"/>
      <c r="G1532" s="1"/>
      <c r="H1532" s="161"/>
      <c r="I1532" s="37"/>
      <c r="J1532" s="135"/>
      <c r="K1532" s="112"/>
      <c r="L1532" s="37"/>
      <c r="M1532" s="37"/>
      <c r="N1532" s="37"/>
      <c r="O1532" s="130"/>
      <c r="P1532" s="132"/>
      <c r="Q1532" s="262"/>
      <c r="R1532" s="92"/>
    </row>
    <row r="1533" spans="3:18" x14ac:dyDescent="0.25">
      <c r="C1533" s="264"/>
      <c r="D1533" s="157"/>
      <c r="E1533" s="44"/>
      <c r="F1533" s="146"/>
      <c r="G1533" s="1"/>
      <c r="H1533" s="161"/>
      <c r="I1533" s="37"/>
      <c r="J1533" s="135"/>
      <c r="K1533" s="112"/>
      <c r="L1533" s="37"/>
      <c r="M1533" s="37"/>
      <c r="N1533" s="37"/>
      <c r="O1533" s="130"/>
      <c r="P1533" s="132"/>
      <c r="Q1533" s="262"/>
      <c r="R1533" s="92"/>
    </row>
    <row r="1534" spans="3:18" x14ac:dyDescent="0.25">
      <c r="C1534" s="264"/>
      <c r="D1534" s="157"/>
      <c r="E1534" s="44"/>
      <c r="F1534" s="146"/>
      <c r="G1534" s="1"/>
      <c r="H1534" s="161"/>
      <c r="I1534" s="37"/>
      <c r="J1534" s="135"/>
      <c r="K1534" s="112"/>
      <c r="L1534" s="37"/>
      <c r="M1534" s="37"/>
      <c r="N1534" s="37"/>
      <c r="O1534" s="130"/>
      <c r="P1534" s="132"/>
      <c r="Q1534" s="262"/>
      <c r="R1534" s="92"/>
    </row>
    <row r="1535" spans="3:18" x14ac:dyDescent="0.25">
      <c r="C1535" s="264"/>
      <c r="D1535" s="157"/>
      <c r="E1535" s="44"/>
      <c r="F1535" s="146"/>
      <c r="G1535" s="1"/>
      <c r="H1535" s="161"/>
      <c r="I1535" s="37"/>
      <c r="J1535" s="135"/>
      <c r="K1535" s="112"/>
      <c r="L1535" s="37"/>
      <c r="M1535" s="37"/>
      <c r="N1535" s="37"/>
      <c r="O1535" s="130"/>
      <c r="P1535" s="132"/>
      <c r="Q1535" s="262"/>
      <c r="R1535" s="92"/>
    </row>
    <row r="1536" spans="3:18" x14ac:dyDescent="0.25">
      <c r="C1536" s="264"/>
      <c r="D1536" s="157"/>
      <c r="E1536" s="44"/>
      <c r="F1536" s="146"/>
      <c r="G1536" s="1"/>
      <c r="H1536" s="161"/>
      <c r="I1536" s="37"/>
      <c r="J1536" s="135"/>
      <c r="K1536" s="112"/>
      <c r="L1536" s="37"/>
      <c r="M1536" s="37"/>
      <c r="N1536" s="37"/>
      <c r="O1536" s="130"/>
      <c r="P1536" s="132"/>
      <c r="Q1536" s="262"/>
      <c r="R1536" s="92"/>
    </row>
    <row r="1537" spans="3:18" x14ac:dyDescent="0.25">
      <c r="C1537" s="264"/>
      <c r="D1537" s="157"/>
      <c r="E1537" s="44"/>
      <c r="F1537" s="146"/>
      <c r="G1537" s="1"/>
      <c r="H1537" s="161"/>
      <c r="I1537" s="37"/>
      <c r="J1537" s="135"/>
      <c r="K1537" s="112"/>
      <c r="L1537" s="37"/>
      <c r="M1537" s="37"/>
      <c r="N1537" s="37"/>
      <c r="O1537" s="130"/>
      <c r="P1537" s="132"/>
      <c r="Q1537" s="262"/>
      <c r="R1537" s="92"/>
    </row>
    <row r="1538" spans="3:18" x14ac:dyDescent="0.25">
      <c r="C1538" s="264"/>
      <c r="D1538" s="157"/>
      <c r="E1538" s="44"/>
      <c r="F1538" s="146"/>
      <c r="G1538" s="1"/>
      <c r="H1538" s="161"/>
      <c r="I1538" s="37"/>
      <c r="J1538" s="135"/>
      <c r="K1538" s="112"/>
      <c r="L1538" s="37"/>
      <c r="M1538" s="37"/>
      <c r="N1538" s="37"/>
      <c r="O1538" s="130"/>
      <c r="P1538" s="132"/>
      <c r="Q1538" s="262"/>
      <c r="R1538" s="92"/>
    </row>
    <row r="1539" spans="3:18" x14ac:dyDescent="0.25">
      <c r="C1539" s="264"/>
      <c r="D1539" s="157"/>
      <c r="E1539" s="44"/>
      <c r="F1539" s="146"/>
      <c r="G1539" s="1"/>
      <c r="H1539" s="161"/>
      <c r="I1539" s="37"/>
      <c r="J1539" s="135"/>
      <c r="K1539" s="112"/>
      <c r="L1539" s="37"/>
      <c r="M1539" s="37"/>
      <c r="N1539" s="37"/>
      <c r="O1539" s="130"/>
      <c r="P1539" s="132"/>
      <c r="Q1539" s="262"/>
      <c r="R1539" s="92"/>
    </row>
    <row r="1540" spans="3:18" x14ac:dyDescent="0.25">
      <c r="C1540" s="264"/>
      <c r="D1540" s="157"/>
      <c r="E1540" s="44"/>
      <c r="F1540" s="146"/>
      <c r="G1540" s="1"/>
      <c r="H1540" s="161"/>
      <c r="I1540" s="37"/>
      <c r="J1540" s="135"/>
      <c r="K1540" s="112"/>
      <c r="L1540" s="37"/>
      <c r="M1540" s="37"/>
      <c r="N1540" s="37"/>
      <c r="O1540" s="130"/>
      <c r="P1540" s="132"/>
      <c r="Q1540" s="262"/>
      <c r="R1540" s="92"/>
    </row>
    <row r="1541" spans="3:18" x14ac:dyDescent="0.25">
      <c r="C1541" s="264"/>
      <c r="D1541" s="157"/>
      <c r="E1541" s="44"/>
      <c r="F1541" s="146"/>
      <c r="G1541" s="1"/>
      <c r="H1541" s="161"/>
      <c r="I1541" s="37"/>
      <c r="J1541" s="135"/>
      <c r="K1541" s="112"/>
      <c r="L1541" s="37"/>
      <c r="M1541" s="37"/>
      <c r="N1541" s="37"/>
      <c r="O1541" s="130"/>
      <c r="P1541" s="132"/>
      <c r="Q1541" s="262"/>
      <c r="R1541" s="92"/>
    </row>
    <row r="1542" spans="3:18" x14ac:dyDescent="0.25">
      <c r="C1542" s="264"/>
      <c r="D1542" s="157"/>
      <c r="E1542" s="44"/>
      <c r="F1542" s="146"/>
      <c r="G1542" s="1"/>
      <c r="H1542" s="161"/>
      <c r="I1542" s="37"/>
      <c r="J1542" s="135"/>
      <c r="K1542" s="112"/>
      <c r="L1542" s="37"/>
      <c r="M1542" s="37"/>
      <c r="N1542" s="37"/>
      <c r="O1542" s="130"/>
      <c r="P1542" s="132"/>
      <c r="Q1542" s="262"/>
      <c r="R1542" s="92"/>
    </row>
    <row r="1543" spans="3:18" x14ac:dyDescent="0.25">
      <c r="C1543" s="264"/>
      <c r="D1543" s="157"/>
      <c r="E1543" s="44"/>
      <c r="F1543" s="146"/>
      <c r="G1543" s="1"/>
      <c r="H1543" s="161"/>
      <c r="I1543" s="37"/>
      <c r="J1543" s="135"/>
      <c r="K1543" s="112"/>
      <c r="L1543" s="37"/>
      <c r="M1543" s="37"/>
      <c r="N1543" s="37"/>
      <c r="O1543" s="130"/>
      <c r="P1543" s="132"/>
      <c r="Q1543" s="262"/>
      <c r="R1543" s="92"/>
    </row>
    <row r="1544" spans="3:18" x14ac:dyDescent="0.25">
      <c r="C1544" s="264"/>
      <c r="D1544" s="157"/>
      <c r="E1544" s="44"/>
      <c r="F1544" s="146"/>
      <c r="G1544" s="1"/>
      <c r="H1544" s="161"/>
      <c r="I1544" s="37"/>
      <c r="J1544" s="135"/>
      <c r="K1544" s="112"/>
      <c r="L1544" s="37"/>
      <c r="M1544" s="37"/>
      <c r="N1544" s="37"/>
      <c r="O1544" s="130"/>
      <c r="P1544" s="132"/>
      <c r="Q1544" s="262"/>
      <c r="R1544" s="92"/>
    </row>
    <row r="1545" spans="3:18" x14ac:dyDescent="0.25">
      <c r="C1545" s="264"/>
      <c r="D1545" s="157"/>
      <c r="E1545" s="44"/>
      <c r="F1545" s="146"/>
      <c r="G1545" s="1"/>
      <c r="H1545" s="161"/>
      <c r="I1545" s="37"/>
      <c r="J1545" s="135"/>
      <c r="K1545" s="112"/>
      <c r="L1545" s="37"/>
      <c r="M1545" s="37"/>
      <c r="N1545" s="37"/>
      <c r="O1545" s="130"/>
      <c r="P1545" s="132"/>
      <c r="Q1545" s="262"/>
      <c r="R1545" s="92"/>
    </row>
    <row r="1546" spans="3:18" x14ac:dyDescent="0.25">
      <c r="C1546" s="264"/>
      <c r="D1546" s="157"/>
      <c r="E1546" s="44"/>
      <c r="F1546" s="146"/>
      <c r="G1546" s="1"/>
      <c r="H1546" s="161"/>
      <c r="I1546" s="37"/>
      <c r="J1546" s="135"/>
      <c r="K1546" s="112"/>
      <c r="L1546" s="37"/>
      <c r="M1546" s="37"/>
      <c r="N1546" s="37"/>
      <c r="O1546" s="130"/>
      <c r="P1546" s="132"/>
      <c r="Q1546" s="262"/>
      <c r="R1546" s="92"/>
    </row>
    <row r="1547" spans="3:18" x14ac:dyDescent="0.25">
      <c r="C1547" s="264"/>
      <c r="D1547" s="157"/>
      <c r="E1547" s="44"/>
      <c r="F1547" s="146"/>
      <c r="G1547" s="1"/>
      <c r="H1547" s="161"/>
      <c r="I1547" s="37"/>
      <c r="J1547" s="135"/>
      <c r="K1547" s="112"/>
      <c r="L1547" s="37"/>
      <c r="M1547" s="37"/>
      <c r="N1547" s="37"/>
      <c r="O1547" s="130"/>
      <c r="P1547" s="132"/>
      <c r="Q1547" s="262"/>
      <c r="R1547" s="92"/>
    </row>
    <row r="1548" spans="3:18" x14ac:dyDescent="0.25">
      <c r="C1548" s="264"/>
      <c r="D1548" s="157"/>
      <c r="E1548" s="44"/>
      <c r="F1548" s="146"/>
      <c r="G1548" s="1"/>
      <c r="H1548" s="161"/>
      <c r="I1548" s="37"/>
      <c r="J1548" s="135"/>
      <c r="K1548" s="112"/>
      <c r="L1548" s="37"/>
      <c r="M1548" s="37"/>
      <c r="N1548" s="37"/>
      <c r="O1548" s="130"/>
      <c r="P1548" s="132"/>
      <c r="Q1548" s="262"/>
      <c r="R1548" s="92"/>
    </row>
    <row r="1549" spans="3:18" x14ac:dyDescent="0.25">
      <c r="C1549" s="264"/>
      <c r="D1549" s="157"/>
      <c r="E1549" s="44"/>
      <c r="F1549" s="146"/>
      <c r="G1549" s="1"/>
      <c r="H1549" s="161"/>
      <c r="I1549" s="37"/>
      <c r="J1549" s="135"/>
      <c r="K1549" s="112"/>
      <c r="L1549" s="37"/>
      <c r="M1549" s="37"/>
      <c r="N1549" s="37"/>
      <c r="O1549" s="130"/>
      <c r="P1549" s="132"/>
      <c r="Q1549" s="262"/>
      <c r="R1549" s="92"/>
    </row>
    <row r="1550" spans="3:18" x14ac:dyDescent="0.25">
      <c r="C1550" s="264"/>
      <c r="D1550" s="157"/>
      <c r="E1550" s="44"/>
      <c r="F1550" s="146"/>
      <c r="G1550" s="1"/>
      <c r="H1550" s="161"/>
      <c r="I1550" s="37"/>
      <c r="J1550" s="135"/>
      <c r="K1550" s="112"/>
      <c r="L1550" s="37"/>
      <c r="M1550" s="37"/>
      <c r="N1550" s="37"/>
      <c r="O1550" s="130"/>
      <c r="P1550" s="132"/>
      <c r="Q1550" s="262"/>
      <c r="R1550" s="92"/>
    </row>
    <row r="1551" spans="3:18" x14ac:dyDescent="0.25">
      <c r="C1551" s="264"/>
      <c r="D1551" s="157"/>
      <c r="E1551" s="44"/>
      <c r="F1551" s="146"/>
      <c r="G1551" s="1"/>
      <c r="H1551" s="161"/>
      <c r="I1551" s="37"/>
      <c r="J1551" s="135"/>
      <c r="K1551" s="112"/>
      <c r="L1551" s="37"/>
      <c r="M1551" s="37"/>
      <c r="N1551" s="37"/>
      <c r="O1551" s="130"/>
      <c r="P1551" s="132"/>
      <c r="Q1551" s="262"/>
      <c r="R1551" s="92"/>
    </row>
    <row r="1552" spans="3:18" x14ac:dyDescent="0.25">
      <c r="C1552" s="264"/>
      <c r="D1552" s="157"/>
      <c r="E1552" s="44"/>
      <c r="F1552" s="146"/>
      <c r="G1552" s="1"/>
      <c r="H1552" s="161"/>
      <c r="I1552" s="37"/>
      <c r="J1552" s="135"/>
      <c r="K1552" s="112"/>
      <c r="L1552" s="37"/>
      <c r="M1552" s="37"/>
      <c r="N1552" s="37"/>
      <c r="O1552" s="130"/>
      <c r="P1552" s="132"/>
      <c r="Q1552" s="262"/>
      <c r="R1552" s="92"/>
    </row>
    <row r="1553" spans="3:18" x14ac:dyDescent="0.25">
      <c r="C1553" s="264"/>
      <c r="D1553" s="157"/>
      <c r="E1553" s="44"/>
      <c r="F1553" s="146"/>
      <c r="G1553" s="1"/>
      <c r="H1553" s="161"/>
      <c r="I1553" s="37"/>
      <c r="J1553" s="135"/>
      <c r="K1553" s="112"/>
      <c r="L1553" s="37"/>
      <c r="M1553" s="37"/>
      <c r="N1553" s="37"/>
      <c r="O1553" s="130"/>
      <c r="P1553" s="132"/>
      <c r="Q1553" s="262"/>
      <c r="R1553" s="92"/>
    </row>
    <row r="1554" spans="3:18" x14ac:dyDescent="0.25">
      <c r="C1554" s="264"/>
      <c r="D1554" s="157"/>
      <c r="E1554" s="44"/>
      <c r="F1554" s="146"/>
      <c r="G1554" s="1"/>
      <c r="H1554" s="161"/>
      <c r="I1554" s="37"/>
      <c r="J1554" s="135"/>
      <c r="K1554" s="112"/>
      <c r="L1554" s="37"/>
      <c r="M1554" s="37"/>
      <c r="N1554" s="37"/>
      <c r="O1554" s="130"/>
      <c r="P1554" s="132"/>
      <c r="Q1554" s="262"/>
      <c r="R1554" s="92"/>
    </row>
    <row r="1555" spans="3:18" x14ac:dyDescent="0.25">
      <c r="C1555" s="264"/>
      <c r="D1555" s="157"/>
      <c r="E1555" s="44"/>
      <c r="F1555" s="146"/>
      <c r="G1555" s="1"/>
      <c r="H1555" s="161"/>
      <c r="I1555" s="37"/>
      <c r="J1555" s="135"/>
      <c r="K1555" s="112"/>
      <c r="L1555" s="37"/>
      <c r="M1555" s="37"/>
      <c r="N1555" s="37"/>
      <c r="O1555" s="130"/>
      <c r="P1555" s="132"/>
      <c r="Q1555" s="262"/>
      <c r="R1555" s="92"/>
    </row>
    <row r="1556" spans="3:18" x14ac:dyDescent="0.25">
      <c r="C1556" s="264"/>
      <c r="D1556" s="157"/>
      <c r="E1556" s="44"/>
      <c r="F1556" s="146"/>
      <c r="G1556" s="1"/>
      <c r="H1556" s="161"/>
      <c r="I1556" s="37"/>
      <c r="J1556" s="135"/>
      <c r="K1556" s="112"/>
      <c r="L1556" s="37"/>
      <c r="M1556" s="37"/>
      <c r="N1556" s="37"/>
      <c r="O1556" s="130"/>
      <c r="P1556" s="132"/>
      <c r="Q1556" s="262"/>
      <c r="R1556" s="92"/>
    </row>
    <row r="1557" spans="3:18" x14ac:dyDescent="0.25">
      <c r="C1557" s="264"/>
      <c r="D1557" s="157"/>
      <c r="E1557" s="44"/>
      <c r="F1557" s="146"/>
      <c r="G1557" s="1"/>
      <c r="H1557" s="161"/>
      <c r="I1557" s="37"/>
      <c r="J1557" s="135"/>
      <c r="K1557" s="112"/>
      <c r="L1557" s="37"/>
      <c r="M1557" s="37"/>
      <c r="N1557" s="37"/>
      <c r="O1557" s="130"/>
      <c r="P1557" s="132"/>
      <c r="Q1557" s="262"/>
      <c r="R1557" s="92"/>
    </row>
    <row r="1558" spans="3:18" x14ac:dyDescent="0.25">
      <c r="C1558" s="264"/>
      <c r="D1558" s="157"/>
      <c r="E1558" s="44"/>
      <c r="F1558" s="146"/>
      <c r="G1558" s="1"/>
      <c r="H1558" s="161"/>
      <c r="I1558" s="37"/>
      <c r="J1558" s="135"/>
      <c r="K1558" s="112"/>
      <c r="L1558" s="37"/>
      <c r="M1558" s="37"/>
      <c r="N1558" s="37"/>
      <c r="O1558" s="130"/>
      <c r="P1558" s="132"/>
      <c r="Q1558" s="262"/>
      <c r="R1558" s="92"/>
    </row>
    <row r="1559" spans="3:18" x14ac:dyDescent="0.25">
      <c r="C1559" s="264"/>
      <c r="D1559" s="157"/>
      <c r="E1559" s="44"/>
      <c r="F1559" s="146"/>
      <c r="G1559" s="1"/>
      <c r="H1559" s="161"/>
      <c r="I1559" s="37"/>
      <c r="J1559" s="135"/>
      <c r="K1559" s="112"/>
      <c r="L1559" s="37"/>
      <c r="M1559" s="37"/>
      <c r="N1559" s="37"/>
      <c r="O1559" s="130"/>
      <c r="P1559" s="132"/>
      <c r="Q1559" s="262"/>
      <c r="R1559" s="92"/>
    </row>
    <row r="1560" spans="3:18" x14ac:dyDescent="0.25">
      <c r="C1560" s="264"/>
      <c r="D1560" s="157"/>
      <c r="E1560" s="44"/>
      <c r="F1560" s="146"/>
      <c r="G1560" s="1"/>
      <c r="H1560" s="161"/>
      <c r="I1560" s="37"/>
      <c r="J1560" s="135"/>
      <c r="K1560" s="112"/>
      <c r="L1560" s="37"/>
      <c r="M1560" s="37"/>
      <c r="N1560" s="37"/>
      <c r="O1560" s="130"/>
      <c r="P1560" s="132"/>
      <c r="Q1560" s="262"/>
      <c r="R1560" s="92"/>
    </row>
    <row r="1561" spans="3:18" x14ac:dyDescent="0.25">
      <c r="C1561" s="264"/>
      <c r="D1561" s="157"/>
      <c r="E1561" s="44"/>
      <c r="F1561" s="146"/>
      <c r="G1561" s="1"/>
      <c r="H1561" s="161"/>
      <c r="I1561" s="37"/>
      <c r="J1561" s="135"/>
      <c r="K1561" s="112"/>
      <c r="L1561" s="37"/>
      <c r="M1561" s="37"/>
      <c r="N1561" s="37"/>
      <c r="O1561" s="130"/>
      <c r="P1561" s="132"/>
      <c r="Q1561" s="262"/>
      <c r="R1561" s="92"/>
    </row>
    <row r="1562" spans="3:18" x14ac:dyDescent="0.25">
      <c r="C1562" s="264"/>
      <c r="D1562" s="157"/>
      <c r="E1562" s="44"/>
      <c r="F1562" s="146"/>
      <c r="G1562" s="1"/>
      <c r="H1562" s="161"/>
      <c r="I1562" s="37"/>
      <c r="J1562" s="135"/>
      <c r="K1562" s="112"/>
      <c r="L1562" s="37"/>
      <c r="M1562" s="37"/>
      <c r="N1562" s="37"/>
      <c r="O1562" s="130"/>
      <c r="P1562" s="132"/>
      <c r="Q1562" s="262"/>
      <c r="R1562" s="92"/>
    </row>
    <row r="1563" spans="3:18" x14ac:dyDescent="0.25">
      <c r="C1563" s="264"/>
      <c r="D1563" s="157"/>
      <c r="E1563" s="44"/>
      <c r="F1563" s="146"/>
      <c r="G1563" s="1"/>
      <c r="H1563" s="161"/>
      <c r="I1563" s="37"/>
      <c r="J1563" s="135"/>
      <c r="K1563" s="112"/>
      <c r="L1563" s="37"/>
      <c r="M1563" s="37"/>
      <c r="N1563" s="37"/>
      <c r="O1563" s="130"/>
      <c r="P1563" s="132"/>
      <c r="Q1563" s="262"/>
      <c r="R1563" s="92"/>
    </row>
    <row r="1564" spans="3:18" x14ac:dyDescent="0.25">
      <c r="C1564" s="264"/>
      <c r="D1564" s="157"/>
      <c r="E1564" s="44"/>
      <c r="F1564" s="146"/>
      <c r="G1564" s="1"/>
      <c r="H1564" s="161"/>
      <c r="I1564" s="37"/>
      <c r="J1564" s="135"/>
      <c r="K1564" s="112"/>
      <c r="L1564" s="37"/>
      <c r="M1564" s="37"/>
      <c r="N1564" s="37"/>
      <c r="O1564" s="130"/>
      <c r="P1564" s="132"/>
      <c r="Q1564" s="262"/>
      <c r="R1564" s="92"/>
    </row>
    <row r="1565" spans="3:18" x14ac:dyDescent="0.25">
      <c r="C1565" s="264"/>
      <c r="D1565" s="157"/>
      <c r="E1565" s="44"/>
      <c r="F1565" s="146"/>
      <c r="G1565" s="1"/>
      <c r="H1565" s="161"/>
      <c r="I1565" s="37"/>
      <c r="J1565" s="135"/>
      <c r="K1565" s="112"/>
      <c r="L1565" s="37"/>
      <c r="M1565" s="37"/>
      <c r="N1565" s="37"/>
      <c r="O1565" s="130"/>
      <c r="P1565" s="132"/>
      <c r="Q1565" s="262"/>
      <c r="R1565" s="92"/>
    </row>
    <row r="1566" spans="3:18" x14ac:dyDescent="0.25">
      <c r="C1566" s="264"/>
      <c r="D1566" s="157"/>
      <c r="E1566" s="44"/>
      <c r="F1566" s="146"/>
      <c r="G1566" s="1"/>
      <c r="H1566" s="161"/>
      <c r="I1566" s="37"/>
      <c r="J1566" s="135"/>
      <c r="K1566" s="112"/>
      <c r="L1566" s="37"/>
      <c r="M1566" s="37"/>
      <c r="N1566" s="37"/>
      <c r="O1566" s="130"/>
      <c r="P1566" s="132"/>
      <c r="Q1566" s="262"/>
      <c r="R1566" s="92"/>
    </row>
    <row r="1567" spans="3:18" x14ac:dyDescent="0.25">
      <c r="C1567" s="264"/>
      <c r="D1567" s="157"/>
      <c r="E1567" s="44"/>
      <c r="F1567" s="146"/>
      <c r="G1567" s="1"/>
      <c r="H1567" s="161"/>
      <c r="I1567" s="37"/>
      <c r="J1567" s="135"/>
      <c r="K1567" s="112"/>
      <c r="L1567" s="37"/>
      <c r="M1567" s="37"/>
      <c r="N1567" s="37"/>
      <c r="O1567" s="130"/>
      <c r="P1567" s="132"/>
      <c r="Q1567" s="262"/>
      <c r="R1567" s="92"/>
    </row>
    <row r="1568" spans="3:18" x14ac:dyDescent="0.25">
      <c r="C1568" s="264"/>
      <c r="D1568" s="157"/>
      <c r="E1568" s="44"/>
      <c r="F1568" s="146"/>
      <c r="G1568" s="1"/>
      <c r="H1568" s="161"/>
      <c r="I1568" s="37"/>
      <c r="J1568" s="135"/>
      <c r="K1568" s="112"/>
      <c r="L1568" s="37"/>
      <c r="M1568" s="37"/>
      <c r="N1568" s="37"/>
      <c r="O1568" s="130"/>
      <c r="P1568" s="132"/>
      <c r="Q1568" s="262"/>
      <c r="R1568" s="92"/>
    </row>
    <row r="1569" spans="3:18" x14ac:dyDescent="0.25">
      <c r="C1569" s="264"/>
      <c r="D1569" s="157"/>
      <c r="E1569" s="44"/>
      <c r="F1569" s="146"/>
      <c r="G1569" s="1"/>
      <c r="H1569" s="161"/>
      <c r="I1569" s="37"/>
      <c r="J1569" s="135"/>
      <c r="K1569" s="112"/>
      <c r="L1569" s="37"/>
      <c r="M1569" s="37"/>
      <c r="N1569" s="37"/>
      <c r="O1569" s="130"/>
      <c r="P1569" s="132"/>
      <c r="Q1569" s="262"/>
      <c r="R1569" s="92"/>
    </row>
    <row r="1570" spans="3:18" x14ac:dyDescent="0.25">
      <c r="C1570" s="264"/>
      <c r="D1570" s="157"/>
      <c r="E1570" s="44"/>
      <c r="F1570" s="146"/>
      <c r="G1570" s="1"/>
      <c r="H1570" s="161"/>
      <c r="I1570" s="37"/>
      <c r="J1570" s="135"/>
      <c r="K1570" s="112"/>
      <c r="L1570" s="37"/>
      <c r="M1570" s="37"/>
      <c r="N1570" s="37"/>
      <c r="O1570" s="130"/>
      <c r="P1570" s="132"/>
      <c r="Q1570" s="262"/>
      <c r="R1570" s="92"/>
    </row>
    <row r="1571" spans="3:18" x14ac:dyDescent="0.25">
      <c r="C1571" s="264"/>
      <c r="D1571" s="157"/>
      <c r="E1571" s="44"/>
      <c r="F1571" s="146"/>
      <c r="G1571" s="1"/>
      <c r="H1571" s="161"/>
      <c r="I1571" s="37"/>
      <c r="J1571" s="135"/>
      <c r="K1571" s="112"/>
      <c r="L1571" s="37"/>
      <c r="M1571" s="37"/>
      <c r="N1571" s="37"/>
      <c r="O1571" s="130"/>
      <c r="P1571" s="132"/>
      <c r="Q1571" s="262"/>
      <c r="R1571" s="92"/>
    </row>
    <row r="1572" spans="3:18" x14ac:dyDescent="0.25">
      <c r="C1572" s="264"/>
      <c r="D1572" s="157"/>
      <c r="E1572" s="44"/>
      <c r="F1572" s="146"/>
      <c r="G1572" s="1"/>
      <c r="H1572" s="161"/>
      <c r="I1572" s="37"/>
      <c r="J1572" s="135"/>
      <c r="K1572" s="112"/>
      <c r="L1572" s="37"/>
      <c r="M1572" s="37"/>
      <c r="N1572" s="37"/>
      <c r="O1572" s="130"/>
      <c r="P1572" s="132"/>
      <c r="Q1572" s="262"/>
      <c r="R1572" s="92"/>
    </row>
    <row r="1573" spans="3:18" x14ac:dyDescent="0.25">
      <c r="C1573" s="264"/>
      <c r="D1573" s="157"/>
      <c r="E1573" s="44"/>
      <c r="F1573" s="146"/>
      <c r="G1573" s="1"/>
      <c r="H1573" s="161"/>
      <c r="I1573" s="37"/>
      <c r="J1573" s="135"/>
      <c r="K1573" s="112"/>
      <c r="L1573" s="37"/>
      <c r="M1573" s="37"/>
      <c r="N1573" s="37"/>
      <c r="O1573" s="130"/>
      <c r="P1573" s="132"/>
      <c r="Q1573" s="262"/>
      <c r="R1573" s="92"/>
    </row>
    <row r="1574" spans="3:18" x14ac:dyDescent="0.25">
      <c r="C1574" s="264"/>
      <c r="D1574" s="157"/>
      <c r="E1574" s="44"/>
      <c r="F1574" s="146"/>
      <c r="G1574" s="1"/>
      <c r="H1574" s="161"/>
      <c r="I1574" s="37"/>
      <c r="J1574" s="135"/>
      <c r="K1574" s="112"/>
      <c r="L1574" s="37"/>
      <c r="M1574" s="37"/>
      <c r="N1574" s="37"/>
      <c r="O1574" s="130"/>
      <c r="P1574" s="132"/>
      <c r="Q1574" s="262"/>
      <c r="R1574" s="92"/>
    </row>
    <row r="1575" spans="3:18" x14ac:dyDescent="0.25">
      <c r="C1575" s="264"/>
      <c r="D1575" s="157"/>
      <c r="E1575" s="44"/>
      <c r="F1575" s="146"/>
      <c r="G1575" s="1"/>
      <c r="H1575" s="161"/>
      <c r="I1575" s="37"/>
      <c r="J1575" s="135"/>
      <c r="K1575" s="112"/>
      <c r="L1575" s="37"/>
      <c r="M1575" s="37"/>
      <c r="N1575" s="37"/>
      <c r="O1575" s="130"/>
      <c r="P1575" s="132"/>
      <c r="Q1575" s="262"/>
      <c r="R1575" s="92"/>
    </row>
    <row r="1576" spans="3:18" x14ac:dyDescent="0.25">
      <c r="C1576" s="264"/>
      <c r="D1576" s="157"/>
      <c r="E1576" s="44"/>
      <c r="F1576" s="146"/>
      <c r="G1576" s="1"/>
      <c r="H1576" s="161"/>
      <c r="I1576" s="37"/>
      <c r="J1576" s="135"/>
      <c r="K1576" s="112"/>
      <c r="L1576" s="37"/>
      <c r="M1576" s="37"/>
      <c r="N1576" s="37"/>
      <c r="O1576" s="130"/>
      <c r="P1576" s="132"/>
      <c r="Q1576" s="262"/>
      <c r="R1576" s="92"/>
    </row>
    <row r="1577" spans="3:18" x14ac:dyDescent="0.25">
      <c r="C1577" s="264"/>
      <c r="D1577" s="157"/>
      <c r="E1577" s="44"/>
      <c r="F1577" s="146"/>
      <c r="G1577" s="1"/>
      <c r="H1577" s="161"/>
      <c r="I1577" s="37"/>
      <c r="J1577" s="135"/>
      <c r="K1577" s="112"/>
      <c r="L1577" s="37"/>
      <c r="M1577" s="37"/>
      <c r="N1577" s="37"/>
      <c r="O1577" s="130"/>
      <c r="P1577" s="132"/>
      <c r="Q1577" s="262"/>
      <c r="R1577" s="92"/>
    </row>
    <row r="1578" spans="3:18" x14ac:dyDescent="0.25">
      <c r="C1578" s="264"/>
      <c r="D1578" s="157"/>
      <c r="E1578" s="44"/>
      <c r="F1578" s="146"/>
      <c r="G1578" s="1"/>
      <c r="H1578" s="161"/>
      <c r="I1578" s="37"/>
      <c r="J1578" s="135"/>
      <c r="K1578" s="112"/>
      <c r="L1578" s="37"/>
      <c r="M1578" s="37"/>
      <c r="N1578" s="37"/>
      <c r="O1578" s="130"/>
      <c r="P1578" s="132"/>
      <c r="Q1578" s="262"/>
      <c r="R1578" s="92"/>
    </row>
    <row r="1579" spans="3:18" x14ac:dyDescent="0.25">
      <c r="C1579" s="264"/>
      <c r="D1579" s="157"/>
      <c r="E1579" s="44"/>
      <c r="F1579" s="146"/>
      <c r="G1579" s="1"/>
      <c r="H1579" s="161"/>
      <c r="I1579" s="37"/>
      <c r="J1579" s="135"/>
      <c r="K1579" s="112"/>
      <c r="L1579" s="37"/>
      <c r="M1579" s="37"/>
      <c r="N1579" s="37"/>
      <c r="O1579" s="130"/>
      <c r="P1579" s="132"/>
      <c r="Q1579" s="262"/>
      <c r="R1579" s="92"/>
    </row>
    <row r="1580" spans="3:18" x14ac:dyDescent="0.25">
      <c r="C1580" s="264"/>
      <c r="D1580" s="157"/>
      <c r="E1580" s="44"/>
      <c r="F1580" s="146"/>
      <c r="G1580" s="1"/>
      <c r="H1580" s="161"/>
      <c r="I1580" s="37"/>
      <c r="J1580" s="135"/>
      <c r="K1580" s="112"/>
      <c r="L1580" s="37"/>
      <c r="M1580" s="37"/>
      <c r="N1580" s="37"/>
      <c r="O1580" s="130"/>
      <c r="P1580" s="132"/>
      <c r="Q1580" s="262"/>
      <c r="R1580" s="92"/>
    </row>
    <row r="1581" spans="3:18" x14ac:dyDescent="0.25">
      <c r="C1581" s="264"/>
      <c r="D1581" s="157"/>
      <c r="E1581" s="44"/>
      <c r="F1581" s="146"/>
      <c r="G1581" s="1"/>
      <c r="H1581" s="161"/>
      <c r="I1581" s="37"/>
      <c r="J1581" s="135"/>
      <c r="K1581" s="112"/>
      <c r="L1581" s="37"/>
      <c r="M1581" s="37"/>
      <c r="N1581" s="37"/>
      <c r="O1581" s="130"/>
      <c r="P1581" s="132"/>
      <c r="Q1581" s="262"/>
      <c r="R1581" s="92"/>
    </row>
    <row r="1582" spans="3:18" x14ac:dyDescent="0.25">
      <c r="C1582" s="264"/>
      <c r="D1582" s="157"/>
      <c r="E1582" s="44"/>
      <c r="F1582" s="146"/>
      <c r="G1582" s="1"/>
      <c r="H1582" s="161"/>
      <c r="I1582" s="37"/>
      <c r="J1582" s="135"/>
      <c r="K1582" s="112"/>
      <c r="L1582" s="37"/>
      <c r="M1582" s="37"/>
      <c r="N1582" s="37"/>
      <c r="O1582" s="130"/>
      <c r="P1582" s="132"/>
      <c r="Q1582" s="262"/>
      <c r="R1582" s="92"/>
    </row>
    <row r="1583" spans="3:18" x14ac:dyDescent="0.25">
      <c r="C1583" s="264"/>
      <c r="D1583" s="157"/>
      <c r="E1583" s="44"/>
      <c r="F1583" s="146"/>
      <c r="G1583" s="1"/>
      <c r="H1583" s="161"/>
      <c r="I1583" s="37"/>
      <c r="J1583" s="135"/>
      <c r="K1583" s="112"/>
      <c r="L1583" s="37"/>
      <c r="M1583" s="37"/>
      <c r="N1583" s="37"/>
      <c r="O1583" s="130"/>
      <c r="P1583" s="132"/>
      <c r="Q1583" s="262"/>
      <c r="R1583" s="92"/>
    </row>
    <row r="1584" spans="3:18" x14ac:dyDescent="0.25">
      <c r="C1584" s="264"/>
      <c r="D1584" s="157"/>
      <c r="E1584" s="44"/>
      <c r="F1584" s="146"/>
      <c r="G1584" s="1"/>
      <c r="H1584" s="161"/>
      <c r="I1584" s="37"/>
      <c r="J1584" s="135"/>
      <c r="K1584" s="112"/>
      <c r="L1584" s="37"/>
      <c r="M1584" s="37"/>
      <c r="N1584" s="37"/>
      <c r="O1584" s="130"/>
      <c r="P1584" s="132"/>
      <c r="Q1584" s="262"/>
      <c r="R1584" s="92"/>
    </row>
    <row r="1585" spans="3:18" x14ac:dyDescent="0.25">
      <c r="C1585" s="264"/>
      <c r="D1585" s="157"/>
      <c r="E1585" s="44"/>
      <c r="F1585" s="146"/>
      <c r="G1585" s="1"/>
      <c r="H1585" s="161"/>
      <c r="I1585" s="37"/>
      <c r="J1585" s="135"/>
      <c r="K1585" s="112"/>
      <c r="L1585" s="37"/>
      <c r="M1585" s="37"/>
      <c r="N1585" s="37"/>
      <c r="O1585" s="130"/>
      <c r="P1585" s="132"/>
      <c r="Q1585" s="262"/>
      <c r="R1585" s="92"/>
    </row>
    <row r="1586" spans="3:18" x14ac:dyDescent="0.25">
      <c r="C1586" s="264"/>
      <c r="D1586" s="157"/>
      <c r="E1586" s="44"/>
      <c r="F1586" s="146"/>
      <c r="G1586" s="1"/>
      <c r="H1586" s="161"/>
      <c r="I1586" s="37"/>
      <c r="J1586" s="135"/>
      <c r="K1586" s="112"/>
      <c r="L1586" s="37"/>
      <c r="M1586" s="37"/>
      <c r="N1586" s="37"/>
      <c r="O1586" s="130"/>
      <c r="P1586" s="132"/>
      <c r="Q1586" s="262"/>
      <c r="R1586" s="92"/>
    </row>
    <row r="1587" spans="3:18" x14ac:dyDescent="0.25">
      <c r="C1587" s="264"/>
      <c r="D1587" s="157"/>
      <c r="E1587" s="44"/>
      <c r="F1587" s="146"/>
      <c r="G1587" s="1"/>
      <c r="H1587" s="161"/>
      <c r="I1587" s="37"/>
      <c r="J1587" s="135"/>
      <c r="K1587" s="112"/>
      <c r="L1587" s="37"/>
      <c r="M1587" s="37"/>
      <c r="N1587" s="37"/>
      <c r="O1587" s="130"/>
      <c r="P1587" s="132"/>
      <c r="Q1587" s="262"/>
      <c r="R1587" s="92"/>
    </row>
    <row r="1588" spans="3:18" x14ac:dyDescent="0.25">
      <c r="C1588" s="264"/>
      <c r="D1588" s="157"/>
      <c r="E1588" s="44"/>
      <c r="F1588" s="146"/>
      <c r="G1588" s="1"/>
      <c r="H1588" s="161"/>
      <c r="I1588" s="37"/>
      <c r="J1588" s="135"/>
      <c r="K1588" s="112"/>
      <c r="L1588" s="37"/>
      <c r="M1588" s="37"/>
      <c r="N1588" s="37"/>
      <c r="O1588" s="130"/>
      <c r="P1588" s="132"/>
      <c r="Q1588" s="262"/>
      <c r="R1588" s="92"/>
    </row>
    <row r="1589" spans="3:18" x14ac:dyDescent="0.25">
      <c r="C1589" s="264"/>
      <c r="D1589" s="157"/>
      <c r="E1589" s="44"/>
      <c r="F1589" s="146"/>
      <c r="G1589" s="1"/>
      <c r="H1589" s="161"/>
      <c r="I1589" s="37"/>
      <c r="J1589" s="135"/>
      <c r="K1589" s="112"/>
      <c r="L1589" s="37"/>
      <c r="M1589" s="37"/>
      <c r="N1589" s="37"/>
      <c r="O1589" s="130"/>
      <c r="P1589" s="132"/>
      <c r="Q1589" s="262"/>
      <c r="R1589" s="92"/>
    </row>
    <row r="1590" spans="3:18" x14ac:dyDescent="0.25">
      <c r="C1590" s="264"/>
      <c r="D1590" s="157"/>
      <c r="E1590" s="44"/>
      <c r="F1590" s="146"/>
      <c r="G1590" s="1"/>
      <c r="H1590" s="161"/>
      <c r="I1590" s="37"/>
      <c r="J1590" s="135"/>
      <c r="K1590" s="112"/>
      <c r="L1590" s="37"/>
      <c r="M1590" s="37"/>
      <c r="N1590" s="37"/>
      <c r="O1590" s="130"/>
      <c r="P1590" s="132"/>
      <c r="Q1590" s="262"/>
      <c r="R1590" s="92"/>
    </row>
    <row r="1591" spans="3:18" x14ac:dyDescent="0.25">
      <c r="C1591" s="264"/>
      <c r="D1591" s="157"/>
      <c r="E1591" s="44"/>
      <c r="F1591" s="146"/>
      <c r="G1591" s="1"/>
      <c r="H1591" s="161"/>
      <c r="I1591" s="37"/>
      <c r="J1591" s="135"/>
      <c r="K1591" s="112"/>
      <c r="L1591" s="37"/>
      <c r="M1591" s="37"/>
      <c r="N1591" s="37"/>
      <c r="O1591" s="130"/>
      <c r="P1591" s="132"/>
      <c r="Q1591" s="262"/>
      <c r="R1591" s="92"/>
    </row>
    <row r="1592" spans="3:18" x14ac:dyDescent="0.25">
      <c r="C1592" s="264"/>
      <c r="D1592" s="157"/>
      <c r="E1592" s="44"/>
      <c r="F1592" s="146"/>
      <c r="G1592" s="1"/>
      <c r="H1592" s="161"/>
      <c r="I1592" s="37"/>
      <c r="J1592" s="135"/>
      <c r="K1592" s="112"/>
      <c r="L1592" s="37"/>
      <c r="M1592" s="37"/>
      <c r="N1592" s="37"/>
      <c r="O1592" s="130"/>
      <c r="P1592" s="132"/>
      <c r="Q1592" s="262"/>
      <c r="R1592" s="92"/>
    </row>
    <row r="1593" spans="3:18" x14ac:dyDescent="0.25">
      <c r="C1593" s="264"/>
      <c r="D1593" s="157"/>
      <c r="E1593" s="44"/>
      <c r="F1593" s="146"/>
      <c r="G1593" s="1"/>
      <c r="H1593" s="161"/>
      <c r="I1593" s="37"/>
      <c r="J1593" s="135"/>
      <c r="K1593" s="112"/>
      <c r="L1593" s="37"/>
      <c r="M1593" s="37"/>
      <c r="N1593" s="37"/>
      <c r="O1593" s="130"/>
      <c r="P1593" s="132"/>
      <c r="Q1593" s="262"/>
      <c r="R1593" s="92"/>
    </row>
    <row r="1594" spans="3:18" x14ac:dyDescent="0.25">
      <c r="C1594" s="264"/>
      <c r="D1594" s="157"/>
      <c r="E1594" s="44"/>
      <c r="F1594" s="146"/>
      <c r="G1594" s="1"/>
      <c r="H1594" s="161"/>
      <c r="I1594" s="37"/>
      <c r="J1594" s="135"/>
      <c r="K1594" s="112"/>
      <c r="L1594" s="37"/>
      <c r="M1594" s="37"/>
      <c r="N1594" s="37"/>
      <c r="O1594" s="130"/>
      <c r="P1594" s="132"/>
      <c r="Q1594" s="262"/>
      <c r="R1594" s="92"/>
    </row>
    <row r="1595" spans="3:18" x14ac:dyDescent="0.25">
      <c r="C1595" s="264"/>
      <c r="D1595" s="157"/>
      <c r="E1595" s="44"/>
      <c r="F1595" s="146"/>
      <c r="G1595" s="1"/>
      <c r="H1595" s="161"/>
      <c r="I1595" s="37"/>
      <c r="J1595" s="135"/>
      <c r="K1595" s="112"/>
      <c r="L1595" s="37"/>
      <c r="M1595" s="37"/>
      <c r="N1595" s="37"/>
      <c r="O1595" s="130"/>
      <c r="P1595" s="132"/>
      <c r="Q1595" s="262"/>
      <c r="R1595" s="92"/>
    </row>
    <row r="1596" spans="3:18" x14ac:dyDescent="0.25">
      <c r="C1596" s="264"/>
      <c r="D1596" s="157"/>
      <c r="E1596" s="44"/>
      <c r="F1596" s="146"/>
      <c r="G1596" s="1"/>
      <c r="H1596" s="161"/>
      <c r="I1596" s="37"/>
      <c r="J1596" s="135"/>
      <c r="K1596" s="112"/>
      <c r="L1596" s="37"/>
      <c r="M1596" s="37"/>
      <c r="N1596" s="37"/>
      <c r="O1596" s="130"/>
      <c r="P1596" s="132"/>
      <c r="Q1596" s="262"/>
      <c r="R1596" s="92"/>
    </row>
    <row r="1597" spans="3:18" x14ac:dyDescent="0.25">
      <c r="C1597" s="264"/>
      <c r="D1597" s="157"/>
      <c r="E1597" s="44"/>
      <c r="F1597" s="146"/>
      <c r="G1597" s="1"/>
      <c r="H1597" s="161"/>
      <c r="I1597" s="37"/>
      <c r="J1597" s="135"/>
      <c r="K1597" s="112"/>
      <c r="L1597" s="37"/>
      <c r="M1597" s="37"/>
      <c r="N1597" s="37"/>
      <c r="O1597" s="130"/>
      <c r="P1597" s="132"/>
      <c r="Q1597" s="262"/>
      <c r="R1597" s="92"/>
    </row>
    <row r="1598" spans="3:18" x14ac:dyDescent="0.25">
      <c r="C1598" s="264"/>
      <c r="D1598" s="157"/>
      <c r="E1598" s="44"/>
      <c r="F1598" s="146"/>
      <c r="G1598" s="1"/>
      <c r="H1598" s="161"/>
      <c r="I1598" s="37"/>
      <c r="J1598" s="135"/>
      <c r="K1598" s="112"/>
      <c r="L1598" s="37"/>
      <c r="M1598" s="37"/>
      <c r="N1598" s="37"/>
      <c r="O1598" s="130"/>
      <c r="P1598" s="132"/>
      <c r="Q1598" s="262"/>
      <c r="R1598" s="92"/>
    </row>
    <row r="1599" spans="3:18" x14ac:dyDescent="0.25">
      <c r="C1599" s="264"/>
      <c r="D1599" s="157"/>
      <c r="E1599" s="44"/>
      <c r="F1599" s="146"/>
      <c r="G1599" s="1"/>
      <c r="H1599" s="161"/>
      <c r="I1599" s="37"/>
      <c r="J1599" s="135"/>
      <c r="K1599" s="112"/>
      <c r="L1599" s="37"/>
      <c r="M1599" s="37"/>
      <c r="N1599" s="37"/>
      <c r="O1599" s="130"/>
      <c r="P1599" s="132"/>
      <c r="Q1599" s="262"/>
      <c r="R1599" s="92"/>
    </row>
    <row r="1600" spans="3:18" x14ac:dyDescent="0.25">
      <c r="C1600" s="264"/>
      <c r="D1600" s="157"/>
      <c r="E1600" s="44"/>
      <c r="F1600" s="146"/>
      <c r="G1600" s="1"/>
      <c r="H1600" s="161"/>
      <c r="I1600" s="37"/>
      <c r="J1600" s="135"/>
      <c r="K1600" s="112"/>
      <c r="L1600" s="37"/>
      <c r="M1600" s="37"/>
      <c r="N1600" s="37"/>
      <c r="O1600" s="130"/>
      <c r="P1600" s="132"/>
      <c r="Q1600" s="262"/>
      <c r="R1600" s="92"/>
    </row>
    <row r="1601" spans="3:18" x14ac:dyDescent="0.25">
      <c r="C1601" s="264"/>
      <c r="D1601" s="157"/>
      <c r="E1601" s="44"/>
      <c r="F1601" s="146"/>
      <c r="G1601" s="1"/>
      <c r="H1601" s="161"/>
      <c r="I1601" s="37"/>
      <c r="J1601" s="135"/>
      <c r="K1601" s="112"/>
      <c r="L1601" s="37"/>
      <c r="M1601" s="37"/>
      <c r="N1601" s="37"/>
      <c r="O1601" s="130"/>
      <c r="P1601" s="132"/>
      <c r="Q1601" s="262"/>
      <c r="R1601" s="92"/>
    </row>
    <row r="1602" spans="3:18" x14ac:dyDescent="0.25">
      <c r="C1602" s="264"/>
      <c r="D1602" s="157"/>
      <c r="E1602" s="44"/>
      <c r="F1602" s="146"/>
      <c r="G1602" s="1"/>
      <c r="H1602" s="161"/>
      <c r="I1602" s="37"/>
      <c r="J1602" s="135"/>
      <c r="K1602" s="112"/>
      <c r="L1602" s="37"/>
      <c r="M1602" s="37"/>
      <c r="N1602" s="37"/>
      <c r="O1602" s="130"/>
      <c r="P1602" s="132"/>
      <c r="Q1602" s="262"/>
      <c r="R1602" s="92"/>
    </row>
    <row r="1603" spans="3:18" x14ac:dyDescent="0.25">
      <c r="C1603" s="264"/>
      <c r="D1603" s="157"/>
      <c r="E1603" s="44"/>
      <c r="F1603" s="146"/>
      <c r="G1603" s="1"/>
      <c r="H1603" s="161"/>
      <c r="I1603" s="37"/>
      <c r="J1603" s="135"/>
      <c r="K1603" s="112"/>
      <c r="L1603" s="37"/>
      <c r="M1603" s="37"/>
      <c r="N1603" s="37"/>
      <c r="O1603" s="130"/>
      <c r="P1603" s="132"/>
      <c r="Q1603" s="262"/>
      <c r="R1603" s="92"/>
    </row>
    <row r="1604" spans="3:18" x14ac:dyDescent="0.25">
      <c r="C1604" s="264"/>
      <c r="D1604" s="157"/>
      <c r="E1604" s="44"/>
      <c r="F1604" s="146"/>
      <c r="G1604" s="1"/>
      <c r="H1604" s="161"/>
      <c r="I1604" s="37"/>
      <c r="J1604" s="135"/>
      <c r="K1604" s="112"/>
      <c r="L1604" s="37"/>
      <c r="M1604" s="37"/>
      <c r="N1604" s="37"/>
      <c r="O1604" s="130"/>
      <c r="P1604" s="132"/>
      <c r="Q1604" s="262"/>
      <c r="R1604" s="92"/>
    </row>
    <row r="1605" spans="3:18" x14ac:dyDescent="0.25">
      <c r="C1605" s="264"/>
      <c r="D1605" s="157"/>
      <c r="E1605" s="44"/>
      <c r="F1605" s="146"/>
      <c r="G1605" s="1"/>
      <c r="H1605" s="161"/>
      <c r="I1605" s="37"/>
      <c r="J1605" s="135"/>
      <c r="K1605" s="112"/>
      <c r="L1605" s="37"/>
      <c r="M1605" s="37"/>
      <c r="N1605" s="37"/>
      <c r="O1605" s="130"/>
      <c r="P1605" s="132"/>
      <c r="Q1605" s="262"/>
      <c r="R1605" s="92"/>
    </row>
    <row r="1606" spans="3:18" x14ac:dyDescent="0.25">
      <c r="C1606" s="264"/>
      <c r="D1606" s="157"/>
      <c r="E1606" s="44"/>
      <c r="F1606" s="146"/>
      <c r="G1606" s="1"/>
      <c r="H1606" s="161"/>
      <c r="I1606" s="37"/>
      <c r="J1606" s="135"/>
      <c r="K1606" s="112"/>
      <c r="L1606" s="37"/>
      <c r="M1606" s="37"/>
      <c r="N1606" s="37"/>
      <c r="O1606" s="130"/>
      <c r="P1606" s="132"/>
      <c r="Q1606" s="262"/>
      <c r="R1606" s="92"/>
    </row>
    <row r="1607" spans="3:18" x14ac:dyDescent="0.25">
      <c r="C1607" s="264"/>
      <c r="D1607" s="157"/>
      <c r="E1607" s="44"/>
      <c r="F1607" s="146"/>
      <c r="G1607" s="1"/>
      <c r="H1607" s="161"/>
      <c r="I1607" s="37"/>
      <c r="J1607" s="135"/>
      <c r="K1607" s="112"/>
      <c r="L1607" s="37"/>
      <c r="M1607" s="37"/>
      <c r="N1607" s="37"/>
      <c r="O1607" s="130"/>
      <c r="P1607" s="132"/>
      <c r="Q1607" s="262"/>
      <c r="R1607" s="92"/>
    </row>
    <row r="1608" spans="3:18" x14ac:dyDescent="0.25">
      <c r="C1608" s="264"/>
      <c r="D1608" s="157"/>
      <c r="E1608" s="44"/>
      <c r="F1608" s="146"/>
      <c r="G1608" s="1"/>
      <c r="H1608" s="161"/>
      <c r="I1608" s="37"/>
      <c r="J1608" s="135"/>
      <c r="K1608" s="112"/>
      <c r="L1608" s="37"/>
      <c r="M1608" s="37"/>
      <c r="N1608" s="37"/>
      <c r="O1608" s="130"/>
      <c r="P1608" s="132"/>
      <c r="Q1608" s="262"/>
      <c r="R1608" s="92"/>
    </row>
    <row r="1609" spans="3:18" x14ac:dyDescent="0.25">
      <c r="C1609" s="264"/>
      <c r="D1609" s="157"/>
      <c r="E1609" s="44"/>
      <c r="F1609" s="146"/>
      <c r="G1609" s="1"/>
      <c r="H1609" s="161"/>
      <c r="I1609" s="37"/>
      <c r="J1609" s="135"/>
      <c r="K1609" s="112"/>
      <c r="L1609" s="37"/>
      <c r="M1609" s="37"/>
      <c r="N1609" s="37"/>
      <c r="O1609" s="130"/>
      <c r="P1609" s="132"/>
      <c r="Q1609" s="262"/>
      <c r="R1609" s="92"/>
    </row>
    <row r="1610" spans="3:18" x14ac:dyDescent="0.25">
      <c r="C1610" s="264"/>
      <c r="D1610" s="157"/>
      <c r="E1610" s="44"/>
      <c r="F1610" s="146"/>
      <c r="G1610" s="1"/>
      <c r="H1610" s="161"/>
      <c r="I1610" s="37"/>
      <c r="J1610" s="135"/>
      <c r="K1610" s="112"/>
      <c r="L1610" s="37"/>
      <c r="M1610" s="37"/>
      <c r="N1610" s="37"/>
      <c r="O1610" s="130"/>
      <c r="P1610" s="132"/>
      <c r="Q1610" s="262"/>
      <c r="R1610" s="92"/>
    </row>
    <row r="1611" spans="3:18" x14ac:dyDescent="0.25">
      <c r="C1611" s="264"/>
      <c r="D1611" s="157"/>
      <c r="E1611" s="44"/>
      <c r="F1611" s="146"/>
      <c r="G1611" s="1"/>
      <c r="H1611" s="161"/>
      <c r="I1611" s="37"/>
      <c r="J1611" s="135"/>
      <c r="K1611" s="112"/>
      <c r="L1611" s="37"/>
      <c r="M1611" s="37"/>
      <c r="N1611" s="37"/>
      <c r="O1611" s="130"/>
      <c r="P1611" s="132"/>
      <c r="Q1611" s="262"/>
      <c r="R1611" s="92"/>
    </row>
    <row r="1612" spans="3:18" x14ac:dyDescent="0.25">
      <c r="C1612" s="264"/>
      <c r="D1612" s="157"/>
      <c r="E1612" s="44"/>
      <c r="F1612" s="146"/>
      <c r="G1612" s="1"/>
      <c r="H1612" s="161"/>
      <c r="I1612" s="37"/>
      <c r="J1612" s="135"/>
      <c r="K1612" s="112"/>
      <c r="L1612" s="37"/>
      <c r="M1612" s="37"/>
      <c r="N1612" s="37"/>
      <c r="O1612" s="130"/>
      <c r="P1612" s="132"/>
      <c r="Q1612" s="262"/>
      <c r="R1612" s="92"/>
    </row>
    <row r="1613" spans="3:18" x14ac:dyDescent="0.25">
      <c r="C1613" s="264"/>
      <c r="D1613" s="157"/>
      <c r="E1613" s="44"/>
      <c r="F1613" s="146"/>
      <c r="G1613" s="1"/>
      <c r="H1613" s="161"/>
      <c r="I1613" s="37"/>
      <c r="J1613" s="135"/>
      <c r="K1613" s="112"/>
      <c r="L1613" s="37"/>
      <c r="M1613" s="37"/>
      <c r="N1613" s="37"/>
      <c r="O1613" s="130"/>
      <c r="P1613" s="132"/>
      <c r="Q1613" s="262"/>
      <c r="R1613" s="92"/>
    </row>
    <row r="1614" spans="3:18" x14ac:dyDescent="0.25">
      <c r="C1614" s="264"/>
      <c r="D1614" s="157"/>
      <c r="E1614" s="44"/>
      <c r="F1614" s="146"/>
      <c r="G1614" s="1"/>
      <c r="H1614" s="161"/>
      <c r="I1614" s="37"/>
      <c r="J1614" s="135"/>
      <c r="K1614" s="112"/>
      <c r="L1614" s="37"/>
      <c r="M1614" s="37"/>
      <c r="N1614" s="37"/>
      <c r="O1614" s="130"/>
      <c r="P1614" s="132"/>
      <c r="Q1614" s="262"/>
      <c r="R1614" s="92"/>
    </row>
    <row r="1615" spans="3:18" x14ac:dyDescent="0.25">
      <c r="C1615" s="264"/>
      <c r="D1615" s="157"/>
      <c r="E1615" s="44"/>
      <c r="F1615" s="146"/>
      <c r="G1615" s="1"/>
      <c r="H1615" s="161"/>
      <c r="I1615" s="37"/>
      <c r="J1615" s="135"/>
      <c r="K1615" s="112"/>
      <c r="L1615" s="37"/>
      <c r="M1615" s="37"/>
      <c r="N1615" s="37"/>
      <c r="O1615" s="130"/>
      <c r="P1615" s="132"/>
      <c r="Q1615" s="262"/>
      <c r="R1615" s="92"/>
    </row>
    <row r="1616" spans="3:18" x14ac:dyDescent="0.25">
      <c r="C1616" s="264"/>
      <c r="D1616" s="157"/>
      <c r="E1616" s="44"/>
      <c r="F1616" s="146"/>
      <c r="G1616" s="1"/>
      <c r="H1616" s="161"/>
      <c r="I1616" s="37"/>
      <c r="J1616" s="135"/>
      <c r="K1616" s="112"/>
      <c r="L1616" s="37"/>
      <c r="M1616" s="37"/>
      <c r="N1616" s="37"/>
      <c r="O1616" s="130"/>
      <c r="P1616" s="132"/>
      <c r="Q1616" s="262"/>
      <c r="R1616" s="92"/>
    </row>
    <row r="1617" spans="3:18" x14ac:dyDescent="0.25">
      <c r="C1617" s="264"/>
      <c r="D1617" s="157"/>
      <c r="E1617" s="44"/>
      <c r="F1617" s="146"/>
      <c r="G1617" s="1"/>
      <c r="H1617" s="161"/>
      <c r="I1617" s="37"/>
      <c r="J1617" s="135"/>
      <c r="K1617" s="112"/>
      <c r="L1617" s="37"/>
      <c r="M1617" s="37"/>
      <c r="N1617" s="37"/>
      <c r="O1617" s="130"/>
      <c r="P1617" s="132"/>
      <c r="Q1617" s="262"/>
      <c r="R1617" s="92"/>
    </row>
    <row r="1618" spans="3:18" x14ac:dyDescent="0.25">
      <c r="C1618" s="264"/>
      <c r="D1618" s="157"/>
      <c r="E1618" s="44"/>
      <c r="F1618" s="146"/>
      <c r="G1618" s="1"/>
      <c r="H1618" s="161"/>
      <c r="I1618" s="37"/>
      <c r="J1618" s="135"/>
      <c r="K1618" s="112"/>
      <c r="L1618" s="37"/>
      <c r="M1618" s="37"/>
      <c r="N1618" s="37"/>
      <c r="O1618" s="130"/>
      <c r="P1618" s="132"/>
      <c r="Q1618" s="262"/>
      <c r="R1618" s="92"/>
    </row>
    <row r="1619" spans="3:18" x14ac:dyDescent="0.25">
      <c r="C1619" s="264"/>
      <c r="D1619" s="157"/>
      <c r="E1619" s="44"/>
      <c r="F1619" s="146"/>
      <c r="G1619" s="1"/>
      <c r="H1619" s="161"/>
      <c r="I1619" s="37"/>
      <c r="J1619" s="135"/>
      <c r="K1619" s="112"/>
      <c r="L1619" s="37"/>
      <c r="M1619" s="37"/>
      <c r="N1619" s="37"/>
      <c r="O1619" s="130"/>
      <c r="P1619" s="132"/>
      <c r="Q1619" s="262"/>
      <c r="R1619" s="92"/>
    </row>
    <row r="1620" spans="3:18" x14ac:dyDescent="0.25">
      <c r="C1620" s="264"/>
      <c r="D1620" s="157"/>
      <c r="E1620" s="44"/>
      <c r="F1620" s="146"/>
      <c r="G1620" s="1"/>
      <c r="H1620" s="161"/>
      <c r="I1620" s="37"/>
      <c r="J1620" s="135"/>
      <c r="K1620" s="112"/>
      <c r="L1620" s="37"/>
      <c r="M1620" s="37"/>
      <c r="N1620" s="37"/>
      <c r="O1620" s="130"/>
      <c r="P1620" s="132"/>
      <c r="Q1620" s="262"/>
      <c r="R1620" s="92"/>
    </row>
    <row r="1621" spans="3:18" x14ac:dyDescent="0.25">
      <c r="C1621" s="264"/>
      <c r="D1621" s="157"/>
      <c r="E1621" s="44"/>
      <c r="F1621" s="146"/>
      <c r="G1621" s="1"/>
      <c r="H1621" s="161"/>
      <c r="I1621" s="37"/>
      <c r="J1621" s="135"/>
      <c r="K1621" s="112"/>
      <c r="L1621" s="37"/>
      <c r="M1621" s="37"/>
      <c r="N1621" s="37"/>
      <c r="O1621" s="130"/>
      <c r="P1621" s="132"/>
      <c r="Q1621" s="262"/>
      <c r="R1621" s="92"/>
    </row>
    <row r="1622" spans="3:18" x14ac:dyDescent="0.25">
      <c r="C1622" s="264"/>
      <c r="D1622" s="157"/>
      <c r="E1622" s="44"/>
      <c r="F1622" s="146"/>
      <c r="G1622" s="1"/>
      <c r="H1622" s="161"/>
      <c r="I1622" s="37"/>
      <c r="J1622" s="135"/>
      <c r="K1622" s="112"/>
      <c r="L1622" s="37"/>
      <c r="M1622" s="37"/>
      <c r="N1622" s="37"/>
      <c r="O1622" s="130"/>
      <c r="P1622" s="132"/>
      <c r="Q1622" s="262"/>
      <c r="R1622" s="92"/>
    </row>
    <row r="1623" spans="3:18" x14ac:dyDescent="0.25">
      <c r="C1623" s="264"/>
      <c r="D1623" s="157"/>
      <c r="E1623" s="44"/>
      <c r="F1623" s="146"/>
      <c r="G1623" s="1"/>
      <c r="H1623" s="161"/>
      <c r="I1623" s="37"/>
      <c r="J1623" s="135"/>
      <c r="K1623" s="112"/>
      <c r="L1623" s="37"/>
      <c r="M1623" s="37"/>
      <c r="N1623" s="37"/>
      <c r="O1623" s="130"/>
      <c r="P1623" s="132"/>
      <c r="Q1623" s="262"/>
      <c r="R1623" s="92"/>
    </row>
    <row r="1624" spans="3:18" x14ac:dyDescent="0.25">
      <c r="C1624" s="264"/>
      <c r="D1624" s="157"/>
      <c r="E1624" s="44"/>
      <c r="F1624" s="146"/>
      <c r="G1624" s="1"/>
      <c r="H1624" s="161"/>
      <c r="I1624" s="37"/>
      <c r="J1624" s="135"/>
      <c r="K1624" s="112"/>
      <c r="L1624" s="37"/>
      <c r="M1624" s="37"/>
      <c r="N1624" s="37"/>
      <c r="O1624" s="130"/>
      <c r="P1624" s="132"/>
      <c r="Q1624" s="262"/>
      <c r="R1624" s="92"/>
    </row>
    <row r="1625" spans="3:18" x14ac:dyDescent="0.25">
      <c r="C1625" s="264"/>
      <c r="D1625" s="157"/>
      <c r="E1625" s="44"/>
      <c r="F1625" s="146"/>
      <c r="G1625" s="1"/>
      <c r="H1625" s="161"/>
      <c r="I1625" s="37"/>
      <c r="J1625" s="135"/>
      <c r="K1625" s="112"/>
      <c r="L1625" s="37"/>
      <c r="M1625" s="37"/>
      <c r="N1625" s="37"/>
      <c r="O1625" s="130"/>
      <c r="P1625" s="132"/>
      <c r="Q1625" s="262"/>
      <c r="R1625" s="92"/>
    </row>
    <row r="1626" spans="3:18" x14ac:dyDescent="0.25">
      <c r="C1626" s="264"/>
      <c r="D1626" s="157"/>
      <c r="E1626" s="44"/>
      <c r="F1626" s="146"/>
      <c r="G1626" s="1"/>
      <c r="H1626" s="161"/>
      <c r="I1626" s="37"/>
      <c r="J1626" s="135"/>
      <c r="K1626" s="112"/>
      <c r="L1626" s="37"/>
      <c r="M1626" s="37"/>
      <c r="N1626" s="37"/>
      <c r="O1626" s="130"/>
      <c r="P1626" s="132"/>
      <c r="Q1626" s="262"/>
      <c r="R1626" s="92"/>
    </row>
    <row r="1627" spans="3:18" x14ac:dyDescent="0.25">
      <c r="C1627" s="264"/>
      <c r="D1627" s="157"/>
      <c r="E1627" s="44"/>
      <c r="F1627" s="146"/>
      <c r="G1627" s="1"/>
      <c r="H1627" s="161"/>
      <c r="I1627" s="37"/>
      <c r="J1627" s="135"/>
      <c r="K1627" s="112"/>
      <c r="L1627" s="37"/>
      <c r="M1627" s="37"/>
      <c r="N1627" s="37"/>
      <c r="O1627" s="130"/>
      <c r="P1627" s="132"/>
      <c r="Q1627" s="262"/>
      <c r="R1627" s="92"/>
    </row>
    <row r="1628" spans="3:18" x14ac:dyDescent="0.25">
      <c r="C1628" s="264"/>
      <c r="D1628" s="157"/>
      <c r="E1628" s="44"/>
      <c r="F1628" s="146"/>
      <c r="G1628" s="1"/>
      <c r="H1628" s="161"/>
      <c r="I1628" s="37"/>
      <c r="J1628" s="135"/>
      <c r="K1628" s="112"/>
      <c r="L1628" s="37"/>
      <c r="M1628" s="37"/>
      <c r="N1628" s="37"/>
      <c r="O1628" s="130"/>
      <c r="P1628" s="132"/>
      <c r="Q1628" s="262"/>
      <c r="R1628" s="92"/>
    </row>
    <row r="1629" spans="3:18" x14ac:dyDescent="0.25">
      <c r="C1629" s="264"/>
      <c r="D1629" s="157"/>
      <c r="E1629" s="44"/>
      <c r="F1629" s="146"/>
      <c r="G1629" s="1"/>
      <c r="H1629" s="161"/>
      <c r="I1629" s="37"/>
      <c r="J1629" s="135"/>
      <c r="K1629" s="112"/>
      <c r="L1629" s="37"/>
      <c r="M1629" s="37"/>
      <c r="N1629" s="37"/>
      <c r="O1629" s="130"/>
      <c r="P1629" s="132"/>
      <c r="Q1629" s="262"/>
      <c r="R1629" s="92"/>
    </row>
    <row r="1630" spans="3:18" x14ac:dyDescent="0.25">
      <c r="C1630" s="264"/>
      <c r="D1630" s="157"/>
      <c r="E1630" s="44"/>
      <c r="F1630" s="146"/>
      <c r="G1630" s="1"/>
      <c r="H1630" s="161"/>
      <c r="I1630" s="37"/>
      <c r="J1630" s="135"/>
      <c r="K1630" s="112"/>
      <c r="L1630" s="37"/>
      <c r="M1630" s="37"/>
      <c r="N1630" s="37"/>
      <c r="O1630" s="130"/>
      <c r="P1630" s="132"/>
      <c r="Q1630" s="262"/>
      <c r="R1630" s="92"/>
    </row>
    <row r="1631" spans="3:18" x14ac:dyDescent="0.25">
      <c r="C1631" s="264"/>
      <c r="D1631" s="157"/>
      <c r="E1631" s="44"/>
      <c r="F1631" s="146"/>
      <c r="G1631" s="1"/>
      <c r="H1631" s="161"/>
      <c r="I1631" s="37"/>
      <c r="J1631" s="135"/>
      <c r="K1631" s="112"/>
      <c r="L1631" s="37"/>
      <c r="M1631" s="37"/>
      <c r="N1631" s="37"/>
      <c r="O1631" s="130"/>
      <c r="P1631" s="132"/>
      <c r="Q1631" s="262"/>
      <c r="R1631" s="92"/>
    </row>
    <row r="1632" spans="3:18" x14ac:dyDescent="0.25">
      <c r="C1632" s="264"/>
      <c r="D1632" s="157"/>
      <c r="E1632" s="44"/>
      <c r="F1632" s="146"/>
      <c r="G1632" s="1"/>
      <c r="H1632" s="161"/>
      <c r="I1632" s="37"/>
      <c r="J1632" s="135"/>
      <c r="K1632" s="112"/>
      <c r="L1632" s="37"/>
      <c r="M1632" s="37"/>
      <c r="N1632" s="37"/>
      <c r="O1632" s="130"/>
      <c r="P1632" s="132"/>
      <c r="Q1632" s="262"/>
      <c r="R1632" s="92"/>
    </row>
    <row r="1633" spans="3:18" x14ac:dyDescent="0.25">
      <c r="C1633" s="264"/>
      <c r="D1633" s="157"/>
      <c r="E1633" s="44"/>
      <c r="F1633" s="146"/>
      <c r="G1633" s="1"/>
      <c r="H1633" s="161"/>
      <c r="I1633" s="37"/>
      <c r="J1633" s="135"/>
      <c r="K1633" s="112"/>
      <c r="L1633" s="37"/>
      <c r="M1633" s="37"/>
      <c r="N1633" s="37"/>
      <c r="O1633" s="130"/>
      <c r="P1633" s="132"/>
      <c r="Q1633" s="262"/>
      <c r="R1633" s="92"/>
    </row>
    <row r="1634" spans="3:18" x14ac:dyDescent="0.25">
      <c r="C1634" s="264"/>
      <c r="D1634" s="157"/>
      <c r="E1634" s="44"/>
      <c r="F1634" s="146"/>
      <c r="G1634" s="1"/>
      <c r="H1634" s="161"/>
      <c r="I1634" s="37"/>
      <c r="J1634" s="135"/>
      <c r="K1634" s="112"/>
      <c r="L1634" s="37"/>
      <c r="M1634" s="37"/>
      <c r="N1634" s="37"/>
      <c r="O1634" s="130"/>
      <c r="P1634" s="132"/>
      <c r="Q1634" s="262"/>
      <c r="R1634" s="92"/>
    </row>
    <row r="1635" spans="3:18" x14ac:dyDescent="0.25">
      <c r="C1635" s="264"/>
      <c r="D1635" s="157"/>
      <c r="E1635" s="44"/>
      <c r="F1635" s="146"/>
      <c r="G1635" s="1"/>
      <c r="H1635" s="161"/>
      <c r="I1635" s="37"/>
      <c r="J1635" s="135"/>
      <c r="K1635" s="112"/>
      <c r="L1635" s="37"/>
      <c r="M1635" s="37"/>
      <c r="N1635" s="37"/>
      <c r="O1635" s="130"/>
      <c r="P1635" s="132"/>
      <c r="Q1635" s="262"/>
      <c r="R1635" s="92"/>
    </row>
    <row r="1636" spans="3:18" x14ac:dyDescent="0.25">
      <c r="C1636" s="264"/>
      <c r="D1636" s="157"/>
      <c r="E1636" s="44"/>
      <c r="F1636" s="146"/>
      <c r="G1636" s="1"/>
      <c r="H1636" s="161"/>
      <c r="I1636" s="37"/>
      <c r="J1636" s="135"/>
      <c r="K1636" s="112"/>
      <c r="L1636" s="37"/>
      <c r="M1636" s="37"/>
      <c r="N1636" s="37"/>
      <c r="O1636" s="130"/>
      <c r="P1636" s="132"/>
      <c r="Q1636" s="262"/>
      <c r="R1636" s="92"/>
    </row>
    <row r="1637" spans="3:18" x14ac:dyDescent="0.25">
      <c r="C1637" s="264"/>
      <c r="D1637" s="157"/>
      <c r="E1637" s="44"/>
      <c r="F1637" s="146"/>
      <c r="G1637" s="1"/>
      <c r="H1637" s="161"/>
      <c r="I1637" s="37"/>
      <c r="J1637" s="135"/>
      <c r="K1637" s="112"/>
      <c r="L1637" s="37"/>
      <c r="M1637" s="37"/>
      <c r="N1637" s="37"/>
      <c r="O1637" s="130"/>
      <c r="P1637" s="132"/>
      <c r="Q1637" s="262"/>
      <c r="R1637" s="92"/>
    </row>
    <row r="1638" spans="3:18" x14ac:dyDescent="0.25">
      <c r="C1638" s="264"/>
      <c r="D1638" s="157"/>
      <c r="E1638" s="44"/>
      <c r="F1638" s="146"/>
      <c r="G1638" s="1"/>
      <c r="H1638" s="161"/>
      <c r="I1638" s="37"/>
      <c r="J1638" s="135"/>
      <c r="K1638" s="112"/>
      <c r="L1638" s="37"/>
      <c r="M1638" s="37"/>
      <c r="N1638" s="37"/>
      <c r="O1638" s="130"/>
      <c r="P1638" s="132"/>
      <c r="Q1638" s="262"/>
      <c r="R1638" s="92"/>
    </row>
    <row r="1639" spans="3:18" x14ac:dyDescent="0.25">
      <c r="C1639" s="264"/>
      <c r="D1639" s="157"/>
      <c r="E1639" s="44"/>
      <c r="F1639" s="146"/>
      <c r="G1639" s="1"/>
      <c r="H1639" s="161"/>
      <c r="I1639" s="37"/>
      <c r="J1639" s="135"/>
      <c r="K1639" s="112"/>
      <c r="L1639" s="37"/>
      <c r="M1639" s="37"/>
      <c r="N1639" s="37"/>
      <c r="O1639" s="130"/>
      <c r="P1639" s="132"/>
      <c r="Q1639" s="262"/>
      <c r="R1639" s="92"/>
    </row>
    <row r="1640" spans="3:18" x14ac:dyDescent="0.25">
      <c r="C1640" s="264"/>
      <c r="D1640" s="157"/>
      <c r="E1640" s="44"/>
      <c r="F1640" s="146"/>
      <c r="G1640" s="1"/>
      <c r="H1640" s="161"/>
      <c r="I1640" s="37"/>
      <c r="J1640" s="135"/>
      <c r="K1640" s="112"/>
      <c r="L1640" s="37"/>
      <c r="M1640" s="37"/>
      <c r="N1640" s="37"/>
      <c r="O1640" s="130"/>
      <c r="P1640" s="132"/>
      <c r="Q1640" s="262"/>
      <c r="R1640" s="92"/>
    </row>
    <row r="1641" spans="3:18" x14ac:dyDescent="0.25">
      <c r="C1641" s="264"/>
      <c r="D1641" s="157"/>
      <c r="E1641" s="44"/>
      <c r="F1641" s="146"/>
      <c r="G1641" s="1"/>
      <c r="H1641" s="161"/>
      <c r="I1641" s="37"/>
      <c r="J1641" s="135"/>
      <c r="K1641" s="112"/>
      <c r="L1641" s="37"/>
      <c r="M1641" s="37"/>
      <c r="N1641" s="37"/>
      <c r="O1641" s="130"/>
      <c r="P1641" s="132"/>
      <c r="Q1641" s="262"/>
      <c r="R1641" s="92"/>
    </row>
    <row r="1642" spans="3:18" x14ac:dyDescent="0.25">
      <c r="C1642" s="264"/>
      <c r="D1642" s="157"/>
      <c r="E1642" s="44"/>
      <c r="F1642" s="146"/>
      <c r="G1642" s="1"/>
      <c r="H1642" s="161"/>
      <c r="I1642" s="37"/>
      <c r="J1642" s="135"/>
      <c r="K1642" s="112"/>
      <c r="L1642" s="37"/>
      <c r="M1642" s="37"/>
      <c r="N1642" s="37"/>
      <c r="O1642" s="130"/>
      <c r="P1642" s="132"/>
      <c r="Q1642" s="262"/>
      <c r="R1642" s="92"/>
    </row>
    <row r="1643" spans="3:18" x14ac:dyDescent="0.25">
      <c r="C1643" s="264"/>
      <c r="D1643" s="157"/>
      <c r="E1643" s="44"/>
      <c r="F1643" s="146"/>
      <c r="G1643" s="1"/>
      <c r="H1643" s="161"/>
      <c r="I1643" s="37"/>
      <c r="J1643" s="135"/>
      <c r="K1643" s="112"/>
      <c r="L1643" s="37"/>
      <c r="M1643" s="37"/>
      <c r="N1643" s="37"/>
      <c r="O1643" s="130"/>
      <c r="P1643" s="132"/>
      <c r="Q1643" s="262"/>
      <c r="R1643" s="92"/>
    </row>
    <row r="1644" spans="3:18" x14ac:dyDescent="0.25">
      <c r="C1644" s="264"/>
      <c r="D1644" s="157"/>
      <c r="E1644" s="44"/>
      <c r="F1644" s="146"/>
      <c r="G1644" s="1"/>
      <c r="H1644" s="161"/>
      <c r="I1644" s="37"/>
      <c r="J1644" s="135"/>
      <c r="K1644" s="112"/>
      <c r="L1644" s="37"/>
      <c r="M1644" s="37"/>
      <c r="N1644" s="37"/>
      <c r="O1644" s="130"/>
      <c r="P1644" s="132"/>
      <c r="Q1644" s="262"/>
      <c r="R1644" s="92"/>
    </row>
    <row r="1645" spans="3:18" x14ac:dyDescent="0.25">
      <c r="C1645" s="264"/>
      <c r="D1645" s="157"/>
      <c r="E1645" s="44"/>
      <c r="F1645" s="146"/>
      <c r="G1645" s="1"/>
      <c r="H1645" s="161"/>
      <c r="I1645" s="37"/>
      <c r="J1645" s="135"/>
      <c r="K1645" s="112"/>
      <c r="L1645" s="37"/>
      <c r="M1645" s="37"/>
      <c r="N1645" s="37"/>
      <c r="O1645" s="130"/>
      <c r="P1645" s="132"/>
      <c r="Q1645" s="262"/>
      <c r="R1645" s="92"/>
    </row>
    <row r="1646" spans="3:18" x14ac:dyDescent="0.25">
      <c r="C1646" s="264"/>
      <c r="D1646" s="157"/>
      <c r="E1646" s="44"/>
      <c r="F1646" s="146"/>
      <c r="G1646" s="1"/>
      <c r="H1646" s="161"/>
      <c r="I1646" s="37"/>
      <c r="J1646" s="135"/>
      <c r="K1646" s="112"/>
      <c r="L1646" s="37"/>
      <c r="M1646" s="37"/>
      <c r="N1646" s="37"/>
      <c r="O1646" s="130"/>
      <c r="P1646" s="132"/>
      <c r="Q1646" s="262"/>
      <c r="R1646" s="92"/>
    </row>
    <row r="1647" spans="3:18" x14ac:dyDescent="0.25">
      <c r="C1647" s="264"/>
      <c r="D1647" s="157"/>
      <c r="E1647" s="44"/>
      <c r="F1647" s="146"/>
      <c r="G1647" s="1"/>
      <c r="H1647" s="161"/>
      <c r="I1647" s="37"/>
      <c r="J1647" s="135"/>
      <c r="K1647" s="112"/>
      <c r="L1647" s="37"/>
      <c r="M1647" s="37"/>
      <c r="N1647" s="37"/>
      <c r="O1647" s="130"/>
      <c r="P1647" s="132"/>
      <c r="Q1647" s="262"/>
      <c r="R1647" s="92"/>
    </row>
    <row r="1648" spans="3:18" x14ac:dyDescent="0.25">
      <c r="C1648" s="264"/>
      <c r="D1648" s="157"/>
      <c r="E1648" s="44"/>
      <c r="F1648" s="146"/>
      <c r="G1648" s="1"/>
      <c r="H1648" s="161"/>
      <c r="I1648" s="37"/>
      <c r="J1648" s="135"/>
      <c r="K1648" s="112"/>
      <c r="L1648" s="37"/>
      <c r="M1648" s="37"/>
      <c r="N1648" s="37"/>
      <c r="O1648" s="130"/>
      <c r="P1648" s="132"/>
      <c r="Q1648" s="262"/>
      <c r="R1648" s="92"/>
    </row>
    <row r="1649" spans="3:18" x14ac:dyDescent="0.25">
      <c r="C1649" s="264"/>
      <c r="D1649" s="157"/>
      <c r="E1649" s="44"/>
      <c r="F1649" s="146"/>
      <c r="G1649" s="1"/>
      <c r="H1649" s="161"/>
      <c r="I1649" s="37"/>
      <c r="J1649" s="135"/>
      <c r="K1649" s="112"/>
      <c r="L1649" s="37"/>
      <c r="M1649" s="37"/>
      <c r="N1649" s="37"/>
      <c r="O1649" s="130"/>
      <c r="P1649" s="132"/>
      <c r="Q1649" s="262"/>
      <c r="R1649" s="92"/>
    </row>
    <row r="1650" spans="3:18" x14ac:dyDescent="0.25">
      <c r="C1650" s="264"/>
      <c r="D1650" s="157"/>
      <c r="E1650" s="44"/>
      <c r="F1650" s="146"/>
      <c r="G1650" s="1"/>
      <c r="H1650" s="161"/>
      <c r="I1650" s="37"/>
      <c r="J1650" s="135"/>
      <c r="K1650" s="112"/>
      <c r="L1650" s="37"/>
      <c r="M1650" s="37"/>
      <c r="N1650" s="37"/>
      <c r="O1650" s="130"/>
      <c r="P1650" s="132"/>
      <c r="Q1650" s="262"/>
      <c r="R1650" s="92"/>
    </row>
    <row r="1651" spans="3:18" x14ac:dyDescent="0.25">
      <c r="C1651" s="264"/>
      <c r="D1651" s="157"/>
      <c r="E1651" s="44"/>
      <c r="F1651" s="146"/>
      <c r="G1651" s="1"/>
      <c r="H1651" s="161"/>
      <c r="I1651" s="37"/>
      <c r="J1651" s="135"/>
      <c r="K1651" s="112"/>
      <c r="L1651" s="37"/>
      <c r="M1651" s="37"/>
      <c r="N1651" s="37"/>
      <c r="O1651" s="130"/>
      <c r="P1651" s="132"/>
      <c r="Q1651" s="262"/>
      <c r="R1651" s="92"/>
    </row>
    <row r="1652" spans="3:18" x14ac:dyDescent="0.25">
      <c r="C1652" s="264"/>
      <c r="D1652" s="157"/>
      <c r="E1652" s="44"/>
      <c r="F1652" s="146"/>
      <c r="G1652" s="1"/>
      <c r="H1652" s="161"/>
      <c r="I1652" s="37"/>
      <c r="J1652" s="135"/>
      <c r="K1652" s="112"/>
      <c r="L1652" s="37"/>
      <c r="M1652" s="37"/>
      <c r="N1652" s="37"/>
      <c r="O1652" s="130"/>
      <c r="P1652" s="132"/>
      <c r="Q1652" s="262"/>
      <c r="R1652" s="92"/>
    </row>
    <row r="1653" spans="3:18" x14ac:dyDescent="0.25">
      <c r="C1653" s="264"/>
      <c r="D1653" s="157"/>
      <c r="E1653" s="44"/>
      <c r="F1653" s="146"/>
      <c r="G1653" s="1"/>
      <c r="H1653" s="161"/>
      <c r="I1653" s="37"/>
      <c r="J1653" s="135"/>
      <c r="K1653" s="112"/>
      <c r="L1653" s="37"/>
      <c r="M1653" s="37"/>
      <c r="N1653" s="37"/>
      <c r="O1653" s="130"/>
      <c r="P1653" s="132"/>
      <c r="Q1653" s="262"/>
      <c r="R1653" s="92"/>
    </row>
    <row r="1654" spans="3:18" x14ac:dyDescent="0.25">
      <c r="C1654" s="264"/>
      <c r="D1654" s="157"/>
      <c r="E1654" s="44"/>
      <c r="F1654" s="146"/>
      <c r="G1654" s="1"/>
      <c r="H1654" s="161"/>
      <c r="I1654" s="37"/>
      <c r="J1654" s="135"/>
      <c r="K1654" s="112"/>
      <c r="L1654" s="37"/>
      <c r="M1654" s="37"/>
      <c r="N1654" s="37"/>
      <c r="O1654" s="130"/>
      <c r="P1654" s="132"/>
      <c r="Q1654" s="262"/>
      <c r="R1654" s="92"/>
    </row>
    <row r="1655" spans="3:18" x14ac:dyDescent="0.25">
      <c r="C1655" s="264"/>
      <c r="D1655" s="157"/>
      <c r="E1655" s="44"/>
      <c r="F1655" s="146"/>
      <c r="G1655" s="1"/>
      <c r="H1655" s="161"/>
      <c r="I1655" s="37"/>
      <c r="J1655" s="135"/>
      <c r="K1655" s="112"/>
      <c r="L1655" s="37"/>
      <c r="M1655" s="37"/>
      <c r="N1655" s="37"/>
      <c r="O1655" s="130"/>
      <c r="P1655" s="132"/>
      <c r="Q1655" s="262"/>
      <c r="R1655" s="92"/>
    </row>
    <row r="1656" spans="3:18" x14ac:dyDescent="0.25">
      <c r="C1656" s="264"/>
      <c r="D1656" s="157"/>
      <c r="E1656" s="44"/>
      <c r="F1656" s="146"/>
      <c r="G1656" s="1"/>
      <c r="H1656" s="161"/>
      <c r="I1656" s="37"/>
      <c r="J1656" s="135"/>
      <c r="K1656" s="112"/>
      <c r="L1656" s="37"/>
      <c r="M1656" s="37"/>
      <c r="N1656" s="37"/>
      <c r="O1656" s="130"/>
      <c r="P1656" s="132"/>
      <c r="Q1656" s="262"/>
      <c r="R1656" s="92"/>
    </row>
    <row r="1657" spans="3:18" x14ac:dyDescent="0.25">
      <c r="C1657" s="264"/>
      <c r="D1657" s="157"/>
      <c r="E1657" s="44"/>
      <c r="F1657" s="146"/>
      <c r="G1657" s="1"/>
      <c r="H1657" s="161"/>
      <c r="I1657" s="37"/>
      <c r="J1657" s="135"/>
      <c r="K1657" s="112"/>
      <c r="L1657" s="37"/>
      <c r="M1657" s="37"/>
      <c r="N1657" s="37"/>
      <c r="O1657" s="130"/>
      <c r="P1657" s="132"/>
      <c r="Q1657" s="262"/>
      <c r="R1657" s="92"/>
    </row>
    <row r="1658" spans="3:18" x14ac:dyDescent="0.25">
      <c r="C1658" s="264"/>
      <c r="D1658" s="157"/>
      <c r="E1658" s="44"/>
      <c r="F1658" s="146"/>
      <c r="G1658" s="1"/>
      <c r="H1658" s="161"/>
      <c r="I1658" s="37"/>
      <c r="J1658" s="135"/>
      <c r="K1658" s="112"/>
      <c r="L1658" s="37"/>
      <c r="M1658" s="37"/>
      <c r="N1658" s="37"/>
      <c r="O1658" s="130"/>
      <c r="P1658" s="132"/>
      <c r="Q1658" s="262"/>
      <c r="R1658" s="92"/>
    </row>
    <row r="1659" spans="3:18" x14ac:dyDescent="0.25">
      <c r="C1659" s="264"/>
      <c r="D1659" s="157"/>
      <c r="E1659" s="44"/>
      <c r="F1659" s="146"/>
      <c r="G1659" s="1"/>
      <c r="H1659" s="161"/>
      <c r="I1659" s="37"/>
      <c r="J1659" s="135"/>
      <c r="K1659" s="112"/>
      <c r="L1659" s="37"/>
      <c r="M1659" s="37"/>
      <c r="N1659" s="37"/>
      <c r="O1659" s="130"/>
      <c r="P1659" s="132"/>
      <c r="Q1659" s="262"/>
      <c r="R1659" s="92"/>
    </row>
    <row r="1660" spans="3:18" x14ac:dyDescent="0.25">
      <c r="C1660" s="264"/>
      <c r="D1660" s="157"/>
      <c r="E1660" s="44"/>
      <c r="F1660" s="146"/>
      <c r="G1660" s="1"/>
      <c r="H1660" s="161"/>
      <c r="I1660" s="37"/>
      <c r="J1660" s="135"/>
      <c r="K1660" s="112"/>
      <c r="L1660" s="37"/>
      <c r="M1660" s="37"/>
      <c r="N1660" s="37"/>
      <c r="O1660" s="130"/>
      <c r="P1660" s="132"/>
      <c r="Q1660" s="262"/>
      <c r="R1660" s="92"/>
    </row>
    <row r="1661" spans="3:18" x14ac:dyDescent="0.25">
      <c r="C1661" s="264"/>
      <c r="D1661" s="157"/>
      <c r="E1661" s="44"/>
      <c r="F1661" s="146"/>
      <c r="G1661" s="1"/>
      <c r="H1661" s="161"/>
      <c r="I1661" s="37"/>
      <c r="J1661" s="135"/>
      <c r="K1661" s="112"/>
      <c r="L1661" s="37"/>
      <c r="M1661" s="37"/>
      <c r="N1661" s="37"/>
      <c r="O1661" s="130"/>
      <c r="P1661" s="132"/>
      <c r="Q1661" s="262"/>
      <c r="R1661" s="92"/>
    </row>
    <row r="1662" spans="3:18" x14ac:dyDescent="0.25">
      <c r="C1662" s="264"/>
      <c r="D1662" s="157"/>
      <c r="E1662" s="44"/>
      <c r="F1662" s="146"/>
      <c r="G1662" s="1"/>
      <c r="H1662" s="161"/>
      <c r="I1662" s="37"/>
      <c r="J1662" s="135"/>
      <c r="K1662" s="112"/>
      <c r="L1662" s="37"/>
      <c r="M1662" s="37"/>
      <c r="N1662" s="37"/>
      <c r="O1662" s="130"/>
      <c r="P1662" s="132"/>
      <c r="Q1662" s="262"/>
      <c r="R1662" s="92"/>
    </row>
    <row r="1663" spans="3:18" x14ac:dyDescent="0.25">
      <c r="C1663" s="264"/>
      <c r="D1663" s="157"/>
      <c r="E1663" s="44"/>
      <c r="F1663" s="146"/>
      <c r="G1663" s="1"/>
      <c r="H1663" s="161"/>
      <c r="I1663" s="37"/>
      <c r="J1663" s="135"/>
      <c r="K1663" s="112"/>
      <c r="L1663" s="37"/>
      <c r="M1663" s="37"/>
      <c r="N1663" s="37"/>
      <c r="O1663" s="130"/>
      <c r="P1663" s="132"/>
      <c r="Q1663" s="262"/>
      <c r="R1663" s="92"/>
    </row>
    <row r="1664" spans="3:18" x14ac:dyDescent="0.25">
      <c r="C1664" s="264"/>
      <c r="D1664" s="157"/>
      <c r="E1664" s="44"/>
      <c r="F1664" s="146"/>
      <c r="G1664" s="1"/>
      <c r="H1664" s="161"/>
      <c r="I1664" s="37"/>
      <c r="J1664" s="135"/>
      <c r="K1664" s="112"/>
      <c r="L1664" s="37"/>
      <c r="M1664" s="37"/>
      <c r="N1664" s="37"/>
      <c r="O1664" s="130"/>
      <c r="P1664" s="132"/>
      <c r="Q1664" s="262"/>
      <c r="R1664" s="92"/>
    </row>
    <row r="1665" spans="3:18" x14ac:dyDescent="0.25">
      <c r="C1665" s="264"/>
      <c r="D1665" s="157"/>
      <c r="E1665" s="44"/>
      <c r="F1665" s="146"/>
      <c r="G1665" s="1"/>
      <c r="H1665" s="161"/>
      <c r="I1665" s="37"/>
      <c r="J1665" s="135"/>
      <c r="K1665" s="112"/>
      <c r="L1665" s="37"/>
      <c r="M1665" s="37"/>
      <c r="N1665" s="37"/>
      <c r="O1665" s="130"/>
      <c r="P1665" s="132"/>
      <c r="Q1665" s="262"/>
      <c r="R1665" s="92"/>
    </row>
    <row r="1666" spans="3:18" x14ac:dyDescent="0.25">
      <c r="C1666" s="264"/>
      <c r="D1666" s="157"/>
      <c r="E1666" s="44"/>
      <c r="F1666" s="146"/>
      <c r="G1666" s="1"/>
      <c r="H1666" s="161"/>
      <c r="I1666" s="37"/>
      <c r="J1666" s="135"/>
      <c r="K1666" s="112"/>
      <c r="L1666" s="37"/>
      <c r="M1666" s="37"/>
      <c r="N1666" s="37"/>
      <c r="O1666" s="130"/>
      <c r="P1666" s="132"/>
      <c r="Q1666" s="262"/>
      <c r="R1666" s="92"/>
    </row>
    <row r="1667" spans="3:18" x14ac:dyDescent="0.25">
      <c r="C1667" s="264"/>
      <c r="D1667" s="157"/>
      <c r="E1667" s="44"/>
      <c r="F1667" s="146"/>
      <c r="G1667" s="1"/>
      <c r="H1667" s="161"/>
      <c r="I1667" s="37"/>
      <c r="J1667" s="135"/>
      <c r="K1667" s="112"/>
      <c r="L1667" s="37"/>
      <c r="M1667" s="37"/>
      <c r="N1667" s="37"/>
      <c r="O1667" s="130"/>
      <c r="P1667" s="132"/>
      <c r="Q1667" s="262"/>
      <c r="R1667" s="92"/>
    </row>
    <row r="1668" spans="3:18" x14ac:dyDescent="0.25">
      <c r="C1668" s="264"/>
      <c r="D1668" s="157"/>
      <c r="E1668" s="44"/>
      <c r="F1668" s="146"/>
      <c r="G1668" s="1"/>
      <c r="H1668" s="161"/>
      <c r="I1668" s="37"/>
      <c r="J1668" s="135"/>
      <c r="K1668" s="112"/>
      <c r="L1668" s="37"/>
      <c r="M1668" s="37"/>
      <c r="N1668" s="37"/>
      <c r="O1668" s="130"/>
      <c r="P1668" s="132"/>
      <c r="Q1668" s="262"/>
      <c r="R1668" s="92"/>
    </row>
    <row r="1669" spans="3:18" x14ac:dyDescent="0.25">
      <c r="C1669" s="264"/>
      <c r="D1669" s="157"/>
      <c r="E1669" s="44"/>
      <c r="F1669" s="146"/>
      <c r="G1669" s="1"/>
      <c r="H1669" s="161"/>
      <c r="I1669" s="37"/>
      <c r="J1669" s="135"/>
      <c r="K1669" s="112"/>
      <c r="L1669" s="37"/>
      <c r="M1669" s="37"/>
      <c r="N1669" s="37"/>
      <c r="O1669" s="130"/>
      <c r="P1669" s="132"/>
      <c r="Q1669" s="262"/>
      <c r="R1669" s="92"/>
    </row>
    <row r="1670" spans="3:18" x14ac:dyDescent="0.25">
      <c r="C1670" s="264"/>
      <c r="D1670" s="157"/>
      <c r="E1670" s="44"/>
      <c r="F1670" s="146"/>
      <c r="G1670" s="1"/>
      <c r="H1670" s="161"/>
      <c r="I1670" s="37"/>
      <c r="J1670" s="135"/>
      <c r="K1670" s="112"/>
      <c r="L1670" s="37"/>
      <c r="M1670" s="37"/>
      <c r="N1670" s="37"/>
      <c r="O1670" s="130"/>
      <c r="P1670" s="132"/>
      <c r="Q1670" s="262"/>
      <c r="R1670" s="92"/>
    </row>
    <row r="1671" spans="3:18" x14ac:dyDescent="0.25">
      <c r="C1671" s="264"/>
      <c r="D1671" s="157"/>
      <c r="E1671" s="44"/>
      <c r="F1671" s="146"/>
      <c r="G1671" s="1"/>
      <c r="H1671" s="161"/>
      <c r="I1671" s="37"/>
      <c r="J1671" s="135"/>
      <c r="K1671" s="112"/>
      <c r="L1671" s="37"/>
      <c r="M1671" s="37"/>
      <c r="N1671" s="37"/>
      <c r="O1671" s="130"/>
      <c r="P1671" s="132"/>
      <c r="Q1671" s="262"/>
      <c r="R1671" s="92"/>
    </row>
    <row r="1672" spans="3:18" x14ac:dyDescent="0.25">
      <c r="C1672" s="264"/>
      <c r="D1672" s="157"/>
      <c r="E1672" s="44"/>
      <c r="F1672" s="146"/>
      <c r="G1672" s="1"/>
      <c r="H1672" s="161"/>
      <c r="I1672" s="37"/>
      <c r="J1672" s="135"/>
      <c r="K1672" s="112"/>
      <c r="L1672" s="37"/>
      <c r="M1672" s="37"/>
      <c r="N1672" s="37"/>
      <c r="O1672" s="130"/>
      <c r="P1672" s="132"/>
      <c r="Q1672" s="262"/>
      <c r="R1672" s="92"/>
    </row>
    <row r="1673" spans="3:18" x14ac:dyDescent="0.25">
      <c r="C1673" s="264"/>
      <c r="D1673" s="157"/>
      <c r="E1673" s="44"/>
      <c r="F1673" s="146"/>
      <c r="G1673" s="1"/>
      <c r="H1673" s="161"/>
      <c r="I1673" s="37"/>
      <c r="J1673" s="135"/>
      <c r="K1673" s="112"/>
      <c r="L1673" s="37"/>
      <c r="M1673" s="37"/>
      <c r="N1673" s="37"/>
      <c r="O1673" s="130"/>
      <c r="P1673" s="132"/>
      <c r="Q1673" s="262"/>
      <c r="R1673" s="92"/>
    </row>
    <row r="1674" spans="3:18" x14ac:dyDescent="0.25">
      <c r="C1674" s="264"/>
      <c r="D1674" s="157"/>
      <c r="E1674" s="44"/>
      <c r="F1674" s="146"/>
      <c r="G1674" s="1"/>
      <c r="H1674" s="161"/>
      <c r="I1674" s="37"/>
      <c r="J1674" s="135"/>
      <c r="K1674" s="112"/>
      <c r="L1674" s="37"/>
      <c r="M1674" s="37"/>
      <c r="N1674" s="37"/>
      <c r="O1674" s="130"/>
      <c r="P1674" s="132"/>
      <c r="Q1674" s="262"/>
      <c r="R1674" s="92"/>
    </row>
    <row r="1675" spans="3:18" x14ac:dyDescent="0.25">
      <c r="C1675" s="264"/>
      <c r="D1675" s="157"/>
      <c r="E1675" s="44"/>
      <c r="F1675" s="146"/>
      <c r="G1675" s="1"/>
      <c r="H1675" s="161"/>
      <c r="I1675" s="37"/>
      <c r="J1675" s="135"/>
      <c r="K1675" s="112"/>
      <c r="L1675" s="37"/>
      <c r="M1675" s="37"/>
      <c r="N1675" s="37"/>
      <c r="O1675" s="130"/>
      <c r="P1675" s="132"/>
      <c r="Q1675" s="262"/>
      <c r="R1675" s="92"/>
    </row>
    <row r="1676" spans="3:18" x14ac:dyDescent="0.25">
      <c r="C1676" s="264"/>
      <c r="D1676" s="157"/>
      <c r="E1676" s="44"/>
      <c r="F1676" s="146"/>
      <c r="G1676" s="1"/>
      <c r="H1676" s="161"/>
      <c r="I1676" s="37"/>
      <c r="J1676" s="135"/>
      <c r="K1676" s="112"/>
      <c r="L1676" s="37"/>
      <c r="M1676" s="37"/>
      <c r="N1676" s="37"/>
      <c r="O1676" s="130"/>
      <c r="P1676" s="132"/>
      <c r="Q1676" s="262"/>
      <c r="R1676" s="92"/>
    </row>
    <row r="1677" spans="3:18" x14ac:dyDescent="0.25">
      <c r="C1677" s="264"/>
      <c r="D1677" s="157"/>
      <c r="E1677" s="44"/>
      <c r="F1677" s="146"/>
      <c r="G1677" s="1"/>
      <c r="H1677" s="161"/>
      <c r="I1677" s="37"/>
      <c r="J1677" s="135"/>
      <c r="K1677" s="112"/>
      <c r="L1677" s="37"/>
      <c r="M1677" s="37"/>
      <c r="N1677" s="37"/>
      <c r="O1677" s="130"/>
      <c r="P1677" s="132"/>
      <c r="Q1677" s="262"/>
      <c r="R1677" s="92"/>
    </row>
    <row r="1678" spans="3:18" x14ac:dyDescent="0.25">
      <c r="C1678" s="264"/>
      <c r="D1678" s="157"/>
      <c r="E1678" s="44"/>
      <c r="F1678" s="146"/>
      <c r="G1678" s="1"/>
      <c r="H1678" s="161"/>
      <c r="I1678" s="37"/>
      <c r="J1678" s="135"/>
      <c r="K1678" s="112"/>
      <c r="L1678" s="37"/>
      <c r="M1678" s="37"/>
      <c r="N1678" s="37"/>
      <c r="O1678" s="130"/>
      <c r="P1678" s="132"/>
      <c r="Q1678" s="262"/>
      <c r="R1678" s="92"/>
    </row>
    <row r="1679" spans="3:18" x14ac:dyDescent="0.25">
      <c r="C1679" s="264"/>
      <c r="D1679" s="157"/>
      <c r="E1679" s="44"/>
      <c r="F1679" s="146"/>
      <c r="G1679" s="1"/>
      <c r="H1679" s="161"/>
      <c r="I1679" s="37"/>
      <c r="J1679" s="135"/>
      <c r="K1679" s="112"/>
      <c r="L1679" s="37"/>
      <c r="M1679" s="37"/>
      <c r="N1679" s="37"/>
      <c r="O1679" s="130"/>
      <c r="P1679" s="132"/>
      <c r="Q1679" s="262"/>
      <c r="R1679" s="92"/>
    </row>
    <row r="1680" spans="3:18" x14ac:dyDescent="0.25">
      <c r="C1680" s="264"/>
      <c r="D1680" s="157"/>
      <c r="E1680" s="44"/>
      <c r="F1680" s="146"/>
      <c r="G1680" s="1"/>
      <c r="H1680" s="161"/>
      <c r="I1680" s="37"/>
      <c r="J1680" s="135"/>
      <c r="K1680" s="112"/>
      <c r="L1680" s="37"/>
      <c r="M1680" s="37"/>
      <c r="N1680" s="37"/>
      <c r="O1680" s="130"/>
      <c r="P1680" s="132"/>
      <c r="Q1680" s="262"/>
      <c r="R1680" s="92"/>
    </row>
    <row r="1681" spans="3:18" x14ac:dyDescent="0.25">
      <c r="C1681" s="264"/>
      <c r="D1681" s="157"/>
      <c r="E1681" s="44"/>
      <c r="F1681" s="146"/>
      <c r="G1681" s="1"/>
      <c r="H1681" s="161"/>
      <c r="I1681" s="37"/>
      <c r="J1681" s="135"/>
      <c r="K1681" s="112"/>
      <c r="L1681" s="37"/>
      <c r="M1681" s="37"/>
      <c r="N1681" s="37"/>
      <c r="O1681" s="130"/>
      <c r="P1681" s="132"/>
      <c r="Q1681" s="262"/>
      <c r="R1681" s="92"/>
    </row>
    <row r="1682" spans="3:18" x14ac:dyDescent="0.25">
      <c r="C1682" s="264"/>
      <c r="D1682" s="157"/>
      <c r="E1682" s="44"/>
      <c r="F1682" s="146"/>
      <c r="G1682" s="1"/>
      <c r="H1682" s="161"/>
      <c r="I1682" s="37"/>
      <c r="J1682" s="135"/>
      <c r="K1682" s="112"/>
      <c r="L1682" s="37"/>
      <c r="M1682" s="37"/>
      <c r="N1682" s="37"/>
      <c r="O1682" s="130"/>
      <c r="P1682" s="132"/>
      <c r="Q1682" s="262"/>
      <c r="R1682" s="92"/>
    </row>
    <row r="1683" spans="3:18" x14ac:dyDescent="0.25">
      <c r="C1683" s="264"/>
      <c r="D1683" s="157"/>
      <c r="E1683" s="44"/>
      <c r="F1683" s="146"/>
      <c r="G1683" s="1"/>
      <c r="H1683" s="161"/>
      <c r="I1683" s="37"/>
      <c r="J1683" s="135"/>
      <c r="K1683" s="112"/>
      <c r="L1683" s="37"/>
      <c r="M1683" s="37"/>
      <c r="N1683" s="37"/>
      <c r="O1683" s="130"/>
      <c r="P1683" s="132"/>
      <c r="Q1683" s="262"/>
      <c r="R1683" s="92"/>
    </row>
    <row r="1684" spans="3:18" x14ac:dyDescent="0.25">
      <c r="C1684" s="264"/>
      <c r="D1684" s="157"/>
      <c r="E1684" s="44"/>
      <c r="F1684" s="146"/>
      <c r="G1684" s="1"/>
      <c r="H1684" s="161"/>
      <c r="I1684" s="37"/>
      <c r="J1684" s="135"/>
      <c r="K1684" s="112"/>
      <c r="L1684" s="37"/>
      <c r="M1684" s="37"/>
      <c r="N1684" s="37"/>
      <c r="O1684" s="130"/>
      <c r="P1684" s="132"/>
      <c r="Q1684" s="262"/>
      <c r="R1684" s="92"/>
    </row>
    <row r="1685" spans="3:18" x14ac:dyDescent="0.25">
      <c r="C1685" s="264"/>
      <c r="D1685" s="157"/>
      <c r="E1685" s="44"/>
      <c r="F1685" s="146"/>
      <c r="G1685" s="1"/>
      <c r="H1685" s="161"/>
      <c r="I1685" s="37"/>
      <c r="J1685" s="135"/>
      <c r="K1685" s="112"/>
      <c r="L1685" s="37"/>
      <c r="M1685" s="37"/>
      <c r="N1685" s="37"/>
      <c r="O1685" s="130"/>
      <c r="P1685" s="132"/>
      <c r="Q1685" s="262"/>
      <c r="R1685" s="92"/>
    </row>
    <row r="1686" spans="3:18" x14ac:dyDescent="0.25">
      <c r="C1686" s="264"/>
      <c r="D1686" s="157"/>
      <c r="E1686" s="44"/>
      <c r="F1686" s="146"/>
      <c r="G1686" s="1"/>
      <c r="H1686" s="161"/>
      <c r="I1686" s="37"/>
      <c r="J1686" s="135"/>
      <c r="K1686" s="112"/>
      <c r="L1686" s="37"/>
      <c r="M1686" s="37"/>
      <c r="N1686" s="37"/>
      <c r="O1686" s="130"/>
      <c r="P1686" s="132"/>
      <c r="Q1686" s="262"/>
      <c r="R1686" s="92"/>
    </row>
    <row r="1687" spans="3:18" x14ac:dyDescent="0.25">
      <c r="C1687" s="264"/>
      <c r="D1687" s="157"/>
      <c r="E1687" s="44"/>
      <c r="F1687" s="146"/>
      <c r="G1687" s="1"/>
      <c r="H1687" s="161"/>
      <c r="I1687" s="37"/>
      <c r="J1687" s="135"/>
      <c r="K1687" s="112"/>
      <c r="L1687" s="37"/>
      <c r="M1687" s="37"/>
      <c r="N1687" s="37"/>
      <c r="O1687" s="130"/>
      <c r="P1687" s="132"/>
      <c r="Q1687" s="262"/>
      <c r="R1687" s="92"/>
    </row>
    <row r="1688" spans="3:18" x14ac:dyDescent="0.25">
      <c r="C1688" s="264"/>
      <c r="D1688" s="157"/>
      <c r="E1688" s="44"/>
      <c r="F1688" s="146"/>
      <c r="G1688" s="1"/>
      <c r="H1688" s="161"/>
      <c r="I1688" s="37"/>
      <c r="J1688" s="135"/>
      <c r="K1688" s="112"/>
      <c r="L1688" s="37"/>
      <c r="M1688" s="37"/>
      <c r="N1688" s="37"/>
      <c r="O1688" s="130"/>
      <c r="P1688" s="132"/>
      <c r="Q1688" s="262"/>
      <c r="R1688" s="92"/>
    </row>
    <row r="1689" spans="3:18" x14ac:dyDescent="0.25">
      <c r="C1689" s="264"/>
      <c r="D1689" s="157"/>
      <c r="E1689" s="44"/>
      <c r="F1689" s="146"/>
      <c r="G1689" s="1"/>
      <c r="H1689" s="161"/>
      <c r="I1689" s="37"/>
      <c r="J1689" s="135"/>
      <c r="K1689" s="112"/>
      <c r="L1689" s="37"/>
      <c r="M1689" s="37"/>
      <c r="N1689" s="37"/>
      <c r="O1689" s="130"/>
      <c r="P1689" s="132"/>
      <c r="Q1689" s="262"/>
      <c r="R1689" s="92"/>
    </row>
    <row r="1690" spans="3:18" x14ac:dyDescent="0.25">
      <c r="C1690" s="264"/>
      <c r="D1690" s="157"/>
      <c r="E1690" s="44"/>
      <c r="F1690" s="146"/>
      <c r="G1690" s="1"/>
      <c r="H1690" s="161"/>
      <c r="I1690" s="37"/>
      <c r="J1690" s="135"/>
      <c r="K1690" s="112"/>
      <c r="L1690" s="37"/>
      <c r="M1690" s="37"/>
      <c r="N1690" s="37"/>
      <c r="O1690" s="130"/>
      <c r="P1690" s="132"/>
      <c r="Q1690" s="262"/>
      <c r="R1690" s="92"/>
    </row>
    <row r="1691" spans="3:18" x14ac:dyDescent="0.25">
      <c r="C1691" s="264"/>
      <c r="D1691" s="157"/>
      <c r="E1691" s="44"/>
      <c r="F1691" s="146"/>
      <c r="G1691" s="1"/>
      <c r="H1691" s="161"/>
      <c r="I1691" s="37"/>
      <c r="J1691" s="135"/>
      <c r="K1691" s="112"/>
      <c r="L1691" s="37"/>
      <c r="M1691" s="37"/>
      <c r="N1691" s="37"/>
      <c r="O1691" s="130"/>
      <c r="P1691" s="132"/>
      <c r="Q1691" s="262"/>
      <c r="R1691" s="92"/>
    </row>
    <row r="1692" spans="3:18" x14ac:dyDescent="0.25">
      <c r="C1692" s="264"/>
      <c r="D1692" s="157"/>
      <c r="E1692" s="44"/>
      <c r="F1692" s="146"/>
      <c r="G1692" s="1"/>
      <c r="H1692" s="161"/>
      <c r="I1692" s="37"/>
      <c r="J1692" s="135"/>
      <c r="K1692" s="112"/>
      <c r="L1692" s="37"/>
      <c r="M1692" s="37"/>
      <c r="N1692" s="37"/>
      <c r="O1692" s="130"/>
      <c r="P1692" s="132"/>
      <c r="Q1692" s="262"/>
      <c r="R1692" s="92"/>
    </row>
    <row r="1693" spans="3:18" x14ac:dyDescent="0.25">
      <c r="C1693" s="264"/>
      <c r="D1693" s="157"/>
      <c r="E1693" s="44"/>
      <c r="F1693" s="146"/>
      <c r="G1693" s="1"/>
      <c r="H1693" s="161"/>
      <c r="I1693" s="37"/>
      <c r="J1693" s="135"/>
      <c r="K1693" s="112"/>
      <c r="L1693" s="37"/>
      <c r="M1693" s="37"/>
      <c r="N1693" s="37"/>
      <c r="O1693" s="130"/>
      <c r="P1693" s="132"/>
      <c r="Q1693" s="262"/>
      <c r="R1693" s="92"/>
    </row>
    <row r="1694" spans="3:18" x14ac:dyDescent="0.25">
      <c r="C1694" s="264"/>
      <c r="D1694" s="157"/>
      <c r="E1694" s="44"/>
      <c r="F1694" s="146"/>
      <c r="G1694" s="1"/>
      <c r="H1694" s="161"/>
      <c r="I1694" s="37"/>
      <c r="J1694" s="135"/>
      <c r="K1694" s="112"/>
      <c r="L1694" s="37"/>
      <c r="M1694" s="37"/>
      <c r="N1694" s="37"/>
      <c r="O1694" s="130"/>
      <c r="P1694" s="132"/>
      <c r="Q1694" s="262"/>
      <c r="R1694" s="92"/>
    </row>
    <row r="1695" spans="3:18" x14ac:dyDescent="0.25">
      <c r="C1695" s="264"/>
      <c r="D1695" s="157"/>
      <c r="E1695" s="44"/>
      <c r="F1695" s="146"/>
      <c r="G1695" s="1"/>
      <c r="H1695" s="161"/>
      <c r="I1695" s="37"/>
      <c r="J1695" s="135"/>
      <c r="K1695" s="112"/>
      <c r="L1695" s="37"/>
      <c r="M1695" s="37"/>
      <c r="N1695" s="37"/>
      <c r="O1695" s="130"/>
      <c r="P1695" s="132"/>
      <c r="Q1695" s="262"/>
      <c r="R1695" s="92"/>
    </row>
    <row r="1696" spans="3:18" x14ac:dyDescent="0.25">
      <c r="C1696" s="264"/>
      <c r="D1696" s="157"/>
      <c r="E1696" s="44"/>
      <c r="F1696" s="146"/>
      <c r="G1696" s="1"/>
      <c r="H1696" s="161"/>
      <c r="I1696" s="37"/>
      <c r="J1696" s="135"/>
      <c r="K1696" s="112"/>
      <c r="L1696" s="37"/>
      <c r="M1696" s="37"/>
      <c r="N1696" s="37"/>
      <c r="O1696" s="130"/>
      <c r="P1696" s="132"/>
      <c r="Q1696" s="262"/>
      <c r="R1696" s="92"/>
    </row>
    <row r="1697" spans="3:18" x14ac:dyDescent="0.25">
      <c r="C1697" s="264"/>
      <c r="D1697" s="157"/>
      <c r="E1697" s="44"/>
      <c r="F1697" s="146"/>
      <c r="G1697" s="1"/>
      <c r="H1697" s="161"/>
      <c r="I1697" s="37"/>
      <c r="J1697" s="135"/>
      <c r="K1697" s="112"/>
      <c r="L1697" s="37"/>
      <c r="M1697" s="37"/>
      <c r="N1697" s="37"/>
      <c r="O1697" s="130"/>
      <c r="P1697" s="132"/>
      <c r="Q1697" s="262"/>
      <c r="R1697" s="92"/>
    </row>
    <row r="1698" spans="3:18" x14ac:dyDescent="0.25">
      <c r="C1698" s="264"/>
      <c r="D1698" s="157"/>
      <c r="E1698" s="44"/>
      <c r="F1698" s="146"/>
      <c r="G1698" s="1"/>
      <c r="H1698" s="161"/>
      <c r="I1698" s="37"/>
      <c r="J1698" s="135"/>
      <c r="K1698" s="112"/>
      <c r="L1698" s="37"/>
      <c r="M1698" s="37"/>
      <c r="N1698" s="37"/>
      <c r="O1698" s="130"/>
      <c r="P1698" s="132"/>
      <c r="Q1698" s="262"/>
      <c r="R1698" s="92"/>
    </row>
    <row r="1699" spans="3:18" x14ac:dyDescent="0.25">
      <c r="C1699" s="264"/>
      <c r="D1699" s="157"/>
      <c r="E1699" s="44"/>
      <c r="F1699" s="146"/>
      <c r="G1699" s="1"/>
      <c r="H1699" s="161"/>
      <c r="I1699" s="37"/>
      <c r="J1699" s="135"/>
      <c r="K1699" s="112"/>
      <c r="L1699" s="37"/>
      <c r="M1699" s="37"/>
      <c r="N1699" s="37"/>
      <c r="O1699" s="130"/>
      <c r="P1699" s="132"/>
      <c r="Q1699" s="262"/>
      <c r="R1699" s="92"/>
    </row>
    <row r="1700" spans="3:18" x14ac:dyDescent="0.25">
      <c r="C1700" s="264"/>
      <c r="D1700" s="157"/>
      <c r="E1700" s="44"/>
      <c r="F1700" s="146"/>
      <c r="G1700" s="1"/>
      <c r="H1700" s="161"/>
      <c r="I1700" s="37"/>
      <c r="J1700" s="135"/>
      <c r="K1700" s="112"/>
      <c r="L1700" s="37"/>
      <c r="M1700" s="37"/>
      <c r="N1700" s="37"/>
      <c r="O1700" s="130"/>
      <c r="P1700" s="132"/>
      <c r="Q1700" s="262"/>
      <c r="R1700" s="92"/>
    </row>
    <row r="1701" spans="3:18" x14ac:dyDescent="0.25">
      <c r="C1701" s="264"/>
      <c r="D1701" s="157"/>
      <c r="E1701" s="44"/>
      <c r="F1701" s="146"/>
      <c r="G1701" s="1"/>
      <c r="H1701" s="161"/>
      <c r="I1701" s="37"/>
      <c r="J1701" s="135"/>
      <c r="K1701" s="112"/>
      <c r="L1701" s="37"/>
      <c r="M1701" s="37"/>
      <c r="N1701" s="37"/>
      <c r="O1701" s="130"/>
      <c r="P1701" s="132"/>
      <c r="Q1701" s="262"/>
      <c r="R1701" s="92"/>
    </row>
    <row r="1702" spans="3:18" x14ac:dyDescent="0.25">
      <c r="C1702" s="264"/>
      <c r="D1702" s="157"/>
      <c r="E1702" s="44"/>
      <c r="F1702" s="146"/>
      <c r="G1702" s="1"/>
      <c r="H1702" s="161"/>
      <c r="I1702" s="37"/>
      <c r="J1702" s="135"/>
      <c r="K1702" s="112"/>
      <c r="L1702" s="37"/>
      <c r="M1702" s="37"/>
      <c r="N1702" s="37"/>
      <c r="O1702" s="130"/>
      <c r="P1702" s="132"/>
      <c r="Q1702" s="262"/>
      <c r="R1702" s="92"/>
    </row>
    <row r="1703" spans="3:18" x14ac:dyDescent="0.25">
      <c r="C1703" s="264"/>
      <c r="D1703" s="157"/>
      <c r="E1703" s="44"/>
      <c r="F1703" s="146"/>
      <c r="G1703" s="1"/>
      <c r="H1703" s="161"/>
      <c r="I1703" s="37"/>
      <c r="J1703" s="135"/>
      <c r="K1703" s="112"/>
      <c r="L1703" s="37"/>
      <c r="M1703" s="37"/>
      <c r="N1703" s="37"/>
      <c r="O1703" s="130"/>
      <c r="P1703" s="132"/>
      <c r="Q1703" s="262"/>
      <c r="R1703" s="92"/>
    </row>
    <row r="1704" spans="3:18" x14ac:dyDescent="0.25">
      <c r="C1704" s="264"/>
      <c r="D1704" s="157"/>
      <c r="E1704" s="44"/>
      <c r="F1704" s="146"/>
      <c r="G1704" s="1"/>
      <c r="H1704" s="161"/>
      <c r="I1704" s="37"/>
      <c r="J1704" s="135"/>
      <c r="K1704" s="112"/>
      <c r="L1704" s="37"/>
      <c r="M1704" s="37"/>
      <c r="N1704" s="37"/>
      <c r="O1704" s="130"/>
      <c r="P1704" s="132"/>
      <c r="Q1704" s="262"/>
      <c r="R1704" s="92"/>
    </row>
    <row r="1705" spans="3:18" x14ac:dyDescent="0.25">
      <c r="C1705" s="264"/>
      <c r="D1705" s="157"/>
      <c r="E1705" s="44"/>
      <c r="F1705" s="146"/>
      <c r="G1705" s="1"/>
      <c r="H1705" s="161"/>
      <c r="I1705" s="37"/>
      <c r="J1705" s="135"/>
      <c r="K1705" s="112"/>
      <c r="L1705" s="37"/>
      <c r="M1705" s="37"/>
      <c r="N1705" s="37"/>
      <c r="O1705" s="130"/>
      <c r="P1705" s="132"/>
      <c r="Q1705" s="262"/>
      <c r="R1705" s="92"/>
    </row>
    <row r="1706" spans="3:18" x14ac:dyDescent="0.25">
      <c r="C1706" s="264"/>
      <c r="D1706" s="157"/>
      <c r="E1706" s="44"/>
      <c r="F1706" s="146"/>
      <c r="G1706" s="1"/>
      <c r="H1706" s="161"/>
      <c r="I1706" s="37"/>
      <c r="J1706" s="135"/>
      <c r="K1706" s="112"/>
      <c r="L1706" s="37"/>
      <c r="M1706" s="37"/>
      <c r="N1706" s="37"/>
      <c r="O1706" s="130"/>
      <c r="P1706" s="132"/>
      <c r="Q1706" s="262"/>
      <c r="R1706" s="92"/>
    </row>
    <row r="1707" spans="3:18" x14ac:dyDescent="0.25">
      <c r="C1707" s="264"/>
      <c r="D1707" s="157"/>
      <c r="E1707" s="44"/>
      <c r="F1707" s="146"/>
      <c r="G1707" s="1"/>
      <c r="H1707" s="161"/>
      <c r="I1707" s="37"/>
      <c r="J1707" s="135"/>
      <c r="K1707" s="112"/>
      <c r="L1707" s="37"/>
      <c r="M1707" s="37"/>
      <c r="N1707" s="37"/>
      <c r="O1707" s="130"/>
      <c r="P1707" s="132"/>
      <c r="Q1707" s="262"/>
      <c r="R1707" s="92"/>
    </row>
    <row r="1708" spans="3:18" x14ac:dyDescent="0.25">
      <c r="C1708" s="264"/>
      <c r="D1708" s="157"/>
      <c r="E1708" s="44"/>
      <c r="F1708" s="146"/>
      <c r="G1708" s="1"/>
      <c r="H1708" s="161"/>
      <c r="I1708" s="37"/>
      <c r="J1708" s="135"/>
      <c r="K1708" s="112"/>
      <c r="L1708" s="37"/>
      <c r="M1708" s="37"/>
      <c r="N1708" s="37"/>
      <c r="O1708" s="130"/>
      <c r="P1708" s="132"/>
      <c r="Q1708" s="262"/>
      <c r="R1708" s="92"/>
    </row>
    <row r="1709" spans="3:18" x14ac:dyDescent="0.25">
      <c r="C1709" s="264"/>
      <c r="D1709" s="157"/>
      <c r="E1709" s="44"/>
      <c r="F1709" s="146"/>
      <c r="G1709" s="1"/>
      <c r="H1709" s="161"/>
      <c r="I1709" s="37"/>
      <c r="J1709" s="135"/>
      <c r="K1709" s="112"/>
      <c r="L1709" s="37"/>
      <c r="M1709" s="37"/>
      <c r="N1709" s="37"/>
      <c r="O1709" s="130"/>
      <c r="P1709" s="132"/>
      <c r="Q1709" s="262"/>
      <c r="R1709" s="92"/>
    </row>
    <row r="1710" spans="3:18" x14ac:dyDescent="0.25">
      <c r="C1710" s="264"/>
      <c r="D1710" s="157"/>
      <c r="E1710" s="44"/>
      <c r="F1710" s="146"/>
      <c r="G1710" s="1"/>
      <c r="H1710" s="161"/>
      <c r="I1710" s="37"/>
      <c r="J1710" s="135"/>
      <c r="K1710" s="112"/>
      <c r="L1710" s="37"/>
      <c r="M1710" s="37"/>
      <c r="N1710" s="37"/>
      <c r="O1710" s="130"/>
      <c r="P1710" s="132"/>
      <c r="Q1710" s="262"/>
      <c r="R1710" s="92"/>
    </row>
    <row r="1711" spans="3:18" x14ac:dyDescent="0.25">
      <c r="C1711" s="264"/>
      <c r="D1711" s="157"/>
      <c r="E1711" s="44"/>
      <c r="F1711" s="146"/>
      <c r="G1711" s="1"/>
      <c r="H1711" s="161"/>
      <c r="I1711" s="37"/>
      <c r="J1711" s="135"/>
      <c r="K1711" s="112"/>
      <c r="L1711" s="37"/>
      <c r="M1711" s="37"/>
      <c r="N1711" s="37"/>
      <c r="O1711" s="130"/>
      <c r="P1711" s="132"/>
      <c r="Q1711" s="262"/>
      <c r="R1711" s="92"/>
    </row>
    <row r="1712" spans="3:18" x14ac:dyDescent="0.25">
      <c r="C1712" s="264"/>
      <c r="D1712" s="157"/>
      <c r="E1712" s="44"/>
      <c r="F1712" s="146"/>
      <c r="G1712" s="1"/>
      <c r="H1712" s="161"/>
      <c r="I1712" s="37"/>
      <c r="J1712" s="135"/>
      <c r="K1712" s="112"/>
      <c r="L1712" s="37"/>
      <c r="M1712" s="37"/>
      <c r="N1712" s="37"/>
      <c r="O1712" s="130"/>
      <c r="P1712" s="132"/>
      <c r="Q1712" s="262"/>
      <c r="R1712" s="92"/>
    </row>
    <row r="1713" spans="3:18" x14ac:dyDescent="0.25">
      <c r="C1713" s="264"/>
      <c r="D1713" s="157"/>
      <c r="E1713" s="44"/>
      <c r="F1713" s="146"/>
      <c r="G1713" s="1"/>
      <c r="H1713" s="161"/>
      <c r="I1713" s="37"/>
      <c r="J1713" s="135"/>
      <c r="K1713" s="112"/>
      <c r="L1713" s="37"/>
      <c r="M1713" s="37"/>
      <c r="N1713" s="37"/>
      <c r="O1713" s="130"/>
      <c r="P1713" s="132"/>
      <c r="Q1713" s="262"/>
      <c r="R1713" s="92"/>
    </row>
    <row r="1714" spans="3:18" x14ac:dyDescent="0.25">
      <c r="C1714" s="264"/>
      <c r="D1714" s="157"/>
      <c r="E1714" s="44"/>
      <c r="F1714" s="146"/>
      <c r="G1714" s="1"/>
      <c r="H1714" s="161"/>
      <c r="I1714" s="37"/>
      <c r="J1714" s="135"/>
      <c r="K1714" s="112"/>
      <c r="L1714" s="37"/>
      <c r="M1714" s="37"/>
      <c r="N1714" s="37"/>
      <c r="O1714" s="130"/>
      <c r="P1714" s="132"/>
      <c r="Q1714" s="262"/>
      <c r="R1714" s="92"/>
    </row>
    <row r="1715" spans="3:18" x14ac:dyDescent="0.25">
      <c r="C1715" s="264"/>
      <c r="D1715" s="157"/>
      <c r="E1715" s="44"/>
      <c r="F1715" s="146"/>
      <c r="G1715" s="1"/>
      <c r="H1715" s="161"/>
      <c r="I1715" s="37"/>
      <c r="J1715" s="135"/>
      <c r="K1715" s="112"/>
      <c r="L1715" s="37"/>
      <c r="M1715" s="37"/>
      <c r="N1715" s="37"/>
      <c r="O1715" s="130"/>
      <c r="P1715" s="132"/>
      <c r="Q1715" s="262"/>
      <c r="R1715" s="92"/>
    </row>
    <row r="1716" spans="3:18" x14ac:dyDescent="0.25">
      <c r="C1716" s="264"/>
      <c r="D1716" s="157"/>
      <c r="E1716" s="44"/>
      <c r="F1716" s="146"/>
      <c r="G1716" s="1"/>
      <c r="H1716" s="161"/>
      <c r="I1716" s="37"/>
      <c r="J1716" s="135"/>
      <c r="K1716" s="112"/>
      <c r="L1716" s="37"/>
      <c r="M1716" s="37"/>
      <c r="N1716" s="37"/>
      <c r="O1716" s="130"/>
      <c r="P1716" s="132"/>
      <c r="Q1716" s="262"/>
      <c r="R1716" s="92"/>
    </row>
    <row r="1717" spans="3:18" x14ac:dyDescent="0.25">
      <c r="C1717" s="264"/>
      <c r="D1717" s="157"/>
      <c r="E1717" s="44"/>
      <c r="F1717" s="146"/>
      <c r="G1717" s="1"/>
      <c r="H1717" s="161"/>
      <c r="I1717" s="37"/>
      <c r="J1717" s="135"/>
      <c r="K1717" s="112"/>
      <c r="L1717" s="37"/>
      <c r="M1717" s="37"/>
      <c r="N1717" s="37"/>
      <c r="O1717" s="130"/>
      <c r="P1717" s="132"/>
      <c r="Q1717" s="262"/>
      <c r="R1717" s="92"/>
    </row>
    <row r="1718" spans="3:18" x14ac:dyDescent="0.25">
      <c r="C1718" s="264"/>
      <c r="D1718" s="157"/>
      <c r="E1718" s="44"/>
      <c r="F1718" s="146"/>
      <c r="G1718" s="1"/>
      <c r="H1718" s="161"/>
      <c r="I1718" s="37"/>
      <c r="J1718" s="135"/>
      <c r="K1718" s="112"/>
      <c r="L1718" s="37"/>
      <c r="M1718" s="37"/>
      <c r="N1718" s="37"/>
      <c r="O1718" s="130"/>
      <c r="P1718" s="132"/>
      <c r="Q1718" s="262"/>
      <c r="R1718" s="92"/>
    </row>
    <row r="1719" spans="3:18" x14ac:dyDescent="0.25">
      <c r="C1719" s="264"/>
      <c r="D1719" s="157"/>
      <c r="E1719" s="44"/>
      <c r="F1719" s="146"/>
      <c r="G1719" s="1"/>
      <c r="H1719" s="161"/>
      <c r="I1719" s="37"/>
      <c r="J1719" s="135"/>
      <c r="K1719" s="112"/>
      <c r="L1719" s="37"/>
      <c r="M1719" s="37"/>
      <c r="N1719" s="37"/>
      <c r="O1719" s="130"/>
      <c r="P1719" s="132"/>
      <c r="Q1719" s="262"/>
      <c r="R1719" s="92"/>
    </row>
    <row r="1720" spans="3:18" x14ac:dyDescent="0.25">
      <c r="C1720" s="264"/>
      <c r="D1720" s="157"/>
      <c r="E1720" s="44"/>
      <c r="F1720" s="146"/>
      <c r="G1720" s="1"/>
      <c r="H1720" s="161"/>
      <c r="I1720" s="37"/>
      <c r="J1720" s="135"/>
      <c r="K1720" s="112"/>
      <c r="L1720" s="37"/>
      <c r="M1720" s="37"/>
      <c r="N1720" s="37"/>
      <c r="O1720" s="130"/>
      <c r="P1720" s="132"/>
      <c r="Q1720" s="262"/>
      <c r="R1720" s="92"/>
    </row>
    <row r="1721" spans="3:18" x14ac:dyDescent="0.25">
      <c r="C1721" s="264"/>
      <c r="D1721" s="157"/>
      <c r="E1721" s="44"/>
      <c r="F1721" s="146"/>
      <c r="G1721" s="1"/>
      <c r="H1721" s="161"/>
      <c r="I1721" s="37"/>
      <c r="J1721" s="135"/>
      <c r="K1721" s="112"/>
      <c r="L1721" s="37"/>
      <c r="M1721" s="37"/>
      <c r="N1721" s="37"/>
      <c r="O1721" s="130"/>
      <c r="P1721" s="132"/>
      <c r="Q1721" s="262"/>
      <c r="R1721" s="92"/>
    </row>
    <row r="1722" spans="3:18" x14ac:dyDescent="0.25">
      <c r="C1722" s="264"/>
      <c r="D1722" s="157"/>
      <c r="E1722" s="44"/>
      <c r="F1722" s="146"/>
      <c r="G1722" s="1"/>
      <c r="H1722" s="161"/>
      <c r="I1722" s="37"/>
      <c r="J1722" s="135"/>
      <c r="K1722" s="112"/>
      <c r="L1722" s="37"/>
      <c r="M1722" s="37"/>
      <c r="N1722" s="37"/>
      <c r="O1722" s="130"/>
      <c r="P1722" s="132"/>
      <c r="Q1722" s="262"/>
      <c r="R1722" s="92"/>
    </row>
    <row r="1723" spans="3:18" x14ac:dyDescent="0.25">
      <c r="C1723" s="264"/>
      <c r="D1723" s="157"/>
      <c r="E1723" s="44"/>
      <c r="F1723" s="146"/>
      <c r="G1723" s="1"/>
      <c r="H1723" s="161"/>
      <c r="I1723" s="37"/>
      <c r="J1723" s="135"/>
      <c r="K1723" s="112"/>
      <c r="L1723" s="37"/>
      <c r="M1723" s="37"/>
      <c r="N1723" s="37"/>
      <c r="O1723" s="130"/>
      <c r="P1723" s="132"/>
      <c r="Q1723" s="262"/>
      <c r="R1723" s="92"/>
    </row>
    <row r="1724" spans="3:18" x14ac:dyDescent="0.25">
      <c r="C1724" s="264"/>
      <c r="D1724" s="157"/>
      <c r="E1724" s="44"/>
      <c r="F1724" s="146"/>
      <c r="G1724" s="1"/>
      <c r="H1724" s="161"/>
      <c r="I1724" s="37"/>
      <c r="J1724" s="135"/>
      <c r="K1724" s="112"/>
      <c r="L1724" s="37"/>
      <c r="M1724" s="37"/>
      <c r="N1724" s="37"/>
      <c r="O1724" s="130"/>
      <c r="P1724" s="132"/>
      <c r="Q1724" s="262"/>
      <c r="R1724" s="92"/>
    </row>
    <row r="1725" spans="3:18" x14ac:dyDescent="0.25">
      <c r="C1725" s="264"/>
      <c r="D1725" s="157"/>
      <c r="E1725" s="44"/>
      <c r="F1725" s="146"/>
      <c r="G1725" s="1"/>
      <c r="H1725" s="161"/>
      <c r="I1725" s="37"/>
      <c r="J1725" s="135"/>
      <c r="K1725" s="112"/>
      <c r="L1725" s="37"/>
      <c r="M1725" s="37"/>
      <c r="N1725" s="37"/>
      <c r="O1725" s="130"/>
      <c r="P1725" s="132"/>
      <c r="Q1725" s="262"/>
      <c r="R1725" s="92"/>
    </row>
    <row r="1726" spans="3:18" x14ac:dyDescent="0.25">
      <c r="C1726" s="264"/>
      <c r="D1726" s="157"/>
      <c r="E1726" s="44"/>
      <c r="F1726" s="146"/>
      <c r="G1726" s="1"/>
      <c r="H1726" s="161"/>
      <c r="I1726" s="37"/>
      <c r="J1726" s="135"/>
      <c r="K1726" s="112"/>
      <c r="L1726" s="37"/>
      <c r="M1726" s="37"/>
      <c r="N1726" s="37"/>
      <c r="O1726" s="130"/>
      <c r="P1726" s="132"/>
      <c r="Q1726" s="262"/>
      <c r="R1726" s="92"/>
    </row>
    <row r="1727" spans="3:18" x14ac:dyDescent="0.25">
      <c r="C1727" s="264"/>
      <c r="D1727" s="157"/>
      <c r="E1727" s="44"/>
      <c r="F1727" s="146"/>
      <c r="G1727" s="1"/>
      <c r="H1727" s="161"/>
      <c r="I1727" s="37"/>
      <c r="J1727" s="135"/>
      <c r="K1727" s="112"/>
      <c r="L1727" s="37"/>
      <c r="M1727" s="37"/>
      <c r="N1727" s="37"/>
      <c r="O1727" s="130"/>
      <c r="P1727" s="132"/>
      <c r="Q1727" s="262"/>
      <c r="R1727" s="92"/>
    </row>
    <row r="1728" spans="3:18" x14ac:dyDescent="0.25">
      <c r="C1728" s="264"/>
      <c r="D1728" s="157"/>
      <c r="E1728" s="44"/>
      <c r="F1728" s="146"/>
      <c r="G1728" s="1"/>
      <c r="H1728" s="161"/>
      <c r="I1728" s="37"/>
      <c r="J1728" s="135"/>
      <c r="K1728" s="112"/>
      <c r="L1728" s="37"/>
      <c r="M1728" s="37"/>
      <c r="N1728" s="37"/>
      <c r="O1728" s="130"/>
      <c r="P1728" s="132"/>
      <c r="Q1728" s="262"/>
      <c r="R1728" s="92"/>
    </row>
    <row r="1729" spans="3:18" x14ac:dyDescent="0.25">
      <c r="C1729" s="264"/>
      <c r="D1729" s="157"/>
      <c r="E1729" s="44"/>
      <c r="F1729" s="146"/>
      <c r="G1729" s="1"/>
      <c r="H1729" s="161"/>
      <c r="I1729" s="37"/>
      <c r="J1729" s="135"/>
      <c r="K1729" s="112"/>
      <c r="L1729" s="37"/>
      <c r="M1729" s="37"/>
      <c r="N1729" s="37"/>
      <c r="O1729" s="130"/>
      <c r="P1729" s="132"/>
      <c r="Q1729" s="262"/>
      <c r="R1729" s="92"/>
    </row>
    <row r="1730" spans="3:18" x14ac:dyDescent="0.25">
      <c r="C1730" s="264"/>
      <c r="D1730" s="157"/>
      <c r="E1730" s="44"/>
      <c r="F1730" s="146"/>
      <c r="G1730" s="1"/>
      <c r="H1730" s="161"/>
      <c r="I1730" s="37"/>
      <c r="J1730" s="135"/>
      <c r="K1730" s="112"/>
      <c r="L1730" s="37"/>
      <c r="M1730" s="37"/>
      <c r="N1730" s="37"/>
      <c r="O1730" s="130"/>
      <c r="P1730" s="132"/>
      <c r="Q1730" s="262"/>
      <c r="R1730" s="92"/>
    </row>
    <row r="1731" spans="3:18" x14ac:dyDescent="0.25">
      <c r="C1731" s="264"/>
      <c r="D1731" s="157"/>
      <c r="E1731" s="44"/>
      <c r="F1731" s="146"/>
      <c r="G1731" s="1"/>
      <c r="H1731" s="161"/>
      <c r="I1731" s="37"/>
      <c r="J1731" s="135"/>
      <c r="K1731" s="112"/>
      <c r="L1731" s="37"/>
      <c r="M1731" s="37"/>
      <c r="N1731" s="37"/>
      <c r="O1731" s="130"/>
      <c r="P1731" s="132"/>
      <c r="Q1731" s="262"/>
      <c r="R1731" s="92"/>
    </row>
    <row r="1732" spans="3:18" x14ac:dyDescent="0.25">
      <c r="C1732" s="264"/>
      <c r="D1732" s="157"/>
      <c r="E1732" s="44"/>
      <c r="F1732" s="146"/>
      <c r="G1732" s="1"/>
      <c r="H1732" s="161"/>
      <c r="I1732" s="37"/>
      <c r="J1732" s="135"/>
      <c r="K1732" s="112"/>
      <c r="L1732" s="37"/>
      <c r="M1732" s="37"/>
      <c r="N1732" s="37"/>
      <c r="O1732" s="130"/>
      <c r="P1732" s="132"/>
      <c r="Q1732" s="262"/>
      <c r="R1732" s="92"/>
    </row>
    <row r="1733" spans="3:18" x14ac:dyDescent="0.25">
      <c r="C1733" s="264"/>
      <c r="D1733" s="157"/>
      <c r="E1733" s="44"/>
      <c r="F1733" s="146"/>
      <c r="G1733" s="1"/>
      <c r="H1733" s="161"/>
      <c r="I1733" s="37"/>
      <c r="J1733" s="135"/>
      <c r="K1733" s="112"/>
      <c r="L1733" s="37"/>
      <c r="M1733" s="37"/>
      <c r="N1733" s="37"/>
      <c r="O1733" s="130"/>
      <c r="P1733" s="132"/>
      <c r="Q1733" s="262"/>
      <c r="R1733" s="92"/>
    </row>
    <row r="1734" spans="3:18" x14ac:dyDescent="0.25">
      <c r="C1734" s="264"/>
      <c r="D1734" s="157"/>
      <c r="E1734" s="44"/>
      <c r="F1734" s="146"/>
      <c r="G1734" s="1"/>
      <c r="H1734" s="161"/>
      <c r="I1734" s="37"/>
      <c r="J1734" s="135"/>
      <c r="K1734" s="112"/>
      <c r="L1734" s="37"/>
      <c r="M1734" s="37"/>
      <c r="N1734" s="37"/>
      <c r="O1734" s="130"/>
      <c r="P1734" s="132"/>
      <c r="Q1734" s="262"/>
      <c r="R1734" s="92"/>
    </row>
    <row r="1735" spans="3:18" x14ac:dyDescent="0.25">
      <c r="C1735" s="264"/>
      <c r="D1735" s="157"/>
      <c r="E1735" s="44"/>
      <c r="F1735" s="146"/>
      <c r="G1735" s="1"/>
      <c r="H1735" s="161"/>
      <c r="I1735" s="37"/>
      <c r="J1735" s="135"/>
      <c r="K1735" s="112"/>
      <c r="L1735" s="37"/>
      <c r="M1735" s="37"/>
      <c r="N1735" s="37"/>
      <c r="O1735" s="130"/>
      <c r="P1735" s="132"/>
      <c r="Q1735" s="262"/>
      <c r="R1735" s="92"/>
    </row>
    <row r="1736" spans="3:18" x14ac:dyDescent="0.25">
      <c r="C1736" s="264"/>
      <c r="D1736" s="157"/>
      <c r="E1736" s="44"/>
      <c r="F1736" s="146"/>
      <c r="G1736" s="1"/>
      <c r="H1736" s="161"/>
      <c r="I1736" s="37"/>
      <c r="J1736" s="135"/>
      <c r="K1736" s="112"/>
      <c r="L1736" s="37"/>
      <c r="M1736" s="37"/>
      <c r="N1736" s="37"/>
      <c r="O1736" s="130"/>
      <c r="P1736" s="132"/>
      <c r="Q1736" s="262"/>
      <c r="R1736" s="92"/>
    </row>
    <row r="1737" spans="3:18" x14ac:dyDescent="0.25">
      <c r="C1737" s="264"/>
      <c r="D1737" s="157"/>
      <c r="E1737" s="44"/>
      <c r="F1737" s="146"/>
      <c r="G1737" s="1"/>
      <c r="H1737" s="161"/>
      <c r="I1737" s="37"/>
      <c r="J1737" s="135"/>
      <c r="K1737" s="112"/>
      <c r="L1737" s="37"/>
      <c r="M1737" s="37"/>
      <c r="N1737" s="37"/>
      <c r="O1737" s="130"/>
      <c r="P1737" s="132"/>
      <c r="Q1737" s="262"/>
      <c r="R1737" s="92"/>
    </row>
    <row r="1738" spans="3:18" x14ac:dyDescent="0.25">
      <c r="C1738" s="264"/>
      <c r="D1738" s="157"/>
      <c r="E1738" s="44"/>
      <c r="F1738" s="146"/>
      <c r="G1738" s="1"/>
      <c r="H1738" s="161"/>
      <c r="I1738" s="37"/>
      <c r="J1738" s="135"/>
      <c r="K1738" s="112"/>
      <c r="L1738" s="37"/>
      <c r="M1738" s="37"/>
      <c r="N1738" s="37"/>
      <c r="O1738" s="130"/>
      <c r="P1738" s="132"/>
      <c r="Q1738" s="262"/>
      <c r="R1738" s="92"/>
    </row>
    <row r="1739" spans="3:18" x14ac:dyDescent="0.25">
      <c r="C1739" s="264"/>
      <c r="D1739" s="157"/>
      <c r="E1739" s="44"/>
      <c r="F1739" s="146"/>
      <c r="G1739" s="1"/>
      <c r="H1739" s="161"/>
      <c r="I1739" s="37"/>
      <c r="J1739" s="135"/>
      <c r="K1739" s="112"/>
      <c r="L1739" s="37"/>
      <c r="M1739" s="37"/>
      <c r="N1739" s="37"/>
      <c r="O1739" s="130"/>
      <c r="P1739" s="132"/>
      <c r="Q1739" s="262"/>
      <c r="R1739" s="92"/>
    </row>
    <row r="1740" spans="3:18" x14ac:dyDescent="0.25">
      <c r="C1740" s="264"/>
      <c r="D1740" s="157"/>
      <c r="E1740" s="44"/>
      <c r="F1740" s="146"/>
      <c r="G1740" s="1"/>
      <c r="H1740" s="161"/>
      <c r="I1740" s="37"/>
      <c r="J1740" s="135"/>
      <c r="K1740" s="112"/>
      <c r="L1740" s="37"/>
      <c r="M1740" s="37"/>
      <c r="N1740" s="37"/>
      <c r="O1740" s="130"/>
      <c r="P1740" s="132"/>
      <c r="Q1740" s="262"/>
      <c r="R1740" s="92"/>
    </row>
    <row r="1741" spans="3:18" x14ac:dyDescent="0.25">
      <c r="C1741" s="264"/>
      <c r="D1741" s="157"/>
      <c r="E1741" s="44"/>
      <c r="F1741" s="146"/>
      <c r="G1741" s="1"/>
      <c r="H1741" s="161"/>
      <c r="I1741" s="37"/>
      <c r="J1741" s="135"/>
      <c r="K1741" s="112"/>
      <c r="L1741" s="37"/>
      <c r="M1741" s="37"/>
      <c r="N1741" s="37"/>
      <c r="O1741" s="130"/>
      <c r="P1741" s="132"/>
      <c r="Q1741" s="262"/>
      <c r="R1741" s="92"/>
    </row>
    <row r="1742" spans="3:18" x14ac:dyDescent="0.25">
      <c r="C1742" s="264"/>
      <c r="D1742" s="157"/>
      <c r="E1742" s="44"/>
      <c r="F1742" s="146"/>
      <c r="G1742" s="1"/>
      <c r="H1742" s="161"/>
      <c r="I1742" s="37"/>
      <c r="J1742" s="135"/>
      <c r="K1742" s="112"/>
      <c r="L1742" s="37"/>
      <c r="M1742" s="37"/>
      <c r="N1742" s="37"/>
      <c r="O1742" s="130"/>
      <c r="P1742" s="132"/>
      <c r="Q1742" s="262"/>
      <c r="R1742" s="92"/>
    </row>
    <row r="1743" spans="3:18" x14ac:dyDescent="0.25">
      <c r="C1743" s="264"/>
      <c r="D1743" s="157"/>
      <c r="E1743" s="44"/>
      <c r="F1743" s="146"/>
      <c r="G1743" s="1"/>
      <c r="H1743" s="161"/>
      <c r="I1743" s="37"/>
      <c r="J1743" s="135"/>
      <c r="K1743" s="112"/>
      <c r="L1743" s="37"/>
      <c r="M1743" s="37"/>
      <c r="N1743" s="37"/>
      <c r="O1743" s="130"/>
      <c r="P1743" s="132"/>
      <c r="Q1743" s="262"/>
      <c r="R1743" s="92"/>
    </row>
    <row r="1744" spans="3:18" x14ac:dyDescent="0.25">
      <c r="C1744" s="264"/>
      <c r="D1744" s="157"/>
      <c r="E1744" s="44"/>
      <c r="F1744" s="146"/>
      <c r="G1744" s="1"/>
      <c r="H1744" s="161"/>
      <c r="I1744" s="37"/>
      <c r="J1744" s="135"/>
      <c r="K1744" s="112"/>
      <c r="L1744" s="37"/>
      <c r="M1744" s="37"/>
      <c r="N1744" s="37"/>
      <c r="O1744" s="130"/>
      <c r="P1744" s="132"/>
      <c r="Q1744" s="262"/>
      <c r="R1744" s="92"/>
    </row>
    <row r="1745" spans="3:18" x14ac:dyDescent="0.25">
      <c r="C1745" s="264"/>
      <c r="D1745" s="157"/>
      <c r="E1745" s="44"/>
      <c r="F1745" s="146"/>
      <c r="G1745" s="1"/>
      <c r="H1745" s="161"/>
      <c r="I1745" s="37"/>
      <c r="J1745" s="135"/>
      <c r="K1745" s="112"/>
      <c r="L1745" s="37"/>
      <c r="M1745" s="37"/>
      <c r="N1745" s="37"/>
      <c r="O1745" s="130"/>
      <c r="P1745" s="132"/>
      <c r="Q1745" s="262"/>
      <c r="R1745" s="92"/>
    </row>
    <row r="1746" spans="3:18" x14ac:dyDescent="0.25">
      <c r="C1746" s="264"/>
      <c r="D1746" s="157"/>
      <c r="E1746" s="44"/>
      <c r="F1746" s="146"/>
      <c r="G1746" s="1"/>
      <c r="H1746" s="161"/>
      <c r="I1746" s="37"/>
      <c r="J1746" s="135"/>
      <c r="K1746" s="112"/>
      <c r="L1746" s="37"/>
      <c r="M1746" s="37"/>
      <c r="N1746" s="37"/>
      <c r="O1746" s="130"/>
      <c r="P1746" s="132"/>
      <c r="Q1746" s="262"/>
      <c r="R1746" s="92"/>
    </row>
    <row r="1747" spans="3:18" x14ac:dyDescent="0.25">
      <c r="C1747" s="264"/>
      <c r="D1747" s="157"/>
      <c r="E1747" s="44"/>
      <c r="F1747" s="146"/>
      <c r="G1747" s="1"/>
      <c r="H1747" s="161"/>
      <c r="I1747" s="37"/>
      <c r="J1747" s="135"/>
      <c r="K1747" s="112"/>
      <c r="L1747" s="37"/>
      <c r="M1747" s="37"/>
      <c r="N1747" s="37"/>
      <c r="O1747" s="130"/>
      <c r="P1747" s="132"/>
      <c r="Q1747" s="262"/>
      <c r="R1747" s="92"/>
    </row>
    <row r="1748" spans="3:18" x14ac:dyDescent="0.25">
      <c r="C1748" s="264"/>
      <c r="D1748" s="157"/>
      <c r="E1748" s="44"/>
      <c r="F1748" s="146"/>
      <c r="G1748" s="1"/>
      <c r="H1748" s="161"/>
      <c r="I1748" s="37"/>
      <c r="J1748" s="135"/>
      <c r="K1748" s="112"/>
      <c r="L1748" s="37"/>
      <c r="M1748" s="37"/>
      <c r="N1748" s="37"/>
      <c r="O1748" s="130"/>
      <c r="P1748" s="132"/>
      <c r="Q1748" s="262"/>
      <c r="R1748" s="92"/>
    </row>
    <row r="1749" spans="3:18" x14ac:dyDescent="0.25">
      <c r="C1749" s="264"/>
      <c r="D1749" s="157"/>
      <c r="E1749" s="44"/>
      <c r="F1749" s="146"/>
      <c r="G1749" s="1"/>
      <c r="H1749" s="161"/>
      <c r="I1749" s="37"/>
      <c r="J1749" s="135"/>
      <c r="K1749" s="112"/>
      <c r="L1749" s="37"/>
      <c r="M1749" s="37"/>
      <c r="N1749" s="37"/>
      <c r="O1749" s="130"/>
      <c r="P1749" s="132"/>
      <c r="Q1749" s="262"/>
      <c r="R1749" s="92"/>
    </row>
    <row r="1750" spans="3:18" x14ac:dyDescent="0.25">
      <c r="C1750" s="264"/>
      <c r="D1750" s="157"/>
      <c r="E1750" s="44"/>
      <c r="F1750" s="146"/>
      <c r="G1750" s="1"/>
      <c r="H1750" s="161"/>
      <c r="I1750" s="37"/>
      <c r="J1750" s="135"/>
      <c r="K1750" s="112"/>
      <c r="L1750" s="37"/>
      <c r="M1750" s="37"/>
      <c r="N1750" s="37"/>
      <c r="O1750" s="130"/>
      <c r="P1750" s="132"/>
      <c r="Q1750" s="262"/>
      <c r="R1750" s="92"/>
    </row>
    <row r="1751" spans="3:18" x14ac:dyDescent="0.25">
      <c r="C1751" s="264"/>
      <c r="D1751" s="157"/>
      <c r="E1751" s="44"/>
      <c r="F1751" s="146"/>
      <c r="G1751" s="1"/>
      <c r="H1751" s="161"/>
      <c r="I1751" s="37"/>
      <c r="J1751" s="135"/>
      <c r="K1751" s="112"/>
      <c r="L1751" s="37"/>
      <c r="M1751" s="37"/>
      <c r="N1751" s="37"/>
      <c r="O1751" s="130"/>
      <c r="P1751" s="132"/>
      <c r="Q1751" s="262"/>
      <c r="R1751" s="92"/>
    </row>
    <row r="1752" spans="3:18" x14ac:dyDescent="0.25">
      <c r="C1752" s="264"/>
      <c r="D1752" s="157"/>
      <c r="E1752" s="44"/>
      <c r="F1752" s="146"/>
      <c r="G1752" s="1"/>
      <c r="H1752" s="161"/>
      <c r="I1752" s="37"/>
      <c r="J1752" s="135"/>
      <c r="K1752" s="112"/>
      <c r="L1752" s="37"/>
      <c r="M1752" s="37"/>
      <c r="N1752" s="37"/>
      <c r="O1752" s="130"/>
      <c r="P1752" s="132"/>
      <c r="Q1752" s="262"/>
      <c r="R1752" s="92"/>
    </row>
    <row r="1753" spans="3:18" x14ac:dyDescent="0.25">
      <c r="C1753" s="264"/>
      <c r="D1753" s="157"/>
      <c r="E1753" s="44"/>
      <c r="F1753" s="146"/>
      <c r="G1753" s="1"/>
      <c r="H1753" s="161"/>
      <c r="I1753" s="37"/>
      <c r="J1753" s="135"/>
      <c r="K1753" s="112"/>
      <c r="L1753" s="37"/>
      <c r="M1753" s="37"/>
      <c r="N1753" s="37"/>
      <c r="O1753" s="130"/>
      <c r="P1753" s="132"/>
      <c r="Q1753" s="262"/>
      <c r="R1753" s="92"/>
    </row>
    <row r="1754" spans="3:18" x14ac:dyDescent="0.25">
      <c r="C1754" s="264"/>
      <c r="D1754" s="157"/>
      <c r="E1754" s="44"/>
      <c r="F1754" s="146"/>
      <c r="G1754" s="1"/>
      <c r="H1754" s="161"/>
      <c r="I1754" s="37"/>
      <c r="J1754" s="135"/>
      <c r="K1754" s="112"/>
      <c r="L1754" s="37"/>
      <c r="M1754" s="37"/>
      <c r="N1754" s="37"/>
      <c r="O1754" s="130"/>
      <c r="P1754" s="132"/>
      <c r="Q1754" s="262"/>
      <c r="R1754" s="92"/>
    </row>
    <row r="1755" spans="3:18" x14ac:dyDescent="0.25">
      <c r="C1755" s="264"/>
      <c r="D1755" s="157"/>
      <c r="E1755" s="44"/>
      <c r="F1755" s="146"/>
      <c r="G1755" s="1"/>
      <c r="H1755" s="161"/>
      <c r="I1755" s="37"/>
      <c r="J1755" s="135"/>
      <c r="K1755" s="112"/>
      <c r="L1755" s="37"/>
      <c r="M1755" s="37"/>
      <c r="N1755" s="37"/>
      <c r="O1755" s="130"/>
      <c r="P1755" s="132"/>
      <c r="Q1755" s="262"/>
      <c r="R1755" s="92"/>
    </row>
    <row r="1756" spans="3:18" x14ac:dyDescent="0.25">
      <c r="C1756" s="264"/>
      <c r="D1756" s="157"/>
      <c r="E1756" s="44"/>
      <c r="F1756" s="146"/>
      <c r="G1756" s="1"/>
      <c r="H1756" s="161"/>
      <c r="I1756" s="37"/>
      <c r="J1756" s="135"/>
      <c r="K1756" s="112"/>
      <c r="L1756" s="37"/>
      <c r="M1756" s="37"/>
      <c r="N1756" s="37"/>
      <c r="O1756" s="130"/>
      <c r="P1756" s="132"/>
      <c r="Q1756" s="262"/>
      <c r="R1756" s="92"/>
    </row>
    <row r="1757" spans="3:18" x14ac:dyDescent="0.25">
      <c r="C1757" s="264"/>
      <c r="D1757" s="157"/>
      <c r="E1757" s="44"/>
      <c r="F1757" s="146"/>
      <c r="G1757" s="1"/>
      <c r="H1757" s="161"/>
      <c r="I1757" s="37"/>
      <c r="J1757" s="135"/>
      <c r="K1757" s="112"/>
      <c r="L1757" s="37"/>
      <c r="M1757" s="37"/>
      <c r="N1757" s="37"/>
      <c r="O1757" s="130"/>
      <c r="P1757" s="132"/>
      <c r="Q1757" s="262"/>
      <c r="R1757" s="92"/>
    </row>
    <row r="1758" spans="3:18" x14ac:dyDescent="0.25">
      <c r="C1758" s="264"/>
      <c r="D1758" s="157"/>
      <c r="E1758" s="44"/>
      <c r="F1758" s="146"/>
      <c r="G1758" s="1"/>
      <c r="H1758" s="161"/>
      <c r="I1758" s="37"/>
      <c r="J1758" s="135"/>
      <c r="K1758" s="112"/>
      <c r="L1758" s="37"/>
      <c r="M1758" s="37"/>
      <c r="N1758" s="37"/>
      <c r="O1758" s="130"/>
      <c r="P1758" s="132"/>
      <c r="Q1758" s="262"/>
      <c r="R1758" s="92"/>
    </row>
    <row r="1759" spans="3:18" x14ac:dyDescent="0.25">
      <c r="C1759" s="264"/>
      <c r="D1759" s="157"/>
      <c r="E1759" s="44"/>
      <c r="F1759" s="146"/>
      <c r="G1759" s="1"/>
      <c r="H1759" s="161"/>
      <c r="I1759" s="37"/>
      <c r="J1759" s="135"/>
      <c r="K1759" s="112"/>
      <c r="L1759" s="37"/>
      <c r="M1759" s="37"/>
      <c r="N1759" s="37"/>
      <c r="O1759" s="130"/>
      <c r="P1759" s="132"/>
      <c r="Q1759" s="262"/>
      <c r="R1759" s="92"/>
    </row>
    <row r="1760" spans="3:18" x14ac:dyDescent="0.25">
      <c r="C1760" s="264"/>
      <c r="D1760" s="157"/>
      <c r="E1760" s="44"/>
      <c r="F1760" s="146"/>
      <c r="G1760" s="1"/>
      <c r="H1760" s="161"/>
      <c r="I1760" s="37"/>
      <c r="J1760" s="135"/>
      <c r="K1760" s="112"/>
      <c r="L1760" s="37"/>
      <c r="M1760" s="37"/>
      <c r="N1760" s="37"/>
      <c r="O1760" s="130"/>
      <c r="P1760" s="132"/>
      <c r="Q1760" s="262"/>
      <c r="R1760" s="92"/>
    </row>
    <row r="1761" spans="3:18" x14ac:dyDescent="0.25">
      <c r="C1761" s="264"/>
      <c r="D1761" s="157"/>
      <c r="E1761" s="44"/>
      <c r="F1761" s="146"/>
      <c r="G1761" s="1"/>
      <c r="H1761" s="161"/>
      <c r="I1761" s="37"/>
      <c r="J1761" s="135"/>
      <c r="K1761" s="112"/>
      <c r="L1761" s="37"/>
      <c r="M1761" s="37"/>
      <c r="N1761" s="37"/>
      <c r="O1761" s="130"/>
      <c r="P1761" s="132"/>
      <c r="Q1761" s="262"/>
      <c r="R1761" s="92"/>
    </row>
    <row r="1762" spans="3:18" x14ac:dyDescent="0.25">
      <c r="C1762" s="264"/>
      <c r="D1762" s="157"/>
      <c r="E1762" s="44"/>
      <c r="F1762" s="146"/>
      <c r="G1762" s="1"/>
      <c r="H1762" s="161"/>
      <c r="I1762" s="37"/>
      <c r="J1762" s="135"/>
      <c r="K1762" s="112"/>
      <c r="L1762" s="37"/>
      <c r="M1762" s="37"/>
      <c r="N1762" s="37"/>
      <c r="O1762" s="130"/>
      <c r="P1762" s="132"/>
      <c r="Q1762" s="262"/>
      <c r="R1762" s="92"/>
    </row>
    <row r="1763" spans="3:18" x14ac:dyDescent="0.25">
      <c r="C1763" s="264"/>
      <c r="D1763" s="157"/>
      <c r="E1763" s="44"/>
      <c r="F1763" s="146"/>
      <c r="G1763" s="1"/>
      <c r="H1763" s="161"/>
      <c r="I1763" s="37"/>
      <c r="J1763" s="135"/>
      <c r="K1763" s="112"/>
      <c r="L1763" s="37"/>
      <c r="M1763" s="37"/>
      <c r="N1763" s="37"/>
      <c r="O1763" s="130"/>
      <c r="P1763" s="132"/>
      <c r="Q1763" s="262"/>
      <c r="R1763" s="92"/>
    </row>
    <row r="1764" spans="3:18" x14ac:dyDescent="0.25">
      <c r="C1764" s="264"/>
      <c r="D1764" s="157"/>
      <c r="E1764" s="44"/>
      <c r="F1764" s="146"/>
      <c r="G1764" s="1"/>
      <c r="H1764" s="161"/>
      <c r="I1764" s="37"/>
      <c r="J1764" s="135"/>
      <c r="K1764" s="112"/>
      <c r="L1764" s="37"/>
      <c r="M1764" s="37"/>
      <c r="N1764" s="37"/>
      <c r="O1764" s="130"/>
      <c r="P1764" s="132"/>
      <c r="Q1764" s="262"/>
      <c r="R1764" s="92"/>
    </row>
    <row r="1765" spans="3:18" x14ac:dyDescent="0.25">
      <c r="C1765" s="264"/>
      <c r="D1765" s="157"/>
      <c r="E1765" s="44"/>
      <c r="F1765" s="146"/>
      <c r="G1765" s="1"/>
      <c r="H1765" s="161"/>
      <c r="I1765" s="37"/>
      <c r="J1765" s="135"/>
      <c r="K1765" s="112"/>
      <c r="L1765" s="37"/>
      <c r="M1765" s="37"/>
      <c r="N1765" s="37"/>
      <c r="O1765" s="130"/>
      <c r="P1765" s="132"/>
      <c r="Q1765" s="262"/>
      <c r="R1765" s="92"/>
    </row>
    <row r="1766" spans="3:18" x14ac:dyDescent="0.25">
      <c r="C1766" s="264"/>
      <c r="D1766" s="157"/>
      <c r="E1766" s="44"/>
      <c r="F1766" s="146"/>
      <c r="G1766" s="1"/>
      <c r="H1766" s="161"/>
      <c r="I1766" s="37"/>
      <c r="J1766" s="135"/>
      <c r="K1766" s="112"/>
      <c r="L1766" s="37"/>
      <c r="M1766" s="37"/>
      <c r="N1766" s="37"/>
      <c r="O1766" s="130"/>
      <c r="P1766" s="132"/>
      <c r="Q1766" s="262"/>
      <c r="R1766" s="92"/>
    </row>
    <row r="1767" spans="3:18" x14ac:dyDescent="0.25">
      <c r="C1767" s="264"/>
      <c r="D1767" s="157"/>
      <c r="E1767" s="44"/>
      <c r="F1767" s="146"/>
      <c r="G1767" s="1"/>
      <c r="H1767" s="161"/>
      <c r="I1767" s="37"/>
      <c r="J1767" s="135"/>
      <c r="K1767" s="112"/>
      <c r="L1767" s="37"/>
      <c r="M1767" s="37"/>
      <c r="N1767" s="37"/>
      <c r="O1767" s="130"/>
      <c r="P1767" s="132"/>
      <c r="Q1767" s="262"/>
      <c r="R1767" s="92"/>
    </row>
    <row r="1768" spans="3:18" x14ac:dyDescent="0.25">
      <c r="C1768" s="264"/>
      <c r="D1768" s="157"/>
      <c r="E1768" s="44"/>
      <c r="F1768" s="146"/>
      <c r="G1768" s="1"/>
      <c r="H1768" s="161"/>
      <c r="I1768" s="37"/>
      <c r="J1768" s="135"/>
      <c r="K1768" s="112"/>
      <c r="L1768" s="37"/>
      <c r="M1768" s="37"/>
      <c r="N1768" s="37"/>
      <c r="O1768" s="130"/>
      <c r="P1768" s="132"/>
      <c r="Q1768" s="262"/>
      <c r="R1768" s="92"/>
    </row>
    <row r="1769" spans="3:18" x14ac:dyDescent="0.25">
      <c r="C1769" s="264"/>
      <c r="D1769" s="157"/>
      <c r="E1769" s="44"/>
      <c r="F1769" s="146"/>
      <c r="G1769" s="1"/>
      <c r="H1769" s="161"/>
      <c r="I1769" s="37"/>
      <c r="J1769" s="135"/>
      <c r="K1769" s="112"/>
      <c r="L1769" s="37"/>
      <c r="M1769" s="37"/>
      <c r="N1769" s="37"/>
      <c r="O1769" s="130"/>
      <c r="P1769" s="132"/>
      <c r="Q1769" s="262"/>
      <c r="R1769" s="92"/>
    </row>
    <row r="1770" spans="3:18" x14ac:dyDescent="0.25">
      <c r="C1770" s="264"/>
      <c r="D1770" s="157"/>
      <c r="E1770" s="44"/>
      <c r="F1770" s="146"/>
      <c r="G1770" s="1"/>
      <c r="H1770" s="161"/>
      <c r="I1770" s="37"/>
      <c r="J1770" s="135"/>
      <c r="K1770" s="112"/>
      <c r="L1770" s="37"/>
      <c r="M1770" s="37"/>
      <c r="N1770" s="37"/>
      <c r="O1770" s="130"/>
      <c r="P1770" s="132"/>
      <c r="Q1770" s="262"/>
      <c r="R1770" s="92"/>
    </row>
    <row r="1771" spans="3:18" x14ac:dyDescent="0.25">
      <c r="C1771" s="264"/>
      <c r="D1771" s="157"/>
      <c r="E1771" s="44"/>
      <c r="F1771" s="146"/>
      <c r="G1771" s="1"/>
      <c r="H1771" s="161"/>
      <c r="I1771" s="37"/>
      <c r="J1771" s="135"/>
      <c r="K1771" s="112"/>
      <c r="L1771" s="37"/>
      <c r="M1771" s="37"/>
      <c r="N1771" s="37"/>
      <c r="O1771" s="130"/>
      <c r="P1771" s="132"/>
      <c r="Q1771" s="262"/>
      <c r="R1771" s="92"/>
    </row>
    <row r="1772" spans="3:18" x14ac:dyDescent="0.25">
      <c r="C1772" s="264"/>
      <c r="D1772" s="157"/>
      <c r="E1772" s="44"/>
      <c r="F1772" s="146"/>
      <c r="G1772" s="1"/>
      <c r="H1772" s="161"/>
      <c r="I1772" s="37"/>
      <c r="J1772" s="135"/>
      <c r="K1772" s="112"/>
      <c r="L1772" s="37"/>
      <c r="M1772" s="37"/>
      <c r="N1772" s="37"/>
      <c r="O1772" s="130"/>
      <c r="P1772" s="132"/>
      <c r="Q1772" s="262"/>
      <c r="R1772" s="92"/>
    </row>
    <row r="1773" spans="3:18" x14ac:dyDescent="0.25">
      <c r="C1773" s="264"/>
      <c r="D1773" s="157"/>
      <c r="E1773" s="44"/>
      <c r="F1773" s="146"/>
      <c r="G1773" s="1"/>
      <c r="H1773" s="161"/>
      <c r="I1773" s="37"/>
      <c r="J1773" s="135"/>
      <c r="K1773" s="112"/>
      <c r="L1773" s="37"/>
      <c r="M1773" s="37"/>
      <c r="N1773" s="37"/>
      <c r="O1773" s="130"/>
      <c r="P1773" s="132"/>
      <c r="Q1773" s="262"/>
      <c r="R1773" s="92"/>
    </row>
    <row r="1774" spans="3:18" x14ac:dyDescent="0.25">
      <c r="C1774" s="264"/>
      <c r="D1774" s="157"/>
      <c r="E1774" s="44"/>
      <c r="F1774" s="146"/>
      <c r="G1774" s="1"/>
      <c r="H1774" s="161"/>
      <c r="I1774" s="37"/>
      <c r="J1774" s="135"/>
      <c r="K1774" s="112"/>
      <c r="L1774" s="37"/>
      <c r="M1774" s="37"/>
      <c r="N1774" s="37"/>
      <c r="O1774" s="130"/>
      <c r="P1774" s="132"/>
      <c r="Q1774" s="262"/>
      <c r="R1774" s="92"/>
    </row>
    <row r="1775" spans="3:18" x14ac:dyDescent="0.25">
      <c r="C1775" s="264"/>
      <c r="D1775" s="157"/>
      <c r="E1775" s="44"/>
      <c r="F1775" s="146"/>
      <c r="G1775" s="1"/>
      <c r="H1775" s="161"/>
      <c r="I1775" s="37"/>
      <c r="J1775" s="135"/>
      <c r="K1775" s="112"/>
      <c r="L1775" s="37"/>
      <c r="M1775" s="37"/>
      <c r="N1775" s="37"/>
      <c r="O1775" s="130"/>
      <c r="P1775" s="132"/>
      <c r="Q1775" s="262"/>
      <c r="R1775" s="92"/>
    </row>
    <row r="1776" spans="3:18" x14ac:dyDescent="0.25">
      <c r="C1776" s="264"/>
      <c r="D1776" s="157"/>
      <c r="E1776" s="44"/>
      <c r="F1776" s="146"/>
      <c r="G1776" s="1"/>
      <c r="H1776" s="161"/>
      <c r="I1776" s="37"/>
      <c r="J1776" s="135"/>
      <c r="K1776" s="112"/>
      <c r="L1776" s="37"/>
      <c r="M1776" s="37"/>
      <c r="N1776" s="37"/>
      <c r="O1776" s="130"/>
      <c r="P1776" s="132"/>
      <c r="Q1776" s="262"/>
      <c r="R1776" s="92"/>
    </row>
    <row r="1777" spans="3:18" x14ac:dyDescent="0.25">
      <c r="C1777" s="264"/>
      <c r="D1777" s="157"/>
      <c r="E1777" s="44"/>
      <c r="F1777" s="146"/>
      <c r="G1777" s="1"/>
      <c r="H1777" s="161"/>
      <c r="I1777" s="37"/>
      <c r="J1777" s="135"/>
      <c r="K1777" s="112"/>
      <c r="L1777" s="37"/>
      <c r="M1777" s="37"/>
      <c r="N1777" s="37"/>
      <c r="O1777" s="130"/>
      <c r="P1777" s="132"/>
      <c r="Q1777" s="262"/>
      <c r="R1777" s="92"/>
    </row>
    <row r="1778" spans="3:18" x14ac:dyDescent="0.25">
      <c r="C1778" s="264"/>
      <c r="D1778" s="157"/>
      <c r="E1778" s="44"/>
      <c r="F1778" s="146"/>
      <c r="G1778" s="1"/>
      <c r="H1778" s="161"/>
      <c r="I1778" s="37"/>
      <c r="J1778" s="135"/>
      <c r="K1778" s="112"/>
      <c r="L1778" s="37"/>
      <c r="M1778" s="37"/>
      <c r="N1778" s="37"/>
      <c r="O1778" s="130"/>
      <c r="P1778" s="132"/>
      <c r="Q1778" s="262"/>
      <c r="R1778" s="92"/>
    </row>
    <row r="1779" spans="3:18" x14ac:dyDescent="0.25">
      <c r="C1779" s="264"/>
      <c r="D1779" s="157"/>
      <c r="E1779" s="44"/>
      <c r="F1779" s="146"/>
      <c r="G1779" s="1"/>
      <c r="H1779" s="161"/>
      <c r="I1779" s="37"/>
      <c r="J1779" s="135"/>
      <c r="K1779" s="112"/>
      <c r="L1779" s="37"/>
      <c r="M1779" s="37"/>
      <c r="N1779" s="37"/>
      <c r="O1779" s="130"/>
      <c r="P1779" s="132"/>
      <c r="Q1779" s="262"/>
      <c r="R1779" s="92"/>
    </row>
    <row r="1780" spans="3:18" x14ac:dyDescent="0.25">
      <c r="C1780" s="264"/>
      <c r="D1780" s="157"/>
      <c r="E1780" s="44"/>
      <c r="F1780" s="146"/>
      <c r="G1780" s="1"/>
      <c r="H1780" s="161"/>
      <c r="I1780" s="37"/>
      <c r="J1780" s="135"/>
      <c r="K1780" s="112"/>
      <c r="L1780" s="37"/>
      <c r="M1780" s="37"/>
      <c r="N1780" s="37"/>
      <c r="O1780" s="130"/>
      <c r="P1780" s="132"/>
      <c r="Q1780" s="262"/>
      <c r="R1780" s="92"/>
    </row>
    <row r="1781" spans="3:18" x14ac:dyDescent="0.25">
      <c r="C1781" s="264"/>
      <c r="D1781" s="157"/>
      <c r="E1781" s="44"/>
      <c r="F1781" s="146"/>
      <c r="G1781" s="1"/>
      <c r="H1781" s="161"/>
      <c r="I1781" s="37"/>
      <c r="J1781" s="135"/>
      <c r="K1781" s="112"/>
      <c r="L1781" s="37"/>
      <c r="M1781" s="37"/>
      <c r="N1781" s="37"/>
      <c r="O1781" s="130"/>
      <c r="P1781" s="132"/>
      <c r="Q1781" s="262"/>
      <c r="R1781" s="92"/>
    </row>
    <row r="1782" spans="3:18" x14ac:dyDescent="0.25">
      <c r="C1782" s="264"/>
      <c r="D1782" s="157"/>
      <c r="E1782" s="44"/>
      <c r="F1782" s="146"/>
      <c r="G1782" s="1"/>
      <c r="H1782" s="161"/>
      <c r="I1782" s="37"/>
      <c r="J1782" s="135"/>
      <c r="K1782" s="112"/>
      <c r="L1782" s="37"/>
      <c r="M1782" s="37"/>
      <c r="N1782" s="37"/>
      <c r="O1782" s="130"/>
      <c r="P1782" s="132"/>
      <c r="Q1782" s="262"/>
      <c r="R1782" s="92"/>
    </row>
    <row r="1783" spans="3:18" x14ac:dyDescent="0.25">
      <c r="C1783" s="264"/>
      <c r="D1783" s="157"/>
      <c r="E1783" s="44"/>
      <c r="F1783" s="146"/>
      <c r="G1783" s="1"/>
      <c r="H1783" s="161"/>
      <c r="I1783" s="37"/>
      <c r="J1783" s="135"/>
      <c r="K1783" s="112"/>
      <c r="L1783" s="37"/>
      <c r="M1783" s="37"/>
      <c r="N1783" s="37"/>
      <c r="O1783" s="130"/>
      <c r="P1783" s="132"/>
      <c r="Q1783" s="262"/>
      <c r="R1783" s="92"/>
    </row>
    <row r="1784" spans="3:18" x14ac:dyDescent="0.25">
      <c r="C1784" s="264"/>
      <c r="D1784" s="157"/>
      <c r="E1784" s="44"/>
      <c r="F1784" s="146"/>
      <c r="G1784" s="1"/>
      <c r="H1784" s="161"/>
      <c r="I1784" s="37"/>
      <c r="J1784" s="135"/>
      <c r="K1784" s="112"/>
      <c r="L1784" s="37"/>
      <c r="M1784" s="37"/>
      <c r="N1784" s="37"/>
      <c r="O1784" s="130"/>
      <c r="P1784" s="132"/>
      <c r="Q1784" s="262"/>
      <c r="R1784" s="92"/>
    </row>
    <row r="1785" spans="3:18" x14ac:dyDescent="0.25">
      <c r="C1785" s="264"/>
      <c r="D1785" s="157"/>
      <c r="E1785" s="44"/>
      <c r="F1785" s="146"/>
      <c r="G1785" s="1"/>
      <c r="H1785" s="161"/>
      <c r="I1785" s="37"/>
      <c r="J1785" s="135"/>
      <c r="K1785" s="112"/>
      <c r="L1785" s="37"/>
      <c r="M1785" s="37"/>
      <c r="N1785" s="37"/>
      <c r="O1785" s="130"/>
      <c r="P1785" s="132"/>
      <c r="Q1785" s="262"/>
      <c r="R1785" s="92"/>
    </row>
    <row r="1786" spans="3:18" x14ac:dyDescent="0.25">
      <c r="C1786" s="264"/>
      <c r="D1786" s="157"/>
      <c r="E1786" s="44"/>
      <c r="F1786" s="146"/>
      <c r="G1786" s="1"/>
      <c r="H1786" s="161"/>
      <c r="I1786" s="37"/>
      <c r="J1786" s="135"/>
      <c r="K1786" s="112"/>
      <c r="L1786" s="37"/>
      <c r="M1786" s="37"/>
      <c r="N1786" s="37"/>
      <c r="O1786" s="130"/>
      <c r="P1786" s="132"/>
      <c r="Q1786" s="262"/>
      <c r="R1786" s="92"/>
    </row>
    <row r="1787" spans="3:18" x14ac:dyDescent="0.25">
      <c r="C1787" s="264"/>
      <c r="D1787" s="157"/>
      <c r="E1787" s="44"/>
      <c r="F1787" s="146"/>
      <c r="G1787" s="1"/>
      <c r="H1787" s="161"/>
      <c r="I1787" s="37"/>
      <c r="J1787" s="135"/>
      <c r="K1787" s="112"/>
      <c r="L1787" s="37"/>
      <c r="M1787" s="37"/>
      <c r="N1787" s="37"/>
      <c r="O1787" s="130"/>
      <c r="P1787" s="132"/>
      <c r="Q1787" s="262"/>
      <c r="R1787" s="92"/>
    </row>
    <row r="1788" spans="3:18" x14ac:dyDescent="0.25">
      <c r="C1788" s="264"/>
      <c r="D1788" s="157"/>
      <c r="E1788" s="44"/>
      <c r="F1788" s="146"/>
      <c r="G1788" s="1"/>
      <c r="H1788" s="161"/>
      <c r="I1788" s="37"/>
      <c r="J1788" s="135"/>
      <c r="K1788" s="112"/>
      <c r="L1788" s="37"/>
      <c r="M1788" s="37"/>
      <c r="N1788" s="37"/>
      <c r="O1788" s="130"/>
      <c r="P1788" s="132"/>
      <c r="Q1788" s="262"/>
      <c r="R1788" s="92"/>
    </row>
    <row r="1789" spans="3:18" x14ac:dyDescent="0.25">
      <c r="C1789" s="264"/>
      <c r="D1789" s="157"/>
      <c r="E1789" s="44"/>
      <c r="F1789" s="146"/>
      <c r="G1789" s="1"/>
      <c r="H1789" s="161"/>
      <c r="I1789" s="37"/>
      <c r="J1789" s="135"/>
      <c r="K1789" s="112"/>
      <c r="L1789" s="37"/>
      <c r="M1789" s="37"/>
      <c r="N1789" s="37"/>
      <c r="O1789" s="130"/>
      <c r="P1789" s="132"/>
      <c r="Q1789" s="262"/>
      <c r="R1789" s="92"/>
    </row>
    <row r="1790" spans="3:18" x14ac:dyDescent="0.25">
      <c r="C1790" s="264"/>
      <c r="D1790" s="157"/>
      <c r="E1790" s="44"/>
      <c r="F1790" s="146"/>
      <c r="G1790" s="1"/>
      <c r="H1790" s="161"/>
      <c r="I1790" s="37"/>
      <c r="J1790" s="135"/>
      <c r="K1790" s="112"/>
      <c r="L1790" s="37"/>
      <c r="M1790" s="37"/>
      <c r="N1790" s="37"/>
      <c r="O1790" s="130"/>
      <c r="P1790" s="132"/>
      <c r="Q1790" s="262"/>
      <c r="R1790" s="92"/>
    </row>
    <row r="1791" spans="3:18" x14ac:dyDescent="0.25">
      <c r="C1791" s="264"/>
      <c r="D1791" s="157"/>
      <c r="E1791" s="44"/>
      <c r="F1791" s="146"/>
      <c r="G1791" s="1"/>
      <c r="H1791" s="161"/>
      <c r="I1791" s="37"/>
      <c r="J1791" s="135"/>
      <c r="K1791" s="112"/>
      <c r="L1791" s="37"/>
      <c r="M1791" s="37"/>
      <c r="N1791" s="37"/>
      <c r="O1791" s="130"/>
      <c r="P1791" s="132"/>
      <c r="Q1791" s="262"/>
      <c r="R1791" s="92"/>
    </row>
    <row r="1792" spans="3:18" x14ac:dyDescent="0.25">
      <c r="C1792" s="264"/>
      <c r="D1792" s="157"/>
      <c r="E1792" s="44"/>
      <c r="F1792" s="146"/>
      <c r="G1792" s="1"/>
      <c r="H1792" s="161"/>
      <c r="I1792" s="37"/>
      <c r="J1792" s="135"/>
      <c r="K1792" s="112"/>
      <c r="L1792" s="37"/>
      <c r="M1792" s="37"/>
      <c r="N1792" s="37"/>
      <c r="O1792" s="130"/>
      <c r="P1792" s="132"/>
      <c r="Q1792" s="262"/>
      <c r="R1792" s="92"/>
    </row>
    <row r="1793" spans="3:18" x14ac:dyDescent="0.25">
      <c r="C1793" s="264"/>
      <c r="D1793" s="157"/>
      <c r="E1793" s="44"/>
      <c r="F1793" s="146"/>
      <c r="G1793" s="1"/>
      <c r="H1793" s="161"/>
      <c r="I1793" s="37"/>
      <c r="J1793" s="135"/>
      <c r="K1793" s="112"/>
      <c r="L1793" s="37"/>
      <c r="M1793" s="37"/>
      <c r="N1793" s="37"/>
      <c r="O1793" s="130"/>
      <c r="P1793" s="132"/>
      <c r="Q1793" s="262"/>
      <c r="R1793" s="92"/>
    </row>
    <row r="1794" spans="3:18" x14ac:dyDescent="0.25">
      <c r="C1794" s="264"/>
      <c r="D1794" s="157"/>
      <c r="E1794" s="44"/>
      <c r="F1794" s="146"/>
      <c r="G1794" s="1"/>
      <c r="H1794" s="161"/>
      <c r="I1794" s="37"/>
      <c r="J1794" s="135"/>
      <c r="K1794" s="112"/>
      <c r="L1794" s="37"/>
      <c r="M1794" s="37"/>
      <c r="N1794" s="37"/>
      <c r="O1794" s="130"/>
      <c r="P1794" s="132"/>
      <c r="Q1794" s="262"/>
      <c r="R1794" s="92"/>
    </row>
    <row r="1795" spans="3:18" x14ac:dyDescent="0.25">
      <c r="C1795" s="264"/>
      <c r="D1795" s="157"/>
      <c r="E1795" s="44"/>
      <c r="F1795" s="146"/>
      <c r="G1795" s="1"/>
      <c r="H1795" s="161"/>
      <c r="I1795" s="37"/>
      <c r="J1795" s="135"/>
      <c r="K1795" s="112"/>
      <c r="L1795" s="37"/>
      <c r="M1795" s="37"/>
      <c r="N1795" s="37"/>
      <c r="O1795" s="130"/>
      <c r="P1795" s="132"/>
      <c r="Q1795" s="262"/>
      <c r="R1795" s="92"/>
    </row>
    <row r="1796" spans="3:18" x14ac:dyDescent="0.25">
      <c r="C1796" s="264"/>
      <c r="D1796" s="157"/>
      <c r="E1796" s="44"/>
      <c r="F1796" s="146"/>
      <c r="G1796" s="1"/>
      <c r="H1796" s="161"/>
      <c r="I1796" s="37"/>
      <c r="J1796" s="135"/>
      <c r="K1796" s="112"/>
      <c r="L1796" s="37"/>
      <c r="M1796" s="37"/>
      <c r="N1796" s="37"/>
      <c r="O1796" s="130"/>
      <c r="P1796" s="132"/>
      <c r="Q1796" s="262"/>
      <c r="R1796" s="92"/>
    </row>
    <row r="1797" spans="3:18" x14ac:dyDescent="0.25">
      <c r="C1797" s="264"/>
      <c r="D1797" s="157"/>
      <c r="E1797" s="44"/>
      <c r="F1797" s="146"/>
      <c r="G1797" s="1"/>
      <c r="H1797" s="161"/>
      <c r="I1797" s="37"/>
      <c r="J1797" s="135"/>
      <c r="K1797" s="112"/>
      <c r="L1797" s="37"/>
      <c r="M1797" s="37"/>
      <c r="N1797" s="37"/>
      <c r="O1797" s="130"/>
      <c r="P1797" s="132"/>
      <c r="Q1797" s="262"/>
      <c r="R1797" s="92"/>
    </row>
    <row r="1798" spans="3:18" x14ac:dyDescent="0.25">
      <c r="C1798" s="264"/>
      <c r="D1798" s="157"/>
      <c r="E1798" s="44"/>
      <c r="F1798" s="146"/>
      <c r="G1798" s="1"/>
      <c r="H1798" s="161"/>
      <c r="I1798" s="37"/>
      <c r="J1798" s="135"/>
      <c r="K1798" s="112"/>
      <c r="L1798" s="37"/>
      <c r="M1798" s="37"/>
      <c r="N1798" s="37"/>
      <c r="O1798" s="130"/>
      <c r="P1798" s="132"/>
      <c r="Q1798" s="262"/>
      <c r="R1798" s="92"/>
    </row>
    <row r="1799" spans="3:18" x14ac:dyDescent="0.25">
      <c r="C1799" s="264"/>
      <c r="D1799" s="157"/>
      <c r="E1799" s="44"/>
      <c r="F1799" s="146"/>
      <c r="G1799" s="1"/>
      <c r="H1799" s="161"/>
      <c r="I1799" s="37"/>
      <c r="J1799" s="135"/>
      <c r="K1799" s="112"/>
      <c r="L1799" s="37"/>
      <c r="M1799" s="37"/>
      <c r="N1799" s="37"/>
      <c r="O1799" s="130"/>
      <c r="P1799" s="132"/>
      <c r="Q1799" s="262"/>
      <c r="R1799" s="92"/>
    </row>
    <row r="1800" spans="3:18" x14ac:dyDescent="0.25">
      <c r="C1800" s="264"/>
      <c r="D1800" s="157"/>
      <c r="E1800" s="44"/>
      <c r="F1800" s="146"/>
      <c r="G1800" s="1"/>
      <c r="H1800" s="161"/>
      <c r="I1800" s="37"/>
      <c r="J1800" s="135"/>
      <c r="K1800" s="112"/>
      <c r="L1800" s="37"/>
      <c r="M1800" s="37"/>
      <c r="N1800" s="37"/>
      <c r="O1800" s="130"/>
      <c r="P1800" s="132"/>
      <c r="Q1800" s="262"/>
      <c r="R1800" s="92"/>
    </row>
    <row r="1801" spans="3:18" x14ac:dyDescent="0.25">
      <c r="C1801" s="264"/>
      <c r="D1801" s="157"/>
      <c r="E1801" s="44"/>
      <c r="F1801" s="146"/>
      <c r="G1801" s="1"/>
      <c r="H1801" s="161"/>
      <c r="I1801" s="37"/>
      <c r="J1801" s="135"/>
      <c r="K1801" s="112"/>
      <c r="L1801" s="37"/>
      <c r="M1801" s="37"/>
      <c r="N1801" s="37"/>
      <c r="O1801" s="130"/>
      <c r="P1801" s="132"/>
      <c r="Q1801" s="262"/>
      <c r="R1801" s="92"/>
    </row>
    <row r="1802" spans="3:18" x14ac:dyDescent="0.25">
      <c r="C1802" s="264"/>
      <c r="D1802" s="157"/>
      <c r="E1802" s="44"/>
      <c r="F1802" s="146"/>
      <c r="G1802" s="1"/>
      <c r="H1802" s="161"/>
      <c r="I1802" s="37"/>
      <c r="J1802" s="135"/>
      <c r="K1802" s="112"/>
      <c r="L1802" s="37"/>
      <c r="M1802" s="37"/>
      <c r="N1802" s="37"/>
      <c r="O1802" s="130"/>
      <c r="P1802" s="132"/>
      <c r="Q1802" s="262"/>
      <c r="R1802" s="92"/>
    </row>
    <row r="1803" spans="3:18" x14ac:dyDescent="0.25">
      <c r="C1803" s="264"/>
      <c r="D1803" s="157"/>
      <c r="E1803" s="44"/>
      <c r="F1803" s="146"/>
      <c r="G1803" s="1"/>
      <c r="H1803" s="161"/>
      <c r="I1803" s="37"/>
      <c r="J1803" s="135"/>
      <c r="K1803" s="112"/>
      <c r="L1803" s="37"/>
      <c r="M1803" s="37"/>
      <c r="N1803" s="37"/>
      <c r="O1803" s="130"/>
      <c r="P1803" s="132"/>
      <c r="Q1803" s="262"/>
      <c r="R1803" s="92"/>
    </row>
    <row r="1804" spans="3:18" x14ac:dyDescent="0.25">
      <c r="C1804" s="264"/>
      <c r="D1804" s="157"/>
      <c r="E1804" s="44"/>
      <c r="F1804" s="146"/>
      <c r="G1804" s="1"/>
      <c r="H1804" s="161"/>
      <c r="I1804" s="37"/>
      <c r="J1804" s="135"/>
      <c r="K1804" s="112"/>
      <c r="L1804" s="37"/>
      <c r="M1804" s="37"/>
      <c r="N1804" s="37"/>
      <c r="O1804" s="130"/>
      <c r="P1804" s="132"/>
      <c r="Q1804" s="262"/>
      <c r="R1804" s="92"/>
    </row>
    <row r="1805" spans="3:18" x14ac:dyDescent="0.25">
      <c r="C1805" s="264"/>
      <c r="D1805" s="157"/>
      <c r="E1805" s="44"/>
      <c r="F1805" s="146"/>
      <c r="G1805" s="1"/>
      <c r="H1805" s="161"/>
      <c r="I1805" s="37"/>
      <c r="J1805" s="135"/>
      <c r="K1805" s="112"/>
      <c r="L1805" s="37"/>
      <c r="M1805" s="37"/>
      <c r="N1805" s="37"/>
      <c r="O1805" s="130"/>
      <c r="P1805" s="132"/>
      <c r="Q1805" s="262"/>
      <c r="R1805" s="92"/>
    </row>
    <row r="1806" spans="3:18" x14ac:dyDescent="0.25">
      <c r="C1806" s="264"/>
      <c r="D1806" s="157"/>
      <c r="E1806" s="44"/>
      <c r="F1806" s="146"/>
      <c r="G1806" s="1"/>
      <c r="H1806" s="161"/>
      <c r="I1806" s="37"/>
      <c r="J1806" s="135"/>
      <c r="K1806" s="112"/>
      <c r="L1806" s="37"/>
      <c r="M1806" s="37"/>
      <c r="N1806" s="37"/>
      <c r="O1806" s="130"/>
      <c r="P1806" s="132"/>
      <c r="Q1806" s="262"/>
      <c r="R1806" s="92"/>
    </row>
    <row r="1807" spans="3:18" x14ac:dyDescent="0.25">
      <c r="C1807" s="264"/>
      <c r="D1807" s="157"/>
      <c r="E1807" s="44"/>
      <c r="F1807" s="146"/>
      <c r="G1807" s="1"/>
      <c r="H1807" s="161"/>
      <c r="I1807" s="37"/>
      <c r="J1807" s="135"/>
      <c r="K1807" s="112"/>
      <c r="L1807" s="37"/>
      <c r="M1807" s="37"/>
      <c r="N1807" s="37"/>
      <c r="O1807" s="130"/>
      <c r="P1807" s="132"/>
      <c r="Q1807" s="262"/>
      <c r="R1807" s="92"/>
    </row>
    <row r="1808" spans="3:18" x14ac:dyDescent="0.25">
      <c r="C1808" s="264"/>
      <c r="D1808" s="157"/>
      <c r="E1808" s="44"/>
      <c r="F1808" s="146"/>
      <c r="G1808" s="1"/>
      <c r="H1808" s="161"/>
      <c r="I1808" s="37"/>
      <c r="J1808" s="135"/>
      <c r="K1808" s="112"/>
      <c r="L1808" s="37"/>
      <c r="M1808" s="37"/>
      <c r="N1808" s="37"/>
      <c r="O1808" s="130"/>
      <c r="P1808" s="132"/>
      <c r="Q1808" s="262"/>
      <c r="R1808" s="92"/>
    </row>
    <row r="1809" spans="3:18" x14ac:dyDescent="0.25">
      <c r="C1809" s="264"/>
      <c r="D1809" s="157"/>
      <c r="E1809" s="44"/>
      <c r="F1809" s="146"/>
      <c r="G1809" s="1"/>
      <c r="H1809" s="161"/>
      <c r="I1809" s="37"/>
      <c r="J1809" s="135"/>
      <c r="K1809" s="112"/>
      <c r="L1809" s="37"/>
      <c r="M1809" s="37"/>
      <c r="N1809" s="37"/>
      <c r="O1809" s="130"/>
      <c r="P1809" s="132"/>
      <c r="Q1809" s="262"/>
      <c r="R1809" s="92"/>
    </row>
    <row r="1810" spans="3:18" x14ac:dyDescent="0.25">
      <c r="C1810" s="264"/>
      <c r="D1810" s="157"/>
      <c r="E1810" s="44"/>
      <c r="F1810" s="146"/>
      <c r="G1810" s="1"/>
      <c r="H1810" s="161"/>
      <c r="I1810" s="37"/>
      <c r="J1810" s="135"/>
      <c r="K1810" s="112"/>
      <c r="L1810" s="37"/>
      <c r="M1810" s="37"/>
      <c r="N1810" s="37"/>
      <c r="O1810" s="130"/>
      <c r="P1810" s="132"/>
      <c r="Q1810" s="262"/>
      <c r="R1810" s="92"/>
    </row>
    <row r="1811" spans="3:18" x14ac:dyDescent="0.25">
      <c r="C1811" s="264"/>
      <c r="D1811" s="157"/>
      <c r="E1811" s="44"/>
      <c r="F1811" s="146"/>
      <c r="G1811" s="1"/>
      <c r="H1811" s="161"/>
      <c r="I1811" s="37"/>
      <c r="J1811" s="135"/>
      <c r="K1811" s="112"/>
      <c r="L1811" s="37"/>
      <c r="M1811" s="37"/>
      <c r="N1811" s="37"/>
      <c r="O1811" s="130"/>
      <c r="P1811" s="132"/>
      <c r="Q1811" s="262"/>
      <c r="R1811" s="92"/>
    </row>
    <row r="1812" spans="3:18" x14ac:dyDescent="0.25">
      <c r="C1812" s="264"/>
      <c r="D1812" s="157"/>
      <c r="E1812" s="44"/>
      <c r="F1812" s="146"/>
      <c r="G1812" s="1"/>
      <c r="H1812" s="161"/>
      <c r="I1812" s="37"/>
      <c r="J1812" s="135"/>
      <c r="K1812" s="112"/>
      <c r="L1812" s="37"/>
      <c r="M1812" s="37"/>
      <c r="N1812" s="37"/>
      <c r="O1812" s="130"/>
      <c r="P1812" s="132"/>
      <c r="Q1812" s="262"/>
      <c r="R1812" s="92"/>
    </row>
    <row r="1813" spans="3:18" x14ac:dyDescent="0.25">
      <c r="C1813" s="264"/>
      <c r="D1813" s="157"/>
      <c r="E1813" s="44"/>
      <c r="F1813" s="146"/>
      <c r="G1813" s="1"/>
      <c r="H1813" s="161"/>
      <c r="I1813" s="37"/>
      <c r="J1813" s="135"/>
      <c r="K1813" s="112"/>
      <c r="L1813" s="37"/>
      <c r="M1813" s="37"/>
      <c r="N1813" s="37"/>
      <c r="O1813" s="130"/>
      <c r="P1813" s="132"/>
      <c r="Q1813" s="262"/>
      <c r="R1813" s="92"/>
    </row>
    <row r="1814" spans="3:18" x14ac:dyDescent="0.25">
      <c r="C1814" s="264"/>
      <c r="D1814" s="157"/>
      <c r="E1814" s="44"/>
      <c r="F1814" s="146"/>
      <c r="G1814" s="1"/>
      <c r="H1814" s="161"/>
      <c r="I1814" s="37"/>
      <c r="J1814" s="135"/>
      <c r="K1814" s="112"/>
      <c r="L1814" s="37"/>
      <c r="M1814" s="37"/>
      <c r="N1814" s="37"/>
      <c r="O1814" s="130"/>
      <c r="P1814" s="132"/>
      <c r="Q1814" s="262"/>
      <c r="R1814" s="92"/>
    </row>
    <row r="1815" spans="3:18" x14ac:dyDescent="0.25">
      <c r="C1815" s="264"/>
      <c r="D1815" s="157"/>
      <c r="E1815" s="44"/>
      <c r="F1815" s="146"/>
      <c r="G1815" s="1"/>
      <c r="H1815" s="161"/>
      <c r="I1815" s="37"/>
      <c r="J1815" s="135"/>
      <c r="K1815" s="112"/>
      <c r="L1815" s="37"/>
      <c r="M1815" s="37"/>
      <c r="N1815" s="37"/>
      <c r="O1815" s="130"/>
      <c r="P1815" s="132"/>
      <c r="Q1815" s="262"/>
      <c r="R1815" s="92"/>
    </row>
    <row r="1816" spans="3:18" x14ac:dyDescent="0.25">
      <c r="C1816" s="264"/>
      <c r="D1816" s="157"/>
      <c r="E1816" s="44"/>
      <c r="F1816" s="146"/>
      <c r="G1816" s="1"/>
      <c r="H1816" s="161"/>
      <c r="I1816" s="37"/>
      <c r="J1816" s="135"/>
      <c r="K1816" s="112"/>
      <c r="L1816" s="37"/>
      <c r="M1816" s="37"/>
      <c r="N1816" s="37"/>
      <c r="O1816" s="130"/>
      <c r="P1816" s="132"/>
      <c r="Q1816" s="262"/>
      <c r="R1816" s="92"/>
    </row>
    <row r="1817" spans="3:18" x14ac:dyDescent="0.25">
      <c r="C1817" s="264"/>
      <c r="D1817" s="157"/>
      <c r="E1817" s="44"/>
      <c r="F1817" s="146"/>
      <c r="G1817" s="1"/>
      <c r="H1817" s="161"/>
      <c r="I1817" s="37"/>
      <c r="J1817" s="135"/>
      <c r="K1817" s="112"/>
      <c r="L1817" s="37"/>
      <c r="M1817" s="37"/>
      <c r="N1817" s="37"/>
      <c r="O1817" s="130"/>
      <c r="P1817" s="132"/>
      <c r="Q1817" s="262"/>
      <c r="R1817" s="92"/>
    </row>
    <row r="1818" spans="3:18" x14ac:dyDescent="0.25">
      <c r="C1818" s="264"/>
      <c r="D1818" s="157"/>
      <c r="E1818" s="44"/>
      <c r="F1818" s="146"/>
      <c r="G1818" s="1"/>
      <c r="H1818" s="161"/>
      <c r="I1818" s="37"/>
      <c r="J1818" s="135"/>
      <c r="K1818" s="112"/>
      <c r="L1818" s="37"/>
      <c r="M1818" s="37"/>
      <c r="N1818" s="37"/>
      <c r="O1818" s="130"/>
      <c r="P1818" s="132"/>
      <c r="Q1818" s="262"/>
      <c r="R1818" s="92"/>
    </row>
    <row r="1819" spans="3:18" x14ac:dyDescent="0.25">
      <c r="C1819" s="264"/>
      <c r="D1819" s="157"/>
      <c r="E1819" s="44"/>
      <c r="F1819" s="146"/>
      <c r="G1819" s="1"/>
      <c r="H1819" s="161"/>
      <c r="I1819" s="37"/>
      <c r="J1819" s="135"/>
      <c r="K1819" s="112"/>
      <c r="L1819" s="37"/>
      <c r="M1819" s="37"/>
      <c r="N1819" s="37"/>
      <c r="O1819" s="130"/>
      <c r="P1819" s="132"/>
      <c r="Q1819" s="262"/>
      <c r="R1819" s="92"/>
    </row>
    <row r="1820" spans="3:18" x14ac:dyDescent="0.25">
      <c r="C1820" s="264"/>
      <c r="D1820" s="157"/>
      <c r="E1820" s="44"/>
      <c r="F1820" s="146"/>
      <c r="G1820" s="1"/>
      <c r="H1820" s="161"/>
      <c r="I1820" s="37"/>
      <c r="J1820" s="135"/>
      <c r="K1820" s="112"/>
      <c r="L1820" s="37"/>
      <c r="M1820" s="37"/>
      <c r="N1820" s="37"/>
      <c r="O1820" s="130"/>
      <c r="P1820" s="132"/>
      <c r="Q1820" s="262"/>
      <c r="R1820" s="92"/>
    </row>
    <row r="1821" spans="3:18" x14ac:dyDescent="0.25">
      <c r="C1821" s="264"/>
      <c r="D1821" s="157"/>
      <c r="E1821" s="44"/>
      <c r="F1821" s="146"/>
      <c r="G1821" s="1"/>
      <c r="H1821" s="161"/>
      <c r="I1821" s="37"/>
      <c r="J1821" s="135"/>
      <c r="K1821" s="112"/>
      <c r="L1821" s="37"/>
      <c r="M1821" s="37"/>
      <c r="N1821" s="37"/>
      <c r="O1821" s="130"/>
      <c r="P1821" s="132"/>
      <c r="Q1821" s="262"/>
      <c r="R1821" s="92"/>
    </row>
    <row r="1822" spans="3:18" x14ac:dyDescent="0.25">
      <c r="C1822" s="264"/>
      <c r="D1822" s="157"/>
      <c r="E1822" s="44"/>
      <c r="F1822" s="146"/>
      <c r="G1822" s="1"/>
      <c r="H1822" s="161"/>
      <c r="I1822" s="37"/>
      <c r="J1822" s="135"/>
      <c r="K1822" s="112"/>
      <c r="L1822" s="37"/>
      <c r="M1822" s="37"/>
      <c r="N1822" s="37"/>
      <c r="O1822" s="130"/>
      <c r="P1822" s="132"/>
      <c r="Q1822" s="262"/>
      <c r="R1822" s="92"/>
    </row>
    <row r="1823" spans="3:18" x14ac:dyDescent="0.25">
      <c r="C1823" s="264"/>
      <c r="D1823" s="157"/>
      <c r="E1823" s="44"/>
      <c r="F1823" s="146"/>
      <c r="G1823" s="1"/>
      <c r="H1823" s="161"/>
      <c r="I1823" s="37"/>
      <c r="J1823" s="135"/>
      <c r="K1823" s="112"/>
      <c r="L1823" s="37"/>
      <c r="M1823" s="37"/>
      <c r="N1823" s="37"/>
      <c r="O1823" s="130"/>
      <c r="P1823" s="132"/>
      <c r="Q1823" s="262"/>
      <c r="R1823" s="92"/>
    </row>
    <row r="1824" spans="3:18" x14ac:dyDescent="0.25">
      <c r="C1824" s="264"/>
      <c r="D1824" s="157"/>
      <c r="E1824" s="44"/>
      <c r="F1824" s="146"/>
      <c r="G1824" s="1"/>
      <c r="H1824" s="161"/>
      <c r="I1824" s="37"/>
      <c r="J1824" s="135"/>
      <c r="K1824" s="112"/>
      <c r="L1824" s="37"/>
      <c r="M1824" s="37"/>
      <c r="N1824" s="37"/>
      <c r="O1824" s="130"/>
      <c r="P1824" s="132"/>
      <c r="Q1824" s="262"/>
      <c r="R1824" s="92"/>
    </row>
    <row r="1825" spans="3:18" x14ac:dyDescent="0.25">
      <c r="C1825" s="264"/>
      <c r="D1825" s="157"/>
      <c r="E1825" s="44"/>
      <c r="F1825" s="146"/>
      <c r="G1825" s="1"/>
      <c r="H1825" s="161"/>
      <c r="I1825" s="37"/>
      <c r="J1825" s="135"/>
      <c r="K1825" s="112"/>
      <c r="L1825" s="37"/>
      <c r="M1825" s="37"/>
      <c r="N1825" s="37"/>
      <c r="O1825" s="130"/>
      <c r="P1825" s="132"/>
      <c r="Q1825" s="262"/>
      <c r="R1825" s="92"/>
    </row>
    <row r="1826" spans="3:18" x14ac:dyDescent="0.25">
      <c r="C1826" s="264"/>
      <c r="D1826" s="157"/>
      <c r="E1826" s="44"/>
      <c r="F1826" s="146"/>
      <c r="G1826" s="1"/>
      <c r="H1826" s="161"/>
      <c r="I1826" s="37"/>
      <c r="J1826" s="135"/>
      <c r="K1826" s="112"/>
      <c r="L1826" s="37"/>
      <c r="M1826" s="37"/>
      <c r="N1826" s="37"/>
      <c r="O1826" s="130"/>
      <c r="P1826" s="132"/>
      <c r="Q1826" s="262"/>
      <c r="R1826" s="92"/>
    </row>
    <row r="1827" spans="3:18" x14ac:dyDescent="0.25">
      <c r="C1827" s="264"/>
      <c r="D1827" s="157"/>
      <c r="E1827" s="44"/>
      <c r="F1827" s="146"/>
      <c r="G1827" s="1"/>
      <c r="H1827" s="161"/>
      <c r="I1827" s="37"/>
      <c r="J1827" s="135"/>
      <c r="K1827" s="112"/>
      <c r="L1827" s="37"/>
      <c r="M1827" s="37"/>
      <c r="N1827" s="37"/>
      <c r="O1827" s="130"/>
      <c r="P1827" s="132"/>
      <c r="Q1827" s="262"/>
      <c r="R1827" s="92"/>
    </row>
    <row r="1828" spans="3:18" x14ac:dyDescent="0.25">
      <c r="C1828" s="264"/>
      <c r="D1828" s="157"/>
      <c r="E1828" s="44"/>
      <c r="F1828" s="146"/>
      <c r="G1828" s="1"/>
      <c r="H1828" s="161"/>
      <c r="I1828" s="37"/>
      <c r="J1828" s="135"/>
      <c r="K1828" s="112"/>
      <c r="L1828" s="37"/>
      <c r="M1828" s="37"/>
      <c r="N1828" s="37"/>
      <c r="O1828" s="130"/>
      <c r="P1828" s="132"/>
      <c r="Q1828" s="262"/>
      <c r="R1828" s="92"/>
    </row>
    <row r="1829" spans="3:18" x14ac:dyDescent="0.25">
      <c r="C1829" s="264"/>
      <c r="D1829" s="157"/>
      <c r="E1829" s="44"/>
      <c r="F1829" s="146"/>
      <c r="G1829" s="1"/>
      <c r="H1829" s="161"/>
      <c r="I1829" s="37"/>
      <c r="J1829" s="135"/>
      <c r="K1829" s="112"/>
      <c r="L1829" s="37"/>
      <c r="M1829" s="37"/>
      <c r="N1829" s="37"/>
      <c r="O1829" s="130"/>
      <c r="P1829" s="132"/>
      <c r="Q1829" s="262"/>
      <c r="R1829" s="92"/>
    </row>
    <row r="1830" spans="3:18" x14ac:dyDescent="0.25">
      <c r="C1830" s="264"/>
      <c r="D1830" s="157"/>
      <c r="E1830" s="44"/>
      <c r="F1830" s="146"/>
      <c r="G1830" s="1"/>
      <c r="H1830" s="161"/>
      <c r="I1830" s="37"/>
      <c r="J1830" s="135"/>
      <c r="K1830" s="112"/>
      <c r="L1830" s="37"/>
      <c r="M1830" s="37"/>
      <c r="N1830" s="37"/>
      <c r="O1830" s="130"/>
      <c r="P1830" s="132"/>
      <c r="Q1830" s="262"/>
      <c r="R1830" s="92"/>
    </row>
    <row r="1831" spans="3:18" x14ac:dyDescent="0.25">
      <c r="C1831" s="264"/>
      <c r="D1831" s="157"/>
      <c r="E1831" s="44"/>
      <c r="F1831" s="146"/>
      <c r="G1831" s="1"/>
      <c r="H1831" s="161"/>
      <c r="I1831" s="37"/>
      <c r="J1831" s="135"/>
      <c r="K1831" s="112"/>
      <c r="L1831" s="37"/>
      <c r="M1831" s="37"/>
      <c r="N1831" s="37"/>
      <c r="O1831" s="130"/>
      <c r="P1831" s="132"/>
      <c r="Q1831" s="262"/>
      <c r="R1831" s="92"/>
    </row>
    <row r="1832" spans="3:18" x14ac:dyDescent="0.25">
      <c r="C1832" s="264"/>
      <c r="D1832" s="157"/>
      <c r="E1832" s="44"/>
      <c r="F1832" s="146"/>
      <c r="G1832" s="1"/>
      <c r="H1832" s="161"/>
      <c r="I1832" s="37"/>
      <c r="J1832" s="135"/>
      <c r="K1832" s="112"/>
      <c r="L1832" s="37"/>
      <c r="M1832" s="37"/>
      <c r="N1832" s="37"/>
      <c r="O1832" s="130"/>
      <c r="P1832" s="132"/>
      <c r="Q1832" s="262"/>
      <c r="R1832" s="92"/>
    </row>
    <row r="1833" spans="3:18" x14ac:dyDescent="0.25">
      <c r="C1833" s="264"/>
      <c r="D1833" s="157"/>
      <c r="E1833" s="44"/>
      <c r="F1833" s="146"/>
      <c r="G1833" s="1"/>
      <c r="H1833" s="161"/>
      <c r="I1833" s="37"/>
      <c r="J1833" s="135"/>
      <c r="K1833" s="112"/>
      <c r="L1833" s="37"/>
      <c r="M1833" s="37"/>
      <c r="N1833" s="37"/>
      <c r="O1833" s="130"/>
      <c r="P1833" s="132"/>
      <c r="Q1833" s="262"/>
      <c r="R1833" s="92"/>
    </row>
    <row r="1834" spans="3:18" x14ac:dyDescent="0.25">
      <c r="C1834" s="264"/>
      <c r="D1834" s="157"/>
      <c r="E1834" s="44"/>
      <c r="F1834" s="146"/>
      <c r="G1834" s="1"/>
      <c r="H1834" s="161"/>
      <c r="I1834" s="37"/>
      <c r="J1834" s="135"/>
      <c r="K1834" s="112"/>
      <c r="L1834" s="37"/>
      <c r="M1834" s="37"/>
      <c r="N1834" s="37"/>
      <c r="O1834" s="130"/>
      <c r="P1834" s="132"/>
      <c r="Q1834" s="262"/>
      <c r="R1834" s="92"/>
    </row>
    <row r="1835" spans="3:18" x14ac:dyDescent="0.25">
      <c r="C1835" s="264"/>
      <c r="D1835" s="157"/>
      <c r="E1835" s="44"/>
      <c r="F1835" s="146"/>
      <c r="G1835" s="1"/>
      <c r="H1835" s="161"/>
      <c r="I1835" s="37"/>
      <c r="J1835" s="135"/>
      <c r="K1835" s="112"/>
      <c r="L1835" s="37"/>
      <c r="M1835" s="37"/>
      <c r="N1835" s="37"/>
      <c r="O1835" s="130"/>
      <c r="P1835" s="132"/>
      <c r="Q1835" s="262"/>
      <c r="R1835" s="92"/>
    </row>
    <row r="1836" spans="3:18" x14ac:dyDescent="0.25">
      <c r="C1836" s="264"/>
      <c r="D1836" s="157"/>
      <c r="E1836" s="44"/>
      <c r="F1836" s="146"/>
      <c r="G1836" s="1"/>
      <c r="H1836" s="161"/>
      <c r="I1836" s="37"/>
      <c r="J1836" s="135"/>
      <c r="K1836" s="112"/>
      <c r="L1836" s="37"/>
      <c r="M1836" s="37"/>
      <c r="N1836" s="37"/>
      <c r="O1836" s="130"/>
      <c r="P1836" s="132"/>
      <c r="Q1836" s="262"/>
      <c r="R1836" s="92"/>
    </row>
    <row r="1837" spans="3:18" x14ac:dyDescent="0.25">
      <c r="C1837" s="264"/>
      <c r="D1837" s="157"/>
      <c r="E1837" s="44"/>
      <c r="F1837" s="146"/>
      <c r="G1837" s="1"/>
      <c r="H1837" s="161"/>
      <c r="I1837" s="37"/>
      <c r="J1837" s="135"/>
      <c r="K1837" s="112"/>
      <c r="L1837" s="37"/>
      <c r="M1837" s="37"/>
      <c r="N1837" s="37"/>
      <c r="O1837" s="130"/>
      <c r="P1837" s="132"/>
      <c r="Q1837" s="262"/>
      <c r="R1837" s="92"/>
    </row>
    <row r="1838" spans="3:18" x14ac:dyDescent="0.25">
      <c r="C1838" s="264"/>
      <c r="D1838" s="157"/>
      <c r="E1838" s="44"/>
      <c r="F1838" s="146"/>
      <c r="G1838" s="1"/>
      <c r="H1838" s="161"/>
      <c r="I1838" s="37"/>
      <c r="J1838" s="135"/>
      <c r="K1838" s="112"/>
      <c r="L1838" s="37"/>
      <c r="M1838" s="37"/>
      <c r="N1838" s="37"/>
      <c r="O1838" s="130"/>
      <c r="P1838" s="132"/>
      <c r="Q1838" s="262"/>
      <c r="R1838" s="92"/>
    </row>
    <row r="1839" spans="3:18" x14ac:dyDescent="0.25">
      <c r="C1839" s="264"/>
      <c r="D1839" s="157"/>
      <c r="E1839" s="44"/>
      <c r="F1839" s="146"/>
      <c r="G1839" s="1"/>
      <c r="H1839" s="161"/>
      <c r="I1839" s="37"/>
      <c r="J1839" s="135"/>
      <c r="K1839" s="112"/>
      <c r="L1839" s="37"/>
      <c r="M1839" s="37"/>
      <c r="N1839" s="37"/>
      <c r="O1839" s="130"/>
      <c r="P1839" s="132"/>
      <c r="Q1839" s="262"/>
      <c r="R1839" s="92"/>
    </row>
    <row r="1840" spans="3:18" x14ac:dyDescent="0.25">
      <c r="C1840" s="264"/>
      <c r="D1840" s="157"/>
      <c r="E1840" s="44"/>
      <c r="F1840" s="146"/>
      <c r="G1840" s="1"/>
      <c r="H1840" s="161"/>
      <c r="I1840" s="37"/>
      <c r="J1840" s="135"/>
      <c r="K1840" s="112"/>
      <c r="L1840" s="37"/>
      <c r="M1840" s="37"/>
      <c r="N1840" s="37"/>
      <c r="O1840" s="130"/>
      <c r="P1840" s="132"/>
      <c r="Q1840" s="262"/>
      <c r="R1840" s="92"/>
    </row>
    <row r="1841" spans="3:18" x14ac:dyDescent="0.25">
      <c r="C1841" s="264"/>
      <c r="D1841" s="157"/>
      <c r="E1841" s="44"/>
      <c r="F1841" s="146"/>
      <c r="G1841" s="1"/>
      <c r="H1841" s="161"/>
      <c r="I1841" s="37"/>
      <c r="J1841" s="135"/>
      <c r="K1841" s="112"/>
      <c r="L1841" s="37"/>
      <c r="M1841" s="37"/>
      <c r="N1841" s="37"/>
      <c r="O1841" s="130"/>
      <c r="P1841" s="132"/>
      <c r="Q1841" s="262"/>
      <c r="R1841" s="92"/>
    </row>
    <row r="1842" spans="3:18" x14ac:dyDescent="0.25">
      <c r="C1842" s="264"/>
      <c r="D1842" s="157"/>
      <c r="E1842" s="44"/>
      <c r="F1842" s="146"/>
      <c r="G1842" s="1"/>
      <c r="H1842" s="161"/>
      <c r="I1842" s="37"/>
      <c r="J1842" s="135"/>
      <c r="K1842" s="112"/>
      <c r="L1842" s="37"/>
      <c r="M1842" s="37"/>
      <c r="N1842" s="37"/>
      <c r="O1842" s="130"/>
      <c r="P1842" s="132"/>
      <c r="Q1842" s="262"/>
      <c r="R1842" s="92"/>
    </row>
    <row r="1843" spans="3:18" x14ac:dyDescent="0.25">
      <c r="C1843" s="264"/>
      <c r="D1843" s="157"/>
      <c r="E1843" s="44"/>
      <c r="F1843" s="146"/>
      <c r="G1843" s="1"/>
      <c r="H1843" s="161"/>
      <c r="I1843" s="37"/>
      <c r="J1843" s="135"/>
      <c r="K1843" s="112"/>
      <c r="L1843" s="37"/>
      <c r="M1843" s="37"/>
      <c r="N1843" s="37"/>
      <c r="O1843" s="130"/>
      <c r="P1843" s="132"/>
      <c r="Q1843" s="262"/>
      <c r="R1843" s="92"/>
    </row>
    <row r="1844" spans="3:18" x14ac:dyDescent="0.25">
      <c r="C1844" s="264"/>
      <c r="D1844" s="157"/>
      <c r="E1844" s="44"/>
      <c r="F1844" s="146"/>
      <c r="G1844" s="1"/>
      <c r="H1844" s="161"/>
      <c r="I1844" s="37"/>
      <c r="J1844" s="135"/>
      <c r="K1844" s="112"/>
      <c r="L1844" s="37"/>
      <c r="M1844" s="37"/>
      <c r="N1844" s="37"/>
      <c r="O1844" s="130"/>
      <c r="P1844" s="132"/>
      <c r="Q1844" s="262"/>
      <c r="R1844" s="92"/>
    </row>
    <row r="1845" spans="3:18" x14ac:dyDescent="0.25">
      <c r="C1845" s="264"/>
      <c r="D1845" s="157"/>
      <c r="E1845" s="44"/>
      <c r="F1845" s="146"/>
      <c r="G1845" s="1"/>
      <c r="H1845" s="161"/>
      <c r="I1845" s="37"/>
      <c r="J1845" s="135"/>
      <c r="K1845" s="112"/>
      <c r="L1845" s="37"/>
      <c r="M1845" s="37"/>
      <c r="N1845" s="37"/>
      <c r="O1845" s="130"/>
      <c r="P1845" s="132"/>
      <c r="Q1845" s="262"/>
      <c r="R1845" s="92"/>
    </row>
    <row r="1846" spans="3:18" x14ac:dyDescent="0.25">
      <c r="C1846" s="264"/>
      <c r="D1846" s="157"/>
      <c r="E1846" s="44"/>
      <c r="F1846" s="146"/>
      <c r="G1846" s="1"/>
      <c r="H1846" s="161"/>
      <c r="I1846" s="37"/>
      <c r="J1846" s="135"/>
      <c r="K1846" s="112"/>
      <c r="L1846" s="37"/>
      <c r="M1846" s="37"/>
      <c r="N1846" s="37"/>
      <c r="O1846" s="130"/>
      <c r="P1846" s="132"/>
      <c r="Q1846" s="262"/>
      <c r="R1846" s="92"/>
    </row>
    <row r="1847" spans="3:18" x14ac:dyDescent="0.25">
      <c r="C1847" s="264"/>
      <c r="D1847" s="157"/>
      <c r="E1847" s="44"/>
      <c r="F1847" s="146"/>
      <c r="G1847" s="1"/>
      <c r="H1847" s="161"/>
      <c r="I1847" s="37"/>
      <c r="J1847" s="135"/>
      <c r="K1847" s="112"/>
      <c r="L1847" s="37"/>
      <c r="M1847" s="37"/>
      <c r="N1847" s="37"/>
      <c r="O1847" s="130"/>
      <c r="P1847" s="132"/>
      <c r="Q1847" s="262"/>
      <c r="R1847" s="92"/>
    </row>
    <row r="1848" spans="3:18" x14ac:dyDescent="0.25">
      <c r="C1848" s="264"/>
      <c r="D1848" s="157"/>
      <c r="E1848" s="44"/>
      <c r="F1848" s="146"/>
      <c r="G1848" s="1"/>
      <c r="H1848" s="161"/>
      <c r="I1848" s="37"/>
      <c r="J1848" s="135"/>
      <c r="K1848" s="112"/>
      <c r="L1848" s="37"/>
      <c r="M1848" s="37"/>
      <c r="N1848" s="37"/>
      <c r="O1848" s="130"/>
      <c r="P1848" s="132"/>
      <c r="Q1848" s="262"/>
      <c r="R1848" s="92"/>
    </row>
    <row r="1849" spans="3:18" x14ac:dyDescent="0.25">
      <c r="C1849" s="264"/>
      <c r="D1849" s="157"/>
      <c r="E1849" s="44"/>
      <c r="F1849" s="146"/>
      <c r="G1849" s="1"/>
      <c r="H1849" s="161"/>
      <c r="I1849" s="37"/>
      <c r="J1849" s="135"/>
      <c r="K1849" s="112"/>
      <c r="L1849" s="37"/>
      <c r="M1849" s="37"/>
      <c r="N1849" s="37"/>
      <c r="O1849" s="130"/>
      <c r="P1849" s="132"/>
      <c r="Q1849" s="262"/>
      <c r="R1849" s="92"/>
    </row>
    <row r="1850" spans="3:18" x14ac:dyDescent="0.25">
      <c r="C1850" s="264"/>
      <c r="D1850" s="157"/>
      <c r="E1850" s="44"/>
      <c r="F1850" s="146"/>
      <c r="G1850" s="1"/>
      <c r="H1850" s="161"/>
      <c r="I1850" s="37"/>
      <c r="J1850" s="135"/>
      <c r="K1850" s="112"/>
      <c r="L1850" s="37"/>
      <c r="M1850" s="37"/>
      <c r="N1850" s="37"/>
      <c r="O1850" s="130"/>
      <c r="P1850" s="132"/>
      <c r="Q1850" s="262"/>
      <c r="R1850" s="92"/>
    </row>
    <row r="1851" spans="3:18" x14ac:dyDescent="0.25">
      <c r="C1851" s="264"/>
      <c r="D1851" s="157"/>
      <c r="E1851" s="44"/>
      <c r="F1851" s="146"/>
      <c r="G1851" s="1"/>
      <c r="H1851" s="161"/>
      <c r="I1851" s="37"/>
      <c r="J1851" s="135"/>
      <c r="K1851" s="112"/>
      <c r="L1851" s="37"/>
      <c r="M1851" s="37"/>
      <c r="N1851" s="37"/>
      <c r="O1851" s="130"/>
      <c r="P1851" s="132"/>
      <c r="Q1851" s="262"/>
      <c r="R1851" s="92"/>
    </row>
    <row r="1852" spans="3:18" x14ac:dyDescent="0.25">
      <c r="C1852" s="264"/>
      <c r="D1852" s="157"/>
      <c r="E1852" s="44"/>
      <c r="F1852" s="146"/>
      <c r="G1852" s="1"/>
      <c r="H1852" s="161"/>
      <c r="I1852" s="37"/>
      <c r="J1852" s="135"/>
      <c r="K1852" s="112"/>
      <c r="L1852" s="37"/>
      <c r="M1852" s="37"/>
      <c r="N1852" s="37"/>
      <c r="O1852" s="130"/>
      <c r="P1852" s="132"/>
      <c r="Q1852" s="262"/>
      <c r="R1852" s="92"/>
    </row>
    <row r="1853" spans="3:18" x14ac:dyDescent="0.25">
      <c r="C1853" s="264"/>
      <c r="D1853" s="157"/>
      <c r="E1853" s="44"/>
      <c r="F1853" s="146"/>
      <c r="G1853" s="1"/>
      <c r="H1853" s="161"/>
      <c r="I1853" s="37"/>
      <c r="J1853" s="135"/>
      <c r="K1853" s="112"/>
      <c r="L1853" s="37"/>
      <c r="M1853" s="37"/>
      <c r="N1853" s="37"/>
      <c r="O1853" s="130"/>
      <c r="P1853" s="132"/>
      <c r="Q1853" s="262"/>
      <c r="R1853" s="92"/>
    </row>
    <row r="1854" spans="3:18" x14ac:dyDescent="0.25">
      <c r="C1854" s="264"/>
      <c r="D1854" s="157"/>
      <c r="E1854" s="44"/>
      <c r="F1854" s="146"/>
      <c r="G1854" s="1"/>
      <c r="H1854" s="161"/>
      <c r="I1854" s="37"/>
      <c r="J1854" s="135"/>
      <c r="K1854" s="112"/>
      <c r="L1854" s="37"/>
      <c r="M1854" s="37"/>
      <c r="N1854" s="37"/>
      <c r="O1854" s="130"/>
      <c r="P1854" s="132"/>
      <c r="Q1854" s="262"/>
      <c r="R1854" s="92"/>
    </row>
    <row r="1855" spans="3:18" x14ac:dyDescent="0.25">
      <c r="C1855" s="264"/>
      <c r="D1855" s="157"/>
      <c r="E1855" s="44"/>
      <c r="F1855" s="146"/>
      <c r="G1855" s="1"/>
      <c r="H1855" s="161"/>
      <c r="I1855" s="37"/>
      <c r="J1855" s="135"/>
      <c r="K1855" s="112"/>
      <c r="L1855" s="37"/>
      <c r="M1855" s="37"/>
      <c r="N1855" s="37"/>
      <c r="O1855" s="130"/>
      <c r="P1855" s="132"/>
      <c r="Q1855" s="262"/>
      <c r="R1855" s="92"/>
    </row>
    <row r="1856" spans="3:18" x14ac:dyDescent="0.25">
      <c r="C1856" s="264"/>
      <c r="D1856" s="157"/>
      <c r="E1856" s="44"/>
      <c r="F1856" s="146"/>
      <c r="G1856" s="1"/>
      <c r="H1856" s="161"/>
      <c r="I1856" s="37"/>
      <c r="J1856" s="135"/>
      <c r="K1856" s="112"/>
      <c r="L1856" s="37"/>
      <c r="M1856" s="37"/>
      <c r="N1856" s="37"/>
      <c r="O1856" s="130"/>
      <c r="P1856" s="132"/>
      <c r="Q1856" s="262"/>
      <c r="R1856" s="92"/>
    </row>
    <row r="1857" spans="3:18" x14ac:dyDescent="0.25">
      <c r="C1857" s="264"/>
      <c r="D1857" s="157"/>
      <c r="E1857" s="44"/>
      <c r="F1857" s="146"/>
      <c r="G1857" s="1"/>
      <c r="H1857" s="161"/>
      <c r="I1857" s="37"/>
      <c r="J1857" s="135"/>
      <c r="K1857" s="112"/>
      <c r="L1857" s="37"/>
      <c r="M1857" s="37"/>
      <c r="N1857" s="37"/>
      <c r="O1857" s="130"/>
      <c r="P1857" s="132"/>
      <c r="Q1857" s="262"/>
      <c r="R1857" s="92"/>
    </row>
    <row r="1858" spans="3:18" x14ac:dyDescent="0.25">
      <c r="C1858" s="264"/>
      <c r="D1858" s="157"/>
      <c r="E1858" s="44"/>
      <c r="F1858" s="146"/>
      <c r="G1858" s="1"/>
      <c r="H1858" s="161"/>
      <c r="I1858" s="37"/>
      <c r="J1858" s="135"/>
      <c r="K1858" s="112"/>
      <c r="L1858" s="37"/>
      <c r="M1858" s="37"/>
      <c r="N1858" s="37"/>
      <c r="O1858" s="130"/>
      <c r="P1858" s="132"/>
      <c r="Q1858" s="262"/>
      <c r="R1858" s="92"/>
    </row>
    <row r="1859" spans="3:18" x14ac:dyDescent="0.25">
      <c r="C1859" s="264"/>
      <c r="D1859" s="157"/>
      <c r="E1859" s="44"/>
      <c r="F1859" s="146"/>
      <c r="G1859" s="1"/>
      <c r="H1859" s="161"/>
      <c r="I1859" s="37"/>
      <c r="J1859" s="135"/>
      <c r="K1859" s="112"/>
      <c r="L1859" s="37"/>
      <c r="M1859" s="37"/>
      <c r="N1859" s="37"/>
      <c r="O1859" s="130"/>
      <c r="P1859" s="132"/>
      <c r="Q1859" s="262"/>
      <c r="R1859" s="92"/>
    </row>
    <row r="1860" spans="3:18" x14ac:dyDescent="0.25">
      <c r="C1860" s="264"/>
      <c r="D1860" s="157"/>
      <c r="E1860" s="44"/>
      <c r="F1860" s="146"/>
      <c r="G1860" s="1"/>
      <c r="H1860" s="161"/>
      <c r="I1860" s="37"/>
      <c r="J1860" s="135"/>
      <c r="K1860" s="112"/>
      <c r="L1860" s="37"/>
      <c r="M1860" s="37"/>
      <c r="N1860" s="37"/>
      <c r="O1860" s="130"/>
      <c r="P1860" s="132"/>
      <c r="Q1860" s="262"/>
      <c r="R1860" s="92"/>
    </row>
    <row r="1861" spans="3:18" x14ac:dyDescent="0.25">
      <c r="C1861" s="264"/>
      <c r="D1861" s="157"/>
      <c r="E1861" s="44"/>
      <c r="F1861" s="146"/>
      <c r="G1861" s="1"/>
      <c r="H1861" s="161"/>
      <c r="I1861" s="37"/>
      <c r="J1861" s="135"/>
      <c r="K1861" s="112"/>
      <c r="L1861" s="37"/>
      <c r="M1861" s="37"/>
      <c r="N1861" s="37"/>
      <c r="O1861" s="130"/>
      <c r="P1861" s="132"/>
      <c r="Q1861" s="262"/>
      <c r="R1861" s="92"/>
    </row>
    <row r="1862" spans="3:18" x14ac:dyDescent="0.25">
      <c r="C1862" s="264"/>
      <c r="D1862" s="157"/>
      <c r="E1862" s="44"/>
      <c r="F1862" s="146"/>
      <c r="G1862" s="1"/>
      <c r="H1862" s="161"/>
      <c r="I1862" s="37"/>
      <c r="J1862" s="135"/>
      <c r="K1862" s="112"/>
      <c r="L1862" s="37"/>
      <c r="M1862" s="37"/>
      <c r="N1862" s="37"/>
      <c r="O1862" s="130"/>
      <c r="P1862" s="132"/>
      <c r="Q1862" s="262"/>
      <c r="R1862" s="92"/>
    </row>
    <row r="1863" spans="3:18" x14ac:dyDescent="0.25">
      <c r="C1863" s="264"/>
      <c r="D1863" s="157"/>
      <c r="E1863" s="44"/>
      <c r="F1863" s="146"/>
      <c r="G1863" s="1"/>
      <c r="H1863" s="161"/>
      <c r="I1863" s="37"/>
      <c r="J1863" s="135"/>
      <c r="K1863" s="112"/>
      <c r="L1863" s="37"/>
      <c r="M1863" s="37"/>
      <c r="N1863" s="37"/>
      <c r="O1863" s="130"/>
      <c r="P1863" s="132"/>
      <c r="Q1863" s="262"/>
      <c r="R1863" s="92"/>
    </row>
    <row r="1864" spans="3:18" x14ac:dyDescent="0.25">
      <c r="C1864" s="264"/>
      <c r="D1864" s="157"/>
      <c r="E1864" s="44"/>
      <c r="F1864" s="146"/>
      <c r="G1864" s="1"/>
      <c r="H1864" s="161"/>
      <c r="I1864" s="37"/>
      <c r="J1864" s="135"/>
      <c r="K1864" s="112"/>
      <c r="L1864" s="37"/>
      <c r="M1864" s="37"/>
      <c r="N1864" s="37"/>
      <c r="O1864" s="130"/>
      <c r="P1864" s="132"/>
      <c r="Q1864" s="262"/>
      <c r="R1864" s="92"/>
    </row>
    <row r="1865" spans="3:18" x14ac:dyDescent="0.25">
      <c r="C1865" s="264"/>
      <c r="D1865" s="157"/>
      <c r="E1865" s="44"/>
      <c r="F1865" s="146"/>
      <c r="G1865" s="1"/>
      <c r="H1865" s="161"/>
      <c r="I1865" s="37"/>
      <c r="J1865" s="135"/>
      <c r="K1865" s="112"/>
      <c r="L1865" s="37"/>
      <c r="M1865" s="37"/>
      <c r="N1865" s="37"/>
      <c r="O1865" s="130"/>
      <c r="P1865" s="132"/>
      <c r="Q1865" s="262"/>
      <c r="R1865" s="92"/>
    </row>
    <row r="1866" spans="3:18" x14ac:dyDescent="0.25">
      <c r="C1866" s="264"/>
      <c r="D1866" s="157"/>
      <c r="E1866" s="44"/>
      <c r="F1866" s="146"/>
      <c r="G1866" s="1"/>
      <c r="H1866" s="161"/>
      <c r="I1866" s="37"/>
      <c r="J1866" s="135"/>
      <c r="K1866" s="112"/>
      <c r="L1866" s="37"/>
      <c r="M1866" s="37"/>
      <c r="N1866" s="37"/>
      <c r="O1866" s="130"/>
      <c r="P1866" s="132"/>
      <c r="Q1866" s="262"/>
      <c r="R1866" s="92"/>
    </row>
    <row r="1867" spans="3:18" x14ac:dyDescent="0.25">
      <c r="C1867" s="264"/>
      <c r="D1867" s="157"/>
      <c r="E1867" s="44"/>
      <c r="F1867" s="146"/>
      <c r="G1867" s="1"/>
      <c r="H1867" s="161"/>
      <c r="I1867" s="37"/>
      <c r="J1867" s="135"/>
      <c r="K1867" s="112"/>
      <c r="L1867" s="37"/>
      <c r="M1867" s="37"/>
      <c r="N1867" s="37"/>
      <c r="O1867" s="130"/>
      <c r="P1867" s="132"/>
      <c r="Q1867" s="262"/>
      <c r="R1867" s="92"/>
    </row>
    <row r="1868" spans="3:18" x14ac:dyDescent="0.25">
      <c r="C1868" s="264"/>
      <c r="D1868" s="157"/>
      <c r="E1868" s="44"/>
      <c r="F1868" s="146"/>
      <c r="G1868" s="1"/>
      <c r="H1868" s="161"/>
      <c r="I1868" s="37"/>
      <c r="J1868" s="135"/>
      <c r="K1868" s="112"/>
      <c r="L1868" s="37"/>
      <c r="M1868" s="37"/>
      <c r="N1868" s="37"/>
      <c r="O1868" s="130"/>
      <c r="P1868" s="132"/>
      <c r="Q1868" s="262"/>
      <c r="R1868" s="92"/>
    </row>
    <row r="1869" spans="3:18" x14ac:dyDescent="0.25">
      <c r="C1869" s="264"/>
      <c r="D1869" s="157"/>
      <c r="E1869" s="44"/>
      <c r="F1869" s="146"/>
      <c r="G1869" s="1"/>
      <c r="H1869" s="161"/>
      <c r="I1869" s="37"/>
      <c r="J1869" s="135"/>
      <c r="K1869" s="112"/>
      <c r="L1869" s="37"/>
      <c r="M1869" s="37"/>
      <c r="N1869" s="37"/>
      <c r="O1869" s="130"/>
      <c r="P1869" s="132"/>
      <c r="Q1869" s="262"/>
      <c r="R1869" s="92"/>
    </row>
    <row r="1870" spans="3:18" x14ac:dyDescent="0.25">
      <c r="C1870" s="264"/>
      <c r="D1870" s="157"/>
      <c r="E1870" s="44"/>
      <c r="F1870" s="146"/>
      <c r="G1870" s="1"/>
      <c r="H1870" s="161"/>
      <c r="I1870" s="37"/>
      <c r="J1870" s="135"/>
      <c r="K1870" s="112"/>
      <c r="L1870" s="37"/>
      <c r="M1870" s="37"/>
      <c r="N1870" s="37"/>
      <c r="O1870" s="130"/>
      <c r="P1870" s="132"/>
      <c r="Q1870" s="262"/>
      <c r="R1870" s="92"/>
    </row>
    <row r="1871" spans="3:18" x14ac:dyDescent="0.25">
      <c r="C1871" s="264"/>
      <c r="D1871" s="157"/>
      <c r="E1871" s="44"/>
      <c r="F1871" s="146"/>
      <c r="G1871" s="1"/>
      <c r="H1871" s="161"/>
      <c r="I1871" s="37"/>
      <c r="J1871" s="135"/>
      <c r="K1871" s="112"/>
      <c r="L1871" s="37"/>
      <c r="M1871" s="37"/>
      <c r="N1871" s="37"/>
      <c r="O1871" s="130"/>
      <c r="P1871" s="132"/>
      <c r="Q1871" s="262"/>
      <c r="R1871" s="92"/>
    </row>
    <row r="1872" spans="3:18" x14ac:dyDescent="0.25">
      <c r="C1872" s="264"/>
      <c r="D1872" s="157"/>
      <c r="E1872" s="44"/>
      <c r="F1872" s="146"/>
      <c r="G1872" s="1"/>
      <c r="H1872" s="161"/>
      <c r="I1872" s="37"/>
      <c r="J1872" s="135"/>
      <c r="K1872" s="112"/>
      <c r="L1872" s="37"/>
      <c r="M1872" s="37"/>
      <c r="N1872" s="37"/>
      <c r="O1872" s="130"/>
      <c r="P1872" s="132"/>
      <c r="Q1872" s="262"/>
      <c r="R1872" s="92"/>
    </row>
    <row r="1873" spans="3:18" x14ac:dyDescent="0.25">
      <c r="C1873" s="264"/>
      <c r="D1873" s="157"/>
      <c r="E1873" s="44"/>
      <c r="F1873" s="146"/>
      <c r="G1873" s="1"/>
      <c r="H1873" s="161"/>
      <c r="I1873" s="37"/>
      <c r="J1873" s="135"/>
      <c r="K1873" s="112"/>
      <c r="L1873" s="37"/>
      <c r="M1873" s="37"/>
      <c r="N1873" s="37"/>
      <c r="O1873" s="130"/>
      <c r="P1873" s="132"/>
      <c r="Q1873" s="262"/>
      <c r="R1873" s="92"/>
    </row>
    <row r="1874" spans="3:18" x14ac:dyDescent="0.25">
      <c r="C1874" s="264"/>
      <c r="D1874" s="157"/>
      <c r="E1874" s="44"/>
      <c r="F1874" s="146"/>
      <c r="G1874" s="1"/>
      <c r="H1874" s="161"/>
      <c r="I1874" s="37"/>
      <c r="J1874" s="135"/>
      <c r="K1874" s="112"/>
      <c r="L1874" s="37"/>
      <c r="M1874" s="37"/>
      <c r="N1874" s="37"/>
      <c r="O1874" s="130"/>
      <c r="P1874" s="132"/>
      <c r="Q1874" s="262"/>
      <c r="R1874" s="92"/>
    </row>
    <row r="1875" spans="3:18" x14ac:dyDescent="0.25">
      <c r="C1875" s="264"/>
      <c r="D1875" s="157"/>
      <c r="E1875" s="44"/>
      <c r="F1875" s="146"/>
      <c r="G1875" s="1"/>
      <c r="H1875" s="161"/>
      <c r="I1875" s="37"/>
      <c r="J1875" s="135"/>
      <c r="K1875" s="112"/>
      <c r="L1875" s="37"/>
      <c r="M1875" s="37"/>
      <c r="N1875" s="37"/>
      <c r="O1875" s="130"/>
      <c r="P1875" s="132"/>
      <c r="Q1875" s="262"/>
      <c r="R1875" s="92"/>
    </row>
    <row r="1876" spans="3:18" x14ac:dyDescent="0.25">
      <c r="C1876" s="264"/>
      <c r="D1876" s="157"/>
      <c r="E1876" s="44"/>
      <c r="F1876" s="146"/>
      <c r="G1876" s="1"/>
      <c r="H1876" s="161"/>
      <c r="I1876" s="37"/>
      <c r="J1876" s="135"/>
      <c r="K1876" s="112"/>
      <c r="L1876" s="37"/>
      <c r="M1876" s="37"/>
      <c r="N1876" s="37"/>
      <c r="O1876" s="130"/>
      <c r="P1876" s="132"/>
      <c r="Q1876" s="262"/>
      <c r="R1876" s="92"/>
    </row>
    <row r="1877" spans="3:18" x14ac:dyDescent="0.25">
      <c r="C1877" s="264"/>
      <c r="D1877" s="157"/>
      <c r="E1877" s="44"/>
      <c r="F1877" s="146"/>
      <c r="G1877" s="1"/>
      <c r="H1877" s="161"/>
      <c r="I1877" s="37"/>
      <c r="J1877" s="135"/>
      <c r="K1877" s="112"/>
      <c r="L1877" s="37"/>
      <c r="M1877" s="37"/>
      <c r="N1877" s="37"/>
      <c r="O1877" s="130"/>
      <c r="P1877" s="132"/>
      <c r="Q1877" s="262"/>
      <c r="R1877" s="92"/>
    </row>
    <row r="1878" spans="3:18" x14ac:dyDescent="0.25">
      <c r="C1878" s="264"/>
      <c r="D1878" s="157"/>
      <c r="E1878" s="44"/>
      <c r="F1878" s="146"/>
      <c r="G1878" s="1"/>
      <c r="H1878" s="161"/>
      <c r="I1878" s="37"/>
      <c r="J1878" s="135"/>
      <c r="K1878" s="112"/>
      <c r="L1878" s="37"/>
      <c r="M1878" s="37"/>
      <c r="N1878" s="37"/>
      <c r="O1878" s="130"/>
      <c r="P1878" s="132"/>
      <c r="Q1878" s="262"/>
      <c r="R1878" s="92"/>
    </row>
    <row r="1879" spans="3:18" x14ac:dyDescent="0.25">
      <c r="C1879" s="264"/>
      <c r="D1879" s="157"/>
      <c r="E1879" s="44"/>
      <c r="F1879" s="146"/>
      <c r="G1879" s="1"/>
      <c r="H1879" s="161"/>
      <c r="I1879" s="37"/>
      <c r="J1879" s="135"/>
      <c r="K1879" s="112"/>
      <c r="L1879" s="37"/>
      <c r="M1879" s="37"/>
      <c r="N1879" s="37"/>
      <c r="O1879" s="130"/>
      <c r="P1879" s="132"/>
      <c r="Q1879" s="262"/>
      <c r="R1879" s="92"/>
    </row>
    <row r="1880" spans="3:18" x14ac:dyDescent="0.25">
      <c r="C1880" s="264"/>
      <c r="D1880" s="157"/>
      <c r="E1880" s="44"/>
      <c r="F1880" s="146"/>
      <c r="G1880" s="1"/>
      <c r="H1880" s="161"/>
      <c r="I1880" s="37"/>
      <c r="J1880" s="135"/>
      <c r="K1880" s="112"/>
      <c r="L1880" s="37"/>
      <c r="M1880" s="37"/>
      <c r="N1880" s="37"/>
      <c r="O1880" s="130"/>
      <c r="P1880" s="132"/>
      <c r="Q1880" s="262"/>
      <c r="R1880" s="92"/>
    </row>
    <row r="1881" spans="3:18" x14ac:dyDescent="0.25">
      <c r="C1881" s="264"/>
      <c r="D1881" s="157"/>
      <c r="E1881" s="44"/>
      <c r="F1881" s="146"/>
      <c r="G1881" s="1"/>
      <c r="H1881" s="161"/>
      <c r="I1881" s="37"/>
      <c r="J1881" s="135"/>
      <c r="K1881" s="112"/>
      <c r="L1881" s="37"/>
      <c r="M1881" s="37"/>
      <c r="N1881" s="37"/>
      <c r="O1881" s="130"/>
      <c r="P1881" s="132"/>
      <c r="Q1881" s="262"/>
      <c r="R1881" s="92"/>
    </row>
    <row r="1882" spans="3:18" x14ac:dyDescent="0.25">
      <c r="C1882" s="264"/>
      <c r="D1882" s="157"/>
      <c r="E1882" s="44"/>
      <c r="F1882" s="146"/>
      <c r="G1882" s="1"/>
      <c r="H1882" s="161"/>
      <c r="I1882" s="37"/>
      <c r="J1882" s="135"/>
      <c r="K1882" s="112"/>
      <c r="L1882" s="37"/>
      <c r="M1882" s="37"/>
      <c r="N1882" s="37"/>
      <c r="O1882" s="130"/>
      <c r="P1882" s="132"/>
      <c r="Q1882" s="262"/>
      <c r="R1882" s="92"/>
    </row>
    <row r="1883" spans="3:18" x14ac:dyDescent="0.25">
      <c r="C1883" s="264"/>
      <c r="D1883" s="157"/>
      <c r="E1883" s="44"/>
      <c r="F1883" s="146"/>
      <c r="G1883" s="1"/>
      <c r="H1883" s="161"/>
      <c r="I1883" s="37"/>
      <c r="J1883" s="135"/>
      <c r="K1883" s="112"/>
      <c r="L1883" s="37"/>
      <c r="M1883" s="37"/>
      <c r="N1883" s="37"/>
      <c r="O1883" s="130"/>
      <c r="P1883" s="132"/>
      <c r="Q1883" s="262"/>
      <c r="R1883" s="92"/>
    </row>
    <row r="1884" spans="3:18" x14ac:dyDescent="0.25">
      <c r="C1884" s="264"/>
      <c r="D1884" s="157"/>
      <c r="E1884" s="44"/>
      <c r="F1884" s="146"/>
      <c r="G1884" s="1"/>
      <c r="H1884" s="161"/>
      <c r="I1884" s="37"/>
      <c r="J1884" s="135"/>
      <c r="K1884" s="112"/>
      <c r="L1884" s="37"/>
      <c r="M1884" s="37"/>
      <c r="N1884" s="37"/>
      <c r="O1884" s="130"/>
      <c r="P1884" s="132"/>
      <c r="Q1884" s="262"/>
      <c r="R1884" s="92"/>
    </row>
    <row r="1885" spans="3:18" x14ac:dyDescent="0.25">
      <c r="C1885" s="264"/>
      <c r="D1885" s="157"/>
      <c r="E1885" s="44"/>
      <c r="F1885" s="146"/>
      <c r="G1885" s="1"/>
      <c r="H1885" s="161"/>
      <c r="I1885" s="37"/>
      <c r="J1885" s="135"/>
      <c r="K1885" s="112"/>
      <c r="L1885" s="37"/>
      <c r="M1885" s="37"/>
      <c r="N1885" s="37"/>
      <c r="O1885" s="130"/>
      <c r="P1885" s="132"/>
      <c r="Q1885" s="262"/>
      <c r="R1885" s="92"/>
    </row>
    <row r="1886" spans="3:18" x14ac:dyDescent="0.25">
      <c r="C1886" s="264"/>
      <c r="D1886" s="157"/>
      <c r="E1886" s="44"/>
      <c r="F1886" s="146"/>
      <c r="G1886" s="1"/>
      <c r="H1886" s="161"/>
      <c r="I1886" s="37"/>
      <c r="J1886" s="135"/>
      <c r="K1886" s="112"/>
      <c r="L1886" s="37"/>
      <c r="M1886" s="37"/>
      <c r="N1886" s="37"/>
      <c r="O1886" s="130"/>
      <c r="P1886" s="132"/>
      <c r="Q1886" s="262"/>
      <c r="R1886" s="92"/>
    </row>
    <row r="1887" spans="3:18" x14ac:dyDescent="0.25">
      <c r="C1887" s="264"/>
      <c r="D1887" s="157"/>
      <c r="E1887" s="44"/>
      <c r="F1887" s="146"/>
      <c r="G1887" s="1"/>
      <c r="H1887" s="161"/>
      <c r="I1887" s="37"/>
      <c r="J1887" s="135"/>
      <c r="K1887" s="112"/>
      <c r="L1887" s="37"/>
      <c r="M1887" s="37"/>
      <c r="N1887" s="37"/>
      <c r="O1887" s="130"/>
      <c r="P1887" s="132"/>
      <c r="Q1887" s="262"/>
      <c r="R1887" s="92"/>
    </row>
    <row r="1888" spans="3:18" x14ac:dyDescent="0.25">
      <c r="C1888" s="264"/>
      <c r="D1888" s="157"/>
      <c r="E1888" s="44"/>
      <c r="F1888" s="146"/>
      <c r="G1888" s="1"/>
      <c r="H1888" s="161"/>
      <c r="I1888" s="37"/>
      <c r="J1888" s="135"/>
      <c r="K1888" s="112"/>
      <c r="L1888" s="37"/>
      <c r="M1888" s="37"/>
      <c r="N1888" s="37"/>
      <c r="O1888" s="130"/>
      <c r="P1888" s="132"/>
      <c r="Q1888" s="262"/>
      <c r="R1888" s="92"/>
    </row>
    <row r="1889" spans="3:18" x14ac:dyDescent="0.25">
      <c r="C1889" s="264"/>
      <c r="D1889" s="157"/>
      <c r="E1889" s="44"/>
      <c r="F1889" s="146"/>
      <c r="G1889" s="1"/>
      <c r="H1889" s="161"/>
      <c r="I1889" s="37"/>
      <c r="J1889" s="135"/>
      <c r="K1889" s="112"/>
      <c r="L1889" s="37"/>
      <c r="M1889" s="37"/>
      <c r="N1889" s="37"/>
      <c r="O1889" s="130"/>
      <c r="P1889" s="132"/>
      <c r="Q1889" s="262"/>
      <c r="R1889" s="92"/>
    </row>
    <row r="1890" spans="3:18" x14ac:dyDescent="0.25">
      <c r="C1890" s="264"/>
      <c r="D1890" s="157"/>
      <c r="E1890" s="44"/>
      <c r="F1890" s="146"/>
      <c r="G1890" s="1"/>
      <c r="H1890" s="161"/>
      <c r="I1890" s="37"/>
      <c r="J1890" s="135"/>
      <c r="K1890" s="112"/>
      <c r="L1890" s="37"/>
      <c r="M1890" s="37"/>
      <c r="N1890" s="37"/>
      <c r="O1890" s="130"/>
      <c r="P1890" s="132"/>
      <c r="Q1890" s="262"/>
      <c r="R1890" s="92"/>
    </row>
    <row r="1891" spans="3:18" x14ac:dyDescent="0.25">
      <c r="C1891" s="264"/>
      <c r="D1891" s="157"/>
      <c r="E1891" s="44"/>
      <c r="F1891" s="146"/>
      <c r="G1891" s="1"/>
      <c r="H1891" s="161"/>
      <c r="I1891" s="37"/>
      <c r="J1891" s="135"/>
      <c r="K1891" s="112"/>
      <c r="L1891" s="37"/>
      <c r="M1891" s="37"/>
      <c r="N1891" s="37"/>
      <c r="O1891" s="130"/>
      <c r="P1891" s="132"/>
      <c r="Q1891" s="262"/>
      <c r="R1891" s="92"/>
    </row>
    <row r="1892" spans="3:18" x14ac:dyDescent="0.25">
      <c r="C1892" s="264"/>
      <c r="D1892" s="157"/>
      <c r="E1892" s="44"/>
      <c r="F1892" s="146"/>
      <c r="G1892" s="1"/>
      <c r="H1892" s="161"/>
      <c r="I1892" s="37"/>
      <c r="J1892" s="135"/>
      <c r="K1892" s="112"/>
      <c r="L1892" s="37"/>
      <c r="M1892" s="37"/>
      <c r="N1892" s="37"/>
      <c r="O1892" s="130"/>
      <c r="P1892" s="132"/>
      <c r="Q1892" s="262"/>
      <c r="R1892" s="92"/>
    </row>
    <row r="1893" spans="3:18" x14ac:dyDescent="0.25">
      <c r="C1893" s="264"/>
      <c r="D1893" s="157"/>
      <c r="E1893" s="44"/>
      <c r="F1893" s="146"/>
      <c r="G1893" s="1"/>
      <c r="H1893" s="161"/>
      <c r="I1893" s="37"/>
      <c r="J1893" s="135"/>
      <c r="K1893" s="112"/>
      <c r="L1893" s="37"/>
      <c r="M1893" s="37"/>
      <c r="N1893" s="37"/>
      <c r="O1893" s="130"/>
      <c r="P1893" s="132"/>
      <c r="Q1893" s="262"/>
      <c r="R1893" s="92"/>
    </row>
    <row r="1894" spans="3:18" x14ac:dyDescent="0.25">
      <c r="C1894" s="264"/>
      <c r="D1894" s="157"/>
      <c r="E1894" s="44"/>
      <c r="F1894" s="146"/>
      <c r="G1894" s="1"/>
      <c r="H1894" s="161"/>
      <c r="I1894" s="37"/>
      <c r="J1894" s="135"/>
      <c r="K1894" s="112"/>
      <c r="L1894" s="37"/>
      <c r="M1894" s="37"/>
      <c r="N1894" s="37"/>
      <c r="O1894" s="130"/>
      <c r="P1894" s="132"/>
      <c r="Q1894" s="262"/>
      <c r="R1894" s="92"/>
    </row>
    <row r="1895" spans="3:18" x14ac:dyDescent="0.25">
      <c r="C1895" s="264"/>
      <c r="D1895" s="157"/>
      <c r="E1895" s="44"/>
      <c r="F1895" s="146"/>
      <c r="G1895" s="1"/>
      <c r="H1895" s="161"/>
      <c r="I1895" s="37"/>
      <c r="J1895" s="135"/>
      <c r="K1895" s="112"/>
      <c r="L1895" s="37"/>
      <c r="M1895" s="37"/>
      <c r="N1895" s="37"/>
      <c r="O1895" s="130"/>
      <c r="P1895" s="132"/>
      <c r="Q1895" s="262"/>
      <c r="R1895" s="92"/>
    </row>
    <row r="1896" spans="3:18" x14ac:dyDescent="0.25">
      <c r="C1896" s="264"/>
      <c r="D1896" s="157"/>
      <c r="E1896" s="44"/>
      <c r="F1896" s="146"/>
      <c r="G1896" s="1"/>
      <c r="H1896" s="161"/>
      <c r="I1896" s="37"/>
      <c r="J1896" s="135"/>
      <c r="K1896" s="112"/>
      <c r="L1896" s="37"/>
      <c r="M1896" s="37"/>
      <c r="N1896" s="37"/>
      <c r="O1896" s="130"/>
      <c r="P1896" s="132"/>
      <c r="Q1896" s="262"/>
      <c r="R1896" s="92"/>
    </row>
    <row r="1897" spans="3:18" x14ac:dyDescent="0.25">
      <c r="C1897" s="264"/>
      <c r="D1897" s="157"/>
      <c r="E1897" s="44"/>
      <c r="F1897" s="146"/>
      <c r="G1897" s="1"/>
      <c r="H1897" s="161"/>
      <c r="I1897" s="37"/>
      <c r="J1897" s="135"/>
      <c r="K1897" s="112"/>
      <c r="L1897" s="37"/>
      <c r="M1897" s="37"/>
      <c r="N1897" s="37"/>
      <c r="O1897" s="130"/>
      <c r="P1897" s="132"/>
      <c r="Q1897" s="262"/>
      <c r="R1897" s="92"/>
    </row>
    <row r="1898" spans="3:18" x14ac:dyDescent="0.25">
      <c r="C1898" s="264"/>
      <c r="D1898" s="157"/>
      <c r="E1898" s="44"/>
      <c r="F1898" s="146"/>
      <c r="G1898" s="1"/>
      <c r="H1898" s="161"/>
      <c r="I1898" s="37"/>
      <c r="J1898" s="135"/>
      <c r="K1898" s="112"/>
      <c r="L1898" s="37"/>
      <c r="M1898" s="37"/>
      <c r="N1898" s="37"/>
      <c r="O1898" s="130"/>
      <c r="P1898" s="132"/>
      <c r="Q1898" s="262"/>
      <c r="R1898" s="92"/>
    </row>
    <row r="1899" spans="3:18" x14ac:dyDescent="0.25">
      <c r="C1899" s="264"/>
      <c r="D1899" s="157"/>
      <c r="E1899" s="44"/>
      <c r="F1899" s="146"/>
      <c r="G1899" s="1"/>
      <c r="H1899" s="161"/>
      <c r="I1899" s="37"/>
      <c r="J1899" s="135"/>
      <c r="K1899" s="112"/>
      <c r="L1899" s="37"/>
      <c r="M1899" s="37"/>
      <c r="N1899" s="37"/>
      <c r="O1899" s="130"/>
      <c r="P1899" s="132"/>
      <c r="Q1899" s="262"/>
      <c r="R1899" s="92"/>
    </row>
    <row r="1900" spans="3:18" x14ac:dyDescent="0.25">
      <c r="C1900" s="264"/>
      <c r="D1900" s="157"/>
      <c r="E1900" s="44"/>
      <c r="F1900" s="146"/>
      <c r="G1900" s="1"/>
      <c r="H1900" s="161"/>
      <c r="I1900" s="37"/>
      <c r="J1900" s="135"/>
      <c r="K1900" s="112"/>
      <c r="L1900" s="37"/>
      <c r="M1900" s="37"/>
      <c r="N1900" s="37"/>
      <c r="O1900" s="130"/>
      <c r="P1900" s="132"/>
      <c r="Q1900" s="262"/>
      <c r="R1900" s="92"/>
    </row>
    <row r="1901" spans="3:18" x14ac:dyDescent="0.25">
      <c r="C1901" s="264"/>
      <c r="D1901" s="157"/>
      <c r="E1901" s="44"/>
      <c r="F1901" s="146"/>
      <c r="G1901" s="1"/>
      <c r="H1901" s="161"/>
      <c r="I1901" s="37"/>
      <c r="J1901" s="135"/>
      <c r="K1901" s="112"/>
      <c r="L1901" s="37"/>
      <c r="M1901" s="37"/>
      <c r="N1901" s="37"/>
      <c r="O1901" s="130"/>
      <c r="P1901" s="132"/>
      <c r="Q1901" s="262"/>
      <c r="R1901" s="92"/>
    </row>
    <row r="1902" spans="3:18" x14ac:dyDescent="0.25">
      <c r="C1902" s="264"/>
      <c r="D1902" s="157"/>
      <c r="E1902" s="44"/>
      <c r="F1902" s="146"/>
      <c r="G1902" s="1"/>
      <c r="H1902" s="161"/>
      <c r="I1902" s="37"/>
      <c r="J1902" s="135"/>
      <c r="K1902" s="112"/>
      <c r="L1902" s="37"/>
      <c r="M1902" s="37"/>
      <c r="N1902" s="37"/>
      <c r="O1902" s="130"/>
      <c r="P1902" s="132"/>
      <c r="Q1902" s="262"/>
      <c r="R1902" s="92"/>
    </row>
    <row r="1903" spans="3:18" x14ac:dyDescent="0.25">
      <c r="C1903" s="264"/>
      <c r="D1903" s="157"/>
      <c r="E1903" s="44"/>
      <c r="F1903" s="146"/>
      <c r="G1903" s="1"/>
      <c r="H1903" s="161"/>
      <c r="I1903" s="37"/>
      <c r="J1903" s="135"/>
      <c r="K1903" s="112"/>
      <c r="L1903" s="37"/>
      <c r="M1903" s="37"/>
      <c r="N1903" s="37"/>
      <c r="O1903" s="130"/>
      <c r="P1903" s="132"/>
      <c r="Q1903" s="262"/>
      <c r="R1903" s="92"/>
    </row>
    <row r="1904" spans="3:18" x14ac:dyDescent="0.25">
      <c r="C1904" s="264"/>
      <c r="D1904" s="157"/>
      <c r="E1904" s="44"/>
      <c r="F1904" s="146"/>
      <c r="G1904" s="1"/>
      <c r="H1904" s="161"/>
      <c r="I1904" s="37"/>
      <c r="J1904" s="135"/>
      <c r="K1904" s="112"/>
      <c r="L1904" s="37"/>
      <c r="M1904" s="37"/>
      <c r="N1904" s="37"/>
      <c r="O1904" s="130"/>
      <c r="P1904" s="132"/>
      <c r="Q1904" s="262"/>
      <c r="R1904" s="92"/>
    </row>
    <row r="1905" spans="3:18" x14ac:dyDescent="0.25">
      <c r="C1905" s="264"/>
      <c r="D1905" s="157"/>
      <c r="E1905" s="44"/>
      <c r="F1905" s="146"/>
      <c r="G1905" s="1"/>
      <c r="H1905" s="161"/>
      <c r="I1905" s="37"/>
      <c r="J1905" s="135"/>
      <c r="K1905" s="112"/>
      <c r="L1905" s="37"/>
      <c r="M1905" s="37"/>
      <c r="N1905" s="37"/>
      <c r="O1905" s="130"/>
      <c r="P1905" s="132"/>
      <c r="Q1905" s="262"/>
      <c r="R1905" s="92"/>
    </row>
    <row r="1906" spans="3:18" x14ac:dyDescent="0.25">
      <c r="C1906" s="264"/>
      <c r="D1906" s="157"/>
      <c r="E1906" s="44"/>
      <c r="F1906" s="146"/>
      <c r="G1906" s="1"/>
      <c r="H1906" s="161"/>
      <c r="I1906" s="37"/>
      <c r="J1906" s="135"/>
      <c r="K1906" s="112"/>
      <c r="L1906" s="37"/>
      <c r="M1906" s="37"/>
      <c r="N1906" s="37"/>
      <c r="O1906" s="130"/>
      <c r="P1906" s="132"/>
      <c r="Q1906" s="262"/>
      <c r="R1906" s="92"/>
    </row>
    <row r="1907" spans="3:18" x14ac:dyDescent="0.25">
      <c r="C1907" s="264"/>
      <c r="D1907" s="157"/>
      <c r="E1907" s="44"/>
      <c r="F1907" s="146"/>
      <c r="G1907" s="1"/>
      <c r="H1907" s="161"/>
      <c r="I1907" s="37"/>
      <c r="J1907" s="135"/>
      <c r="K1907" s="112"/>
      <c r="L1907" s="37"/>
      <c r="M1907" s="37"/>
      <c r="N1907" s="37"/>
      <c r="O1907" s="130"/>
      <c r="P1907" s="132"/>
      <c r="Q1907" s="262"/>
      <c r="R1907" s="92"/>
    </row>
    <row r="1908" spans="3:18" x14ac:dyDescent="0.25">
      <c r="C1908" s="264"/>
      <c r="D1908" s="157"/>
      <c r="E1908" s="44"/>
      <c r="F1908" s="146"/>
      <c r="G1908" s="1"/>
      <c r="H1908" s="161"/>
      <c r="I1908" s="37"/>
      <c r="J1908" s="135"/>
      <c r="K1908" s="112"/>
      <c r="L1908" s="37"/>
      <c r="M1908" s="37"/>
      <c r="N1908" s="37"/>
      <c r="O1908" s="130"/>
      <c r="P1908" s="132"/>
      <c r="Q1908" s="262"/>
      <c r="R1908" s="92"/>
    </row>
    <row r="1909" spans="3:18" x14ac:dyDescent="0.25">
      <c r="C1909" s="264"/>
      <c r="D1909" s="157"/>
      <c r="E1909" s="44"/>
      <c r="F1909" s="146"/>
      <c r="G1909" s="1"/>
      <c r="H1909" s="161"/>
      <c r="I1909" s="37"/>
      <c r="J1909" s="135"/>
      <c r="K1909" s="112"/>
      <c r="L1909" s="37"/>
      <c r="M1909" s="37"/>
      <c r="N1909" s="37"/>
      <c r="O1909" s="130"/>
      <c r="P1909" s="132"/>
      <c r="Q1909" s="262"/>
      <c r="R1909" s="92"/>
    </row>
    <row r="1910" spans="3:18" x14ac:dyDescent="0.25">
      <c r="C1910" s="264"/>
      <c r="D1910" s="157"/>
      <c r="E1910" s="44"/>
      <c r="F1910" s="146"/>
      <c r="G1910" s="1"/>
      <c r="H1910" s="161"/>
      <c r="I1910" s="37"/>
      <c r="J1910" s="135"/>
      <c r="K1910" s="112"/>
      <c r="L1910" s="37"/>
      <c r="M1910" s="37"/>
      <c r="N1910" s="37"/>
      <c r="O1910" s="130"/>
      <c r="P1910" s="132"/>
      <c r="Q1910" s="262"/>
      <c r="R1910" s="92"/>
    </row>
    <row r="1911" spans="3:18" x14ac:dyDescent="0.25">
      <c r="C1911" s="264"/>
      <c r="D1911" s="157"/>
      <c r="E1911" s="44"/>
      <c r="F1911" s="146"/>
      <c r="G1911" s="1"/>
      <c r="H1911" s="161"/>
      <c r="I1911" s="37"/>
      <c r="J1911" s="135"/>
      <c r="K1911" s="112"/>
      <c r="L1911" s="37"/>
      <c r="M1911" s="37"/>
      <c r="N1911" s="37"/>
      <c r="O1911" s="130"/>
      <c r="P1911" s="132"/>
      <c r="Q1911" s="262"/>
      <c r="R1911" s="92"/>
    </row>
    <row r="1912" spans="3:18" x14ac:dyDescent="0.25">
      <c r="C1912" s="264"/>
      <c r="D1912" s="157"/>
      <c r="E1912" s="44"/>
      <c r="F1912" s="146"/>
      <c r="G1912" s="1"/>
      <c r="H1912" s="161"/>
      <c r="I1912" s="37"/>
      <c r="J1912" s="135"/>
      <c r="K1912" s="112"/>
      <c r="L1912" s="37"/>
      <c r="M1912" s="37"/>
      <c r="N1912" s="37"/>
      <c r="O1912" s="130"/>
      <c r="P1912" s="132"/>
      <c r="Q1912" s="262"/>
      <c r="R1912" s="92"/>
    </row>
    <row r="1913" spans="3:18" x14ac:dyDescent="0.25">
      <c r="C1913" s="264"/>
      <c r="D1913" s="157"/>
      <c r="E1913" s="44"/>
      <c r="F1913" s="146"/>
      <c r="G1913" s="1"/>
      <c r="H1913" s="161"/>
      <c r="I1913" s="37"/>
      <c r="J1913" s="135"/>
      <c r="K1913" s="112"/>
      <c r="L1913" s="37"/>
      <c r="M1913" s="37"/>
      <c r="N1913" s="37"/>
      <c r="O1913" s="130"/>
      <c r="P1913" s="132"/>
      <c r="Q1913" s="262"/>
      <c r="R1913" s="92"/>
    </row>
    <row r="1914" spans="3:18" x14ac:dyDescent="0.25">
      <c r="C1914" s="264"/>
      <c r="D1914" s="157"/>
      <c r="E1914" s="44"/>
      <c r="F1914" s="146"/>
      <c r="G1914" s="1"/>
      <c r="H1914" s="161"/>
      <c r="I1914" s="37"/>
      <c r="J1914" s="135"/>
      <c r="K1914" s="112"/>
      <c r="L1914" s="37"/>
      <c r="M1914" s="37"/>
      <c r="N1914" s="37"/>
      <c r="O1914" s="130"/>
      <c r="P1914" s="132"/>
      <c r="Q1914" s="262"/>
      <c r="R1914" s="92"/>
    </row>
    <row r="1915" spans="3:18" x14ac:dyDescent="0.25">
      <c r="C1915" s="264"/>
      <c r="D1915" s="157"/>
      <c r="E1915" s="44"/>
      <c r="F1915" s="146"/>
      <c r="G1915" s="1"/>
      <c r="H1915" s="161"/>
      <c r="I1915" s="37"/>
      <c r="J1915" s="135"/>
      <c r="K1915" s="112"/>
      <c r="L1915" s="37"/>
      <c r="M1915" s="37"/>
      <c r="N1915" s="37"/>
      <c r="O1915" s="130"/>
      <c r="P1915" s="132"/>
      <c r="Q1915" s="262"/>
      <c r="R1915" s="92"/>
    </row>
    <row r="1916" spans="3:18" x14ac:dyDescent="0.25">
      <c r="C1916" s="264"/>
      <c r="D1916" s="157"/>
      <c r="E1916" s="44"/>
      <c r="F1916" s="146"/>
      <c r="G1916" s="1"/>
      <c r="H1916" s="161"/>
      <c r="I1916" s="37"/>
      <c r="J1916" s="135"/>
      <c r="K1916" s="112"/>
      <c r="L1916" s="37"/>
      <c r="M1916" s="37"/>
      <c r="N1916" s="37"/>
      <c r="O1916" s="130"/>
      <c r="P1916" s="132"/>
      <c r="Q1916" s="262"/>
      <c r="R1916" s="92"/>
    </row>
    <row r="1917" spans="3:18" x14ac:dyDescent="0.25">
      <c r="C1917" s="264"/>
      <c r="D1917" s="157"/>
      <c r="E1917" s="44"/>
      <c r="F1917" s="146"/>
      <c r="G1917" s="1"/>
      <c r="H1917" s="161"/>
      <c r="I1917" s="37"/>
      <c r="J1917" s="135"/>
      <c r="K1917" s="112"/>
      <c r="L1917" s="37"/>
      <c r="M1917" s="37"/>
      <c r="N1917" s="37"/>
      <c r="O1917" s="130"/>
      <c r="P1917" s="132"/>
      <c r="Q1917" s="262"/>
      <c r="R1917" s="92"/>
    </row>
    <row r="1918" spans="3:18" x14ac:dyDescent="0.25">
      <c r="C1918" s="264"/>
      <c r="D1918" s="157"/>
      <c r="E1918" s="44"/>
      <c r="F1918" s="146"/>
      <c r="G1918" s="1"/>
      <c r="H1918" s="161"/>
      <c r="I1918" s="37"/>
      <c r="J1918" s="135"/>
      <c r="K1918" s="112"/>
      <c r="L1918" s="37"/>
      <c r="M1918" s="37"/>
      <c r="N1918" s="37"/>
      <c r="O1918" s="130"/>
      <c r="P1918" s="132"/>
      <c r="Q1918" s="262"/>
      <c r="R1918" s="92"/>
    </row>
    <row r="1919" spans="3:18" x14ac:dyDescent="0.25">
      <c r="C1919" s="264"/>
      <c r="D1919" s="157"/>
      <c r="E1919" s="44"/>
      <c r="F1919" s="146"/>
      <c r="G1919" s="1"/>
      <c r="H1919" s="161"/>
      <c r="I1919" s="37"/>
      <c r="J1919" s="135"/>
      <c r="K1919" s="112"/>
      <c r="L1919" s="37"/>
      <c r="M1919" s="37"/>
      <c r="N1919" s="37"/>
      <c r="O1919" s="130"/>
      <c r="P1919" s="132"/>
      <c r="Q1919" s="262"/>
      <c r="R1919" s="92"/>
    </row>
    <row r="1920" spans="3:18" x14ac:dyDescent="0.25">
      <c r="C1920" s="264"/>
      <c r="D1920" s="157"/>
      <c r="E1920" s="44"/>
      <c r="F1920" s="146"/>
      <c r="G1920" s="1"/>
      <c r="H1920" s="161"/>
      <c r="I1920" s="37"/>
      <c r="J1920" s="135"/>
      <c r="K1920" s="112"/>
      <c r="L1920" s="37"/>
      <c r="M1920" s="37"/>
      <c r="N1920" s="37"/>
      <c r="O1920" s="130"/>
      <c r="P1920" s="132"/>
      <c r="Q1920" s="262"/>
      <c r="R1920" s="92"/>
    </row>
    <row r="1921" spans="3:18" x14ac:dyDescent="0.25">
      <c r="C1921" s="264"/>
      <c r="D1921" s="157"/>
      <c r="E1921" s="44"/>
      <c r="F1921" s="146"/>
      <c r="G1921" s="1"/>
      <c r="H1921" s="161"/>
      <c r="I1921" s="37"/>
      <c r="J1921" s="135"/>
      <c r="K1921" s="112"/>
      <c r="L1921" s="37"/>
      <c r="M1921" s="37"/>
      <c r="N1921" s="37"/>
      <c r="O1921" s="130"/>
      <c r="P1921" s="132"/>
      <c r="Q1921" s="262"/>
      <c r="R1921" s="92"/>
    </row>
    <row r="1922" spans="3:18" x14ac:dyDescent="0.25">
      <c r="C1922" s="264"/>
      <c r="D1922" s="157"/>
      <c r="E1922" s="44"/>
      <c r="F1922" s="146"/>
      <c r="G1922" s="1"/>
      <c r="H1922" s="161"/>
      <c r="I1922" s="37"/>
      <c r="J1922" s="135"/>
      <c r="K1922" s="112"/>
      <c r="L1922" s="37"/>
      <c r="M1922" s="37"/>
      <c r="N1922" s="37"/>
      <c r="O1922" s="130"/>
      <c r="P1922" s="132"/>
      <c r="Q1922" s="262"/>
      <c r="R1922" s="92"/>
    </row>
    <row r="1923" spans="3:18" x14ac:dyDescent="0.25">
      <c r="C1923" s="264"/>
      <c r="D1923" s="157"/>
      <c r="E1923" s="44"/>
      <c r="F1923" s="146"/>
      <c r="G1923" s="1"/>
      <c r="H1923" s="161"/>
      <c r="I1923" s="37"/>
      <c r="J1923" s="135"/>
      <c r="K1923" s="112"/>
      <c r="L1923" s="37"/>
      <c r="M1923" s="37"/>
      <c r="N1923" s="37"/>
      <c r="O1923" s="130"/>
      <c r="P1923" s="132"/>
      <c r="Q1923" s="262"/>
      <c r="R1923" s="92"/>
    </row>
    <row r="1924" spans="3:18" x14ac:dyDescent="0.25">
      <c r="C1924" s="264"/>
      <c r="D1924" s="157"/>
      <c r="E1924" s="44"/>
      <c r="F1924" s="146"/>
      <c r="G1924" s="1"/>
      <c r="H1924" s="161"/>
      <c r="I1924" s="37"/>
      <c r="J1924" s="135"/>
      <c r="K1924" s="112"/>
      <c r="L1924" s="37"/>
      <c r="M1924" s="37"/>
      <c r="N1924" s="37"/>
      <c r="O1924" s="130"/>
      <c r="P1924" s="132"/>
      <c r="Q1924" s="262"/>
      <c r="R1924" s="92"/>
    </row>
    <row r="1925" spans="3:18" x14ac:dyDescent="0.25">
      <c r="C1925" s="264"/>
      <c r="D1925" s="157"/>
      <c r="E1925" s="44"/>
      <c r="F1925" s="146"/>
      <c r="G1925" s="1"/>
      <c r="H1925" s="161"/>
      <c r="I1925" s="37"/>
      <c r="J1925" s="135"/>
      <c r="K1925" s="112"/>
      <c r="L1925" s="37"/>
      <c r="M1925" s="37"/>
      <c r="N1925" s="37"/>
      <c r="O1925" s="130"/>
      <c r="P1925" s="132"/>
      <c r="Q1925" s="262"/>
      <c r="R1925" s="92"/>
    </row>
    <row r="1926" spans="3:18" x14ac:dyDescent="0.25">
      <c r="C1926" s="264"/>
      <c r="D1926" s="157"/>
      <c r="E1926" s="44"/>
      <c r="F1926" s="146"/>
      <c r="G1926" s="1"/>
      <c r="H1926" s="161"/>
      <c r="I1926" s="37"/>
      <c r="J1926" s="135"/>
      <c r="K1926" s="112"/>
      <c r="L1926" s="37"/>
      <c r="M1926" s="37"/>
      <c r="N1926" s="37"/>
      <c r="O1926" s="130"/>
      <c r="P1926" s="132"/>
      <c r="Q1926" s="262"/>
      <c r="R1926" s="92"/>
    </row>
    <row r="1927" spans="3:18" x14ac:dyDescent="0.25">
      <c r="C1927" s="264"/>
      <c r="D1927" s="157"/>
      <c r="E1927" s="44"/>
      <c r="F1927" s="146"/>
      <c r="G1927" s="1"/>
      <c r="H1927" s="161"/>
      <c r="I1927" s="37"/>
      <c r="J1927" s="135"/>
      <c r="K1927" s="112"/>
      <c r="L1927" s="37"/>
      <c r="M1927" s="37"/>
      <c r="N1927" s="37"/>
      <c r="O1927" s="130"/>
      <c r="P1927" s="132"/>
      <c r="Q1927" s="262"/>
      <c r="R1927" s="92"/>
    </row>
    <row r="1928" spans="3:18" x14ac:dyDescent="0.25">
      <c r="C1928" s="264"/>
      <c r="D1928" s="157"/>
      <c r="E1928" s="44"/>
      <c r="F1928" s="146"/>
      <c r="G1928" s="1"/>
      <c r="H1928" s="161"/>
      <c r="I1928" s="37"/>
      <c r="J1928" s="135"/>
      <c r="K1928" s="112"/>
      <c r="L1928" s="37"/>
      <c r="M1928" s="37"/>
      <c r="N1928" s="37"/>
      <c r="O1928" s="130"/>
      <c r="P1928" s="132"/>
      <c r="Q1928" s="262"/>
      <c r="R1928" s="92"/>
    </row>
    <row r="1929" spans="3:18" x14ac:dyDescent="0.25">
      <c r="C1929" s="264"/>
      <c r="D1929" s="157"/>
      <c r="E1929" s="44"/>
      <c r="F1929" s="146"/>
      <c r="G1929" s="1"/>
      <c r="H1929" s="161"/>
      <c r="I1929" s="37"/>
      <c r="J1929" s="135"/>
      <c r="K1929" s="112"/>
      <c r="L1929" s="37"/>
      <c r="M1929" s="37"/>
      <c r="N1929" s="37"/>
      <c r="O1929" s="130"/>
      <c r="P1929" s="132"/>
      <c r="Q1929" s="262"/>
      <c r="R1929" s="92"/>
    </row>
    <row r="1930" spans="3:18" x14ac:dyDescent="0.25">
      <c r="C1930" s="264"/>
      <c r="D1930" s="157"/>
      <c r="E1930" s="44"/>
      <c r="F1930" s="146"/>
      <c r="G1930" s="1"/>
      <c r="H1930" s="161"/>
      <c r="I1930" s="37"/>
      <c r="J1930" s="135"/>
      <c r="K1930" s="112"/>
      <c r="L1930" s="37"/>
      <c r="M1930" s="37"/>
      <c r="N1930" s="37"/>
      <c r="O1930" s="130"/>
      <c r="P1930" s="132"/>
      <c r="Q1930" s="262"/>
      <c r="R1930" s="92"/>
    </row>
    <row r="1931" spans="3:18" x14ac:dyDescent="0.25">
      <c r="C1931" s="264"/>
      <c r="D1931" s="157"/>
      <c r="E1931" s="44"/>
      <c r="F1931" s="146"/>
      <c r="G1931" s="1"/>
      <c r="H1931" s="161"/>
      <c r="I1931" s="37"/>
      <c r="J1931" s="135"/>
      <c r="K1931" s="112"/>
      <c r="L1931" s="37"/>
      <c r="M1931" s="37"/>
      <c r="N1931" s="37"/>
      <c r="O1931" s="130"/>
      <c r="P1931" s="132"/>
      <c r="Q1931" s="262"/>
      <c r="R1931" s="92"/>
    </row>
    <row r="1932" spans="3:18" x14ac:dyDescent="0.25">
      <c r="C1932" s="264"/>
      <c r="D1932" s="157"/>
      <c r="E1932" s="44"/>
      <c r="F1932" s="146"/>
      <c r="G1932" s="1"/>
      <c r="H1932" s="161"/>
      <c r="I1932" s="37"/>
      <c r="J1932" s="135"/>
      <c r="K1932" s="112"/>
      <c r="L1932" s="37"/>
      <c r="M1932" s="37"/>
      <c r="N1932" s="37"/>
      <c r="O1932" s="130"/>
      <c r="P1932" s="132"/>
      <c r="Q1932" s="262"/>
      <c r="R1932" s="92"/>
    </row>
    <row r="1933" spans="3:18" x14ac:dyDescent="0.25">
      <c r="C1933" s="264"/>
      <c r="D1933" s="157"/>
      <c r="E1933" s="44"/>
      <c r="F1933" s="146"/>
      <c r="G1933" s="1"/>
      <c r="H1933" s="161"/>
      <c r="I1933" s="37"/>
      <c r="J1933" s="135"/>
      <c r="K1933" s="112"/>
      <c r="L1933" s="37"/>
      <c r="M1933" s="37"/>
      <c r="N1933" s="37"/>
      <c r="O1933" s="130"/>
      <c r="P1933" s="132"/>
      <c r="Q1933" s="262"/>
      <c r="R1933" s="92"/>
    </row>
    <row r="1934" spans="3:18" x14ac:dyDescent="0.25">
      <c r="C1934" s="264"/>
      <c r="D1934" s="157"/>
      <c r="E1934" s="44"/>
      <c r="F1934" s="146"/>
      <c r="G1934" s="1"/>
      <c r="H1934" s="161"/>
      <c r="I1934" s="37"/>
      <c r="J1934" s="135"/>
      <c r="K1934" s="112"/>
      <c r="L1934" s="37"/>
      <c r="M1934" s="37"/>
      <c r="N1934" s="37"/>
      <c r="O1934" s="130"/>
      <c r="P1934" s="132"/>
      <c r="Q1934" s="262"/>
      <c r="R1934" s="92"/>
    </row>
    <row r="1935" spans="3:18" x14ac:dyDescent="0.25">
      <c r="C1935" s="264"/>
      <c r="D1935" s="157"/>
      <c r="E1935" s="44"/>
      <c r="F1935" s="146"/>
      <c r="G1935" s="1"/>
      <c r="H1935" s="161"/>
      <c r="I1935" s="37"/>
      <c r="J1935" s="135"/>
      <c r="K1935" s="112"/>
      <c r="L1935" s="37"/>
      <c r="M1935" s="37"/>
      <c r="N1935" s="37"/>
      <c r="O1935" s="130"/>
      <c r="P1935" s="132"/>
      <c r="Q1935" s="262"/>
      <c r="R1935" s="92"/>
    </row>
    <row r="1936" spans="3:18" x14ac:dyDescent="0.25">
      <c r="C1936" s="264"/>
      <c r="D1936" s="157"/>
      <c r="E1936" s="44"/>
      <c r="F1936" s="146"/>
      <c r="G1936" s="1"/>
      <c r="H1936" s="161"/>
      <c r="I1936" s="37"/>
      <c r="J1936" s="135"/>
      <c r="K1936" s="112"/>
      <c r="L1936" s="37"/>
      <c r="M1936" s="37"/>
      <c r="N1936" s="37"/>
      <c r="O1936" s="130"/>
      <c r="P1936" s="132"/>
      <c r="Q1936" s="262"/>
      <c r="R1936" s="92"/>
    </row>
    <row r="1937" spans="3:18" x14ac:dyDescent="0.25">
      <c r="C1937" s="264"/>
      <c r="D1937" s="157"/>
      <c r="E1937" s="44"/>
      <c r="F1937" s="146"/>
      <c r="G1937" s="1"/>
      <c r="H1937" s="161"/>
      <c r="I1937" s="37"/>
      <c r="J1937" s="135"/>
      <c r="K1937" s="112"/>
      <c r="L1937" s="37"/>
      <c r="M1937" s="37"/>
      <c r="N1937" s="37"/>
      <c r="O1937" s="130"/>
      <c r="P1937" s="132"/>
      <c r="Q1937" s="262"/>
      <c r="R1937" s="92"/>
    </row>
    <row r="1938" spans="3:18" x14ac:dyDescent="0.25">
      <c r="C1938" s="264"/>
      <c r="D1938" s="157"/>
      <c r="E1938" s="44"/>
      <c r="F1938" s="146"/>
      <c r="G1938" s="1"/>
      <c r="H1938" s="161"/>
      <c r="I1938" s="37"/>
      <c r="J1938" s="135"/>
      <c r="K1938" s="112"/>
      <c r="L1938" s="37"/>
      <c r="M1938" s="37"/>
      <c r="N1938" s="37"/>
      <c r="O1938" s="130"/>
      <c r="P1938" s="132"/>
      <c r="Q1938" s="262"/>
      <c r="R1938" s="92"/>
    </row>
    <row r="1939" spans="3:18" x14ac:dyDescent="0.25">
      <c r="C1939" s="264"/>
      <c r="D1939" s="157"/>
      <c r="E1939" s="44"/>
      <c r="F1939" s="146"/>
      <c r="G1939" s="1"/>
      <c r="H1939" s="161"/>
      <c r="I1939" s="37"/>
      <c r="J1939" s="135"/>
      <c r="K1939" s="112"/>
      <c r="L1939" s="37"/>
      <c r="M1939" s="37"/>
      <c r="N1939" s="37"/>
      <c r="O1939" s="130"/>
      <c r="P1939" s="132"/>
      <c r="Q1939" s="262"/>
      <c r="R1939" s="92"/>
    </row>
    <row r="1940" spans="3:18" x14ac:dyDescent="0.25">
      <c r="C1940" s="264"/>
      <c r="D1940" s="157"/>
      <c r="E1940" s="44"/>
      <c r="F1940" s="146"/>
      <c r="G1940" s="1"/>
      <c r="H1940" s="161"/>
      <c r="I1940" s="37"/>
      <c r="J1940" s="135"/>
      <c r="K1940" s="112"/>
      <c r="L1940" s="37"/>
      <c r="M1940" s="37"/>
      <c r="N1940" s="37"/>
      <c r="O1940" s="130"/>
      <c r="P1940" s="132"/>
      <c r="Q1940" s="262"/>
      <c r="R1940" s="92"/>
    </row>
    <row r="1941" spans="3:18" x14ac:dyDescent="0.25">
      <c r="C1941" s="264"/>
      <c r="D1941" s="157"/>
      <c r="E1941" s="44"/>
      <c r="F1941" s="146"/>
      <c r="G1941" s="1"/>
      <c r="H1941" s="161"/>
      <c r="I1941" s="37"/>
      <c r="J1941" s="135"/>
      <c r="K1941" s="112"/>
      <c r="L1941" s="37"/>
      <c r="M1941" s="37"/>
      <c r="N1941" s="37"/>
      <c r="O1941" s="130"/>
      <c r="P1941" s="132"/>
      <c r="Q1941" s="262"/>
      <c r="R1941" s="92"/>
    </row>
    <row r="1942" spans="3:18" x14ac:dyDescent="0.25">
      <c r="C1942" s="264"/>
      <c r="D1942" s="157"/>
      <c r="E1942" s="44"/>
      <c r="F1942" s="146"/>
      <c r="G1942" s="1"/>
      <c r="H1942" s="161"/>
      <c r="I1942" s="37"/>
      <c r="J1942" s="135"/>
      <c r="K1942" s="112"/>
      <c r="L1942" s="37"/>
      <c r="M1942" s="37"/>
      <c r="N1942" s="37"/>
      <c r="O1942" s="130"/>
      <c r="P1942" s="132"/>
      <c r="Q1942" s="262"/>
      <c r="R1942" s="92"/>
    </row>
    <row r="1943" spans="3:18" x14ac:dyDescent="0.25">
      <c r="C1943" s="264"/>
      <c r="D1943" s="157"/>
      <c r="E1943" s="44"/>
      <c r="F1943" s="146"/>
      <c r="G1943" s="1"/>
      <c r="H1943" s="161"/>
      <c r="I1943" s="37"/>
      <c r="J1943" s="135"/>
      <c r="K1943" s="112"/>
      <c r="L1943" s="37"/>
      <c r="M1943" s="37"/>
      <c r="N1943" s="37"/>
      <c r="O1943" s="130"/>
      <c r="P1943" s="132"/>
      <c r="Q1943" s="262"/>
      <c r="R1943" s="92"/>
    </row>
    <row r="1944" spans="3:18" x14ac:dyDescent="0.25">
      <c r="C1944" s="264"/>
      <c r="D1944" s="157"/>
      <c r="E1944" s="44"/>
      <c r="F1944" s="146"/>
      <c r="G1944" s="1"/>
      <c r="H1944" s="161"/>
      <c r="I1944" s="37"/>
      <c r="J1944" s="135"/>
      <c r="K1944" s="112"/>
      <c r="L1944" s="37"/>
      <c r="M1944" s="37"/>
      <c r="N1944" s="37"/>
      <c r="O1944" s="130"/>
      <c r="P1944" s="132"/>
      <c r="Q1944" s="262"/>
      <c r="R1944" s="92"/>
    </row>
    <row r="1945" spans="3:18" x14ac:dyDescent="0.25">
      <c r="C1945" s="264"/>
      <c r="D1945" s="157"/>
      <c r="E1945" s="44"/>
      <c r="F1945" s="146"/>
      <c r="G1945" s="1"/>
      <c r="H1945" s="161"/>
      <c r="I1945" s="37"/>
      <c r="J1945" s="135"/>
      <c r="K1945" s="112"/>
      <c r="L1945" s="37"/>
      <c r="M1945" s="37"/>
      <c r="N1945" s="37"/>
      <c r="O1945" s="130"/>
      <c r="P1945" s="132"/>
      <c r="Q1945" s="262"/>
      <c r="R1945" s="92"/>
    </row>
    <row r="1946" spans="3:18" x14ac:dyDescent="0.25">
      <c r="C1946" s="264"/>
      <c r="D1946" s="157"/>
      <c r="E1946" s="44"/>
      <c r="F1946" s="146"/>
      <c r="G1946" s="1"/>
      <c r="H1946" s="161"/>
      <c r="I1946" s="37"/>
      <c r="J1946" s="135"/>
      <c r="K1946" s="112"/>
      <c r="L1946" s="37"/>
      <c r="M1946" s="37"/>
      <c r="N1946" s="37"/>
      <c r="O1946" s="130"/>
      <c r="P1946" s="132"/>
      <c r="Q1946" s="262"/>
      <c r="R1946" s="92"/>
    </row>
    <row r="1947" spans="3:18" x14ac:dyDescent="0.25">
      <c r="C1947" s="264"/>
      <c r="D1947" s="157"/>
      <c r="E1947" s="44"/>
      <c r="F1947" s="146"/>
      <c r="G1947" s="1"/>
      <c r="H1947" s="161"/>
      <c r="I1947" s="37"/>
      <c r="J1947" s="135"/>
      <c r="K1947" s="112"/>
      <c r="L1947" s="37"/>
      <c r="M1947" s="37"/>
      <c r="N1947" s="37"/>
      <c r="O1947" s="130"/>
      <c r="P1947" s="132"/>
      <c r="Q1947" s="262"/>
      <c r="R1947" s="92"/>
    </row>
    <row r="1948" spans="3:18" x14ac:dyDescent="0.25">
      <c r="C1948" s="264"/>
      <c r="D1948" s="157"/>
      <c r="E1948" s="44"/>
      <c r="F1948" s="146"/>
      <c r="G1948" s="1"/>
      <c r="H1948" s="161"/>
      <c r="I1948" s="37"/>
      <c r="J1948" s="135"/>
      <c r="K1948" s="112"/>
      <c r="L1948" s="37"/>
      <c r="M1948" s="37"/>
      <c r="N1948" s="37"/>
      <c r="O1948" s="130"/>
      <c r="P1948" s="132"/>
      <c r="Q1948" s="262"/>
      <c r="R1948" s="92"/>
    </row>
    <row r="1949" spans="3:18" x14ac:dyDescent="0.25">
      <c r="C1949" s="264"/>
      <c r="D1949" s="157"/>
      <c r="E1949" s="44"/>
      <c r="F1949" s="146"/>
      <c r="G1949" s="1"/>
      <c r="H1949" s="161"/>
      <c r="I1949" s="37"/>
      <c r="J1949" s="135"/>
      <c r="K1949" s="112"/>
      <c r="L1949" s="37"/>
      <c r="M1949" s="37"/>
      <c r="N1949" s="37"/>
      <c r="O1949" s="130"/>
      <c r="P1949" s="132"/>
      <c r="Q1949" s="262"/>
      <c r="R1949" s="92"/>
    </row>
    <row r="1950" spans="3:18" x14ac:dyDescent="0.25">
      <c r="C1950" s="264"/>
      <c r="D1950" s="157"/>
      <c r="E1950" s="44"/>
      <c r="F1950" s="146"/>
      <c r="G1950" s="1"/>
      <c r="H1950" s="161"/>
      <c r="I1950" s="37"/>
      <c r="J1950" s="135"/>
      <c r="K1950" s="112"/>
      <c r="L1950" s="37"/>
      <c r="M1950" s="37"/>
      <c r="N1950" s="37"/>
      <c r="O1950" s="130"/>
      <c r="P1950" s="132"/>
      <c r="Q1950" s="262"/>
      <c r="R1950" s="92"/>
    </row>
    <row r="1951" spans="3:18" x14ac:dyDescent="0.25">
      <c r="C1951" s="264"/>
      <c r="D1951" s="157"/>
      <c r="E1951" s="44"/>
      <c r="F1951" s="146"/>
      <c r="G1951" s="1"/>
      <c r="H1951" s="161"/>
      <c r="I1951" s="37"/>
      <c r="J1951" s="135"/>
      <c r="K1951" s="112"/>
      <c r="L1951" s="37"/>
      <c r="M1951" s="37"/>
      <c r="N1951" s="37"/>
      <c r="O1951" s="130"/>
      <c r="P1951" s="132"/>
      <c r="Q1951" s="262"/>
      <c r="R1951" s="92"/>
    </row>
    <row r="1952" spans="3:18" x14ac:dyDescent="0.25">
      <c r="C1952" s="264"/>
      <c r="D1952" s="157"/>
      <c r="E1952" s="44"/>
      <c r="F1952" s="146"/>
      <c r="G1952" s="1"/>
      <c r="H1952" s="161"/>
      <c r="I1952" s="37"/>
      <c r="J1952" s="135"/>
      <c r="K1952" s="112"/>
      <c r="L1952" s="37"/>
      <c r="M1952" s="37"/>
      <c r="N1952" s="37"/>
      <c r="O1952" s="130"/>
      <c r="P1952" s="132"/>
      <c r="Q1952" s="262"/>
      <c r="R1952" s="92"/>
    </row>
    <row r="1953" spans="3:18" x14ac:dyDescent="0.25">
      <c r="C1953" s="264"/>
      <c r="D1953" s="157"/>
      <c r="E1953" s="44"/>
      <c r="F1953" s="146"/>
      <c r="G1953" s="1"/>
      <c r="H1953" s="161"/>
      <c r="I1953" s="37"/>
      <c r="J1953" s="135"/>
      <c r="K1953" s="112"/>
      <c r="L1953" s="37"/>
      <c r="M1953" s="37"/>
      <c r="N1953" s="37"/>
      <c r="O1953" s="130"/>
      <c r="P1953" s="132"/>
      <c r="Q1953" s="262"/>
      <c r="R1953" s="92"/>
    </row>
    <row r="1954" spans="3:18" x14ac:dyDescent="0.25">
      <c r="C1954" s="264"/>
      <c r="D1954" s="157"/>
      <c r="E1954" s="44"/>
      <c r="F1954" s="146"/>
      <c r="G1954" s="1"/>
      <c r="H1954" s="161"/>
      <c r="I1954" s="37"/>
      <c r="J1954" s="135"/>
      <c r="K1954" s="112"/>
      <c r="L1954" s="37"/>
      <c r="M1954" s="37"/>
      <c r="N1954" s="37"/>
      <c r="O1954" s="130"/>
      <c r="P1954" s="132"/>
      <c r="Q1954" s="262"/>
      <c r="R1954" s="92"/>
    </row>
    <row r="1955" spans="3:18" x14ac:dyDescent="0.25">
      <c r="C1955" s="264"/>
      <c r="D1955" s="157"/>
      <c r="E1955" s="44"/>
      <c r="F1955" s="146"/>
      <c r="G1955" s="1"/>
      <c r="H1955" s="161"/>
      <c r="I1955" s="37"/>
      <c r="J1955" s="135"/>
      <c r="K1955" s="112"/>
      <c r="L1955" s="37"/>
      <c r="M1955" s="37"/>
      <c r="N1955" s="37"/>
      <c r="O1955" s="130"/>
      <c r="P1955" s="132"/>
      <c r="Q1955" s="262"/>
      <c r="R1955" s="92"/>
    </row>
    <row r="1956" spans="3:18" x14ac:dyDescent="0.25">
      <c r="C1956" s="264"/>
      <c r="D1956" s="157"/>
      <c r="E1956" s="44"/>
      <c r="F1956" s="146"/>
      <c r="G1956" s="1"/>
      <c r="H1956" s="161"/>
      <c r="I1956" s="37"/>
      <c r="J1956" s="135"/>
      <c r="K1956" s="112"/>
      <c r="L1956" s="37"/>
      <c r="M1956" s="37"/>
      <c r="N1956" s="37"/>
      <c r="O1956" s="130"/>
      <c r="P1956" s="132"/>
      <c r="Q1956" s="262"/>
      <c r="R1956" s="92"/>
    </row>
    <row r="1957" spans="3:18" x14ac:dyDescent="0.25">
      <c r="C1957" s="264"/>
      <c r="D1957" s="157"/>
      <c r="E1957" s="44"/>
      <c r="F1957" s="146"/>
      <c r="G1957" s="1"/>
      <c r="H1957" s="161"/>
      <c r="I1957" s="37"/>
      <c r="J1957" s="135"/>
      <c r="K1957" s="112"/>
      <c r="L1957" s="37"/>
      <c r="M1957" s="37"/>
      <c r="N1957" s="37"/>
      <c r="O1957" s="130"/>
      <c r="P1957" s="132"/>
      <c r="Q1957" s="262"/>
      <c r="R1957" s="92"/>
    </row>
    <row r="1958" spans="3:18" x14ac:dyDescent="0.25">
      <c r="C1958" s="264"/>
      <c r="D1958" s="157"/>
      <c r="E1958" s="44"/>
      <c r="F1958" s="146"/>
      <c r="G1958" s="1"/>
      <c r="H1958" s="161"/>
      <c r="I1958" s="37"/>
      <c r="J1958" s="135"/>
      <c r="K1958" s="112"/>
      <c r="L1958" s="37"/>
      <c r="M1958" s="37"/>
      <c r="N1958" s="37"/>
      <c r="O1958" s="130"/>
      <c r="P1958" s="132"/>
      <c r="Q1958" s="262"/>
      <c r="R1958" s="92"/>
    </row>
    <row r="1959" spans="3:18" x14ac:dyDescent="0.25">
      <c r="C1959" s="264"/>
      <c r="D1959" s="157"/>
      <c r="E1959" s="44"/>
      <c r="F1959" s="146"/>
      <c r="G1959" s="1"/>
      <c r="H1959" s="161"/>
      <c r="I1959" s="37"/>
      <c r="J1959" s="135"/>
      <c r="K1959" s="112"/>
      <c r="L1959" s="37"/>
      <c r="M1959" s="37"/>
      <c r="N1959" s="37"/>
      <c r="O1959" s="130"/>
      <c r="P1959" s="132"/>
      <c r="Q1959" s="262"/>
      <c r="R1959" s="92"/>
    </row>
    <row r="1960" spans="3:18" x14ac:dyDescent="0.25">
      <c r="C1960" s="264"/>
      <c r="D1960" s="157"/>
      <c r="E1960" s="44"/>
      <c r="F1960" s="146"/>
      <c r="G1960" s="1"/>
      <c r="H1960" s="161"/>
      <c r="I1960" s="37"/>
      <c r="J1960" s="135"/>
      <c r="K1960" s="112"/>
      <c r="L1960" s="37"/>
      <c r="M1960" s="37"/>
      <c r="N1960" s="37"/>
      <c r="O1960" s="130"/>
      <c r="P1960" s="132"/>
      <c r="Q1960" s="262"/>
      <c r="R1960" s="92"/>
    </row>
    <row r="1961" spans="3:18" x14ac:dyDescent="0.25">
      <c r="C1961" s="264"/>
      <c r="D1961" s="157"/>
      <c r="E1961" s="44"/>
      <c r="F1961" s="146"/>
      <c r="G1961" s="1"/>
      <c r="H1961" s="161"/>
      <c r="I1961" s="37"/>
      <c r="J1961" s="135"/>
      <c r="K1961" s="112"/>
      <c r="L1961" s="37"/>
      <c r="M1961" s="37"/>
      <c r="N1961" s="37"/>
      <c r="O1961" s="130"/>
      <c r="P1961" s="132"/>
      <c r="Q1961" s="262"/>
      <c r="R1961" s="92"/>
    </row>
    <row r="1962" spans="3:18" x14ac:dyDescent="0.25">
      <c r="C1962" s="264"/>
      <c r="D1962" s="157"/>
      <c r="E1962" s="44"/>
      <c r="F1962" s="146"/>
      <c r="G1962" s="1"/>
      <c r="H1962" s="161"/>
      <c r="I1962" s="37"/>
      <c r="J1962" s="135"/>
      <c r="K1962" s="112"/>
      <c r="L1962" s="37"/>
      <c r="M1962" s="37"/>
      <c r="N1962" s="37"/>
      <c r="O1962" s="130"/>
      <c r="P1962" s="132"/>
      <c r="Q1962" s="262"/>
      <c r="R1962" s="92"/>
    </row>
    <row r="1963" spans="3:18" x14ac:dyDescent="0.25">
      <c r="C1963" s="264"/>
      <c r="D1963" s="157"/>
      <c r="E1963" s="44"/>
      <c r="F1963" s="146"/>
      <c r="G1963" s="1"/>
      <c r="H1963" s="161"/>
      <c r="I1963" s="37"/>
      <c r="J1963" s="135"/>
      <c r="K1963" s="112"/>
      <c r="L1963" s="37"/>
      <c r="M1963" s="37"/>
      <c r="N1963" s="37"/>
      <c r="O1963" s="130"/>
      <c r="P1963" s="132"/>
      <c r="Q1963" s="262"/>
      <c r="R1963" s="92"/>
    </row>
    <row r="1964" spans="3:18" x14ac:dyDescent="0.25">
      <c r="C1964" s="264"/>
      <c r="D1964" s="157"/>
      <c r="E1964" s="44"/>
      <c r="F1964" s="146"/>
      <c r="G1964" s="1"/>
      <c r="H1964" s="161"/>
      <c r="I1964" s="37"/>
      <c r="J1964" s="135"/>
      <c r="K1964" s="112"/>
      <c r="L1964" s="37"/>
      <c r="M1964" s="37"/>
      <c r="N1964" s="37"/>
      <c r="O1964" s="130"/>
      <c r="P1964" s="132"/>
      <c r="Q1964" s="262"/>
      <c r="R1964" s="92"/>
    </row>
    <row r="1965" spans="3:18" x14ac:dyDescent="0.25">
      <c r="C1965" s="264"/>
      <c r="D1965" s="157"/>
      <c r="E1965" s="44"/>
      <c r="F1965" s="146"/>
      <c r="G1965" s="1"/>
      <c r="H1965" s="161"/>
      <c r="I1965" s="37"/>
      <c r="J1965" s="135"/>
      <c r="K1965" s="112"/>
      <c r="L1965" s="37"/>
      <c r="M1965" s="37"/>
      <c r="N1965" s="37"/>
      <c r="O1965" s="130"/>
      <c r="P1965" s="132"/>
      <c r="Q1965" s="262"/>
      <c r="R1965" s="92"/>
    </row>
    <row r="1966" spans="3:18" x14ac:dyDescent="0.25">
      <c r="C1966" s="264"/>
      <c r="D1966" s="157"/>
      <c r="E1966" s="44"/>
      <c r="F1966" s="146"/>
      <c r="G1966" s="1"/>
      <c r="H1966" s="161"/>
      <c r="I1966" s="37"/>
      <c r="J1966" s="135"/>
      <c r="K1966" s="112"/>
      <c r="L1966" s="37"/>
      <c r="M1966" s="37"/>
      <c r="N1966" s="37"/>
      <c r="O1966" s="130"/>
      <c r="P1966" s="132"/>
      <c r="Q1966" s="262"/>
      <c r="R1966" s="92"/>
    </row>
    <row r="1967" spans="3:18" x14ac:dyDescent="0.25">
      <c r="C1967" s="264"/>
      <c r="D1967" s="157"/>
      <c r="E1967" s="44"/>
      <c r="F1967" s="146"/>
      <c r="G1967" s="1"/>
      <c r="H1967" s="161"/>
      <c r="I1967" s="37"/>
      <c r="J1967" s="135"/>
      <c r="K1967" s="112"/>
      <c r="L1967" s="37"/>
      <c r="M1967" s="37"/>
      <c r="N1967" s="37"/>
      <c r="O1967" s="130"/>
      <c r="P1967" s="132"/>
      <c r="Q1967" s="262"/>
      <c r="R1967" s="92"/>
    </row>
    <row r="1968" spans="3:18" x14ac:dyDescent="0.25">
      <c r="C1968" s="264"/>
      <c r="D1968" s="157"/>
      <c r="E1968" s="44"/>
      <c r="F1968" s="146"/>
      <c r="G1968" s="1"/>
      <c r="H1968" s="161"/>
      <c r="I1968" s="37"/>
      <c r="J1968" s="135"/>
      <c r="K1968" s="112"/>
      <c r="L1968" s="37"/>
      <c r="M1968" s="37"/>
      <c r="N1968" s="37"/>
      <c r="O1968" s="130"/>
      <c r="P1968" s="132"/>
      <c r="Q1968" s="262"/>
      <c r="R1968" s="92"/>
    </row>
    <row r="1969" spans="3:18" x14ac:dyDescent="0.25">
      <c r="C1969" s="264"/>
      <c r="D1969" s="157"/>
      <c r="E1969" s="44"/>
      <c r="F1969" s="146"/>
      <c r="G1969" s="1"/>
      <c r="H1969" s="161"/>
      <c r="I1969" s="37"/>
      <c r="J1969" s="135"/>
      <c r="K1969" s="112"/>
      <c r="L1969" s="37"/>
      <c r="M1969" s="37"/>
      <c r="N1969" s="37"/>
      <c r="O1969" s="130"/>
      <c r="P1969" s="132"/>
      <c r="Q1969" s="262"/>
      <c r="R1969" s="92"/>
    </row>
    <row r="1970" spans="3:18" x14ac:dyDescent="0.25">
      <c r="C1970" s="264"/>
      <c r="D1970" s="157"/>
      <c r="E1970" s="44"/>
      <c r="F1970" s="146"/>
      <c r="G1970" s="1"/>
      <c r="H1970" s="161"/>
      <c r="I1970" s="37"/>
      <c r="J1970" s="135"/>
      <c r="K1970" s="112"/>
      <c r="L1970" s="37"/>
      <c r="M1970" s="37"/>
      <c r="N1970" s="37"/>
      <c r="O1970" s="130"/>
      <c r="P1970" s="132"/>
      <c r="Q1970" s="262"/>
      <c r="R1970" s="92"/>
    </row>
    <row r="1971" spans="3:18" x14ac:dyDescent="0.25">
      <c r="C1971" s="264"/>
      <c r="D1971" s="157"/>
      <c r="E1971" s="44"/>
      <c r="F1971" s="146"/>
      <c r="G1971" s="1"/>
      <c r="H1971" s="161"/>
      <c r="I1971" s="37"/>
      <c r="J1971" s="135"/>
      <c r="K1971" s="112"/>
      <c r="L1971" s="37"/>
      <c r="M1971" s="37"/>
      <c r="N1971" s="37"/>
      <c r="O1971" s="130"/>
      <c r="P1971" s="132"/>
      <c r="Q1971" s="262"/>
      <c r="R1971" s="92"/>
    </row>
    <row r="1972" spans="3:18" x14ac:dyDescent="0.25">
      <c r="C1972" s="264"/>
      <c r="D1972" s="157"/>
      <c r="E1972" s="44"/>
      <c r="F1972" s="146"/>
      <c r="G1972" s="1"/>
      <c r="H1972" s="161"/>
      <c r="I1972" s="37"/>
      <c r="J1972" s="135"/>
      <c r="K1972" s="112"/>
      <c r="L1972" s="37"/>
      <c r="M1972" s="37"/>
      <c r="N1972" s="37"/>
      <c r="O1972" s="130"/>
      <c r="P1972" s="132"/>
      <c r="Q1972" s="262"/>
      <c r="R1972" s="92"/>
    </row>
    <row r="1973" spans="3:18" x14ac:dyDescent="0.25">
      <c r="C1973" s="264"/>
      <c r="D1973" s="157"/>
      <c r="E1973" s="44"/>
      <c r="F1973" s="146"/>
      <c r="G1973" s="1"/>
      <c r="H1973" s="161"/>
      <c r="I1973" s="37"/>
      <c r="J1973" s="135"/>
      <c r="K1973" s="112"/>
      <c r="L1973" s="37"/>
      <c r="M1973" s="37"/>
      <c r="N1973" s="37"/>
      <c r="O1973" s="130"/>
      <c r="P1973" s="132"/>
      <c r="Q1973" s="262"/>
      <c r="R1973" s="92"/>
    </row>
    <row r="1974" spans="3:18" x14ac:dyDescent="0.25">
      <c r="C1974" s="264"/>
      <c r="D1974" s="157"/>
      <c r="E1974" s="44"/>
      <c r="F1974" s="146"/>
      <c r="G1974" s="1"/>
      <c r="H1974" s="161"/>
      <c r="I1974" s="37"/>
      <c r="J1974" s="135"/>
      <c r="K1974" s="112"/>
      <c r="L1974" s="37"/>
      <c r="M1974" s="37"/>
      <c r="N1974" s="37"/>
      <c r="O1974" s="130"/>
      <c r="P1974" s="132"/>
      <c r="Q1974" s="262"/>
      <c r="R1974" s="92"/>
    </row>
    <row r="1975" spans="3:18" x14ac:dyDescent="0.25">
      <c r="C1975" s="264"/>
      <c r="D1975" s="157"/>
      <c r="E1975" s="44"/>
      <c r="F1975" s="146"/>
      <c r="G1975" s="1"/>
      <c r="H1975" s="161"/>
      <c r="I1975" s="37"/>
      <c r="J1975" s="135"/>
      <c r="K1975" s="112"/>
      <c r="L1975" s="37"/>
      <c r="M1975" s="37"/>
      <c r="N1975" s="37"/>
      <c r="O1975" s="130"/>
      <c r="P1975" s="132"/>
      <c r="Q1975" s="262"/>
      <c r="R1975" s="92"/>
    </row>
    <row r="1976" spans="3:18" x14ac:dyDescent="0.25">
      <c r="C1976" s="264"/>
      <c r="D1976" s="157"/>
      <c r="E1976" s="44"/>
      <c r="F1976" s="146"/>
      <c r="G1976" s="1"/>
      <c r="H1976" s="161"/>
      <c r="I1976" s="37"/>
      <c r="J1976" s="135"/>
      <c r="K1976" s="112"/>
      <c r="L1976" s="37"/>
      <c r="M1976" s="37"/>
      <c r="N1976" s="37"/>
      <c r="O1976" s="130"/>
      <c r="P1976" s="132"/>
      <c r="Q1976" s="262"/>
      <c r="R1976" s="92"/>
    </row>
    <row r="1977" spans="3:18" x14ac:dyDescent="0.25">
      <c r="C1977" s="264"/>
      <c r="D1977" s="157"/>
      <c r="E1977" s="44"/>
      <c r="F1977" s="146"/>
      <c r="G1977" s="1"/>
      <c r="H1977" s="161"/>
      <c r="I1977" s="37"/>
      <c r="J1977" s="135"/>
      <c r="K1977" s="112"/>
      <c r="L1977" s="37"/>
      <c r="M1977" s="37"/>
      <c r="N1977" s="37"/>
      <c r="O1977" s="130"/>
      <c r="P1977" s="132"/>
      <c r="Q1977" s="262"/>
      <c r="R1977" s="92"/>
    </row>
    <row r="1978" spans="3:18" x14ac:dyDescent="0.25">
      <c r="C1978" s="264"/>
      <c r="D1978" s="157"/>
      <c r="E1978" s="44"/>
      <c r="F1978" s="146"/>
      <c r="G1978" s="1"/>
      <c r="H1978" s="161"/>
      <c r="I1978" s="37"/>
      <c r="J1978" s="135"/>
      <c r="K1978" s="112"/>
      <c r="L1978" s="37"/>
      <c r="M1978" s="37"/>
      <c r="N1978" s="37"/>
      <c r="O1978" s="130"/>
      <c r="P1978" s="132"/>
      <c r="Q1978" s="262"/>
      <c r="R1978" s="92"/>
    </row>
    <row r="1979" spans="3:18" x14ac:dyDescent="0.25">
      <c r="C1979" s="264"/>
      <c r="D1979" s="157"/>
      <c r="E1979" s="44"/>
      <c r="F1979" s="146"/>
      <c r="G1979" s="1"/>
      <c r="H1979" s="161"/>
      <c r="I1979" s="37"/>
      <c r="J1979" s="135"/>
      <c r="K1979" s="112"/>
      <c r="L1979" s="37"/>
      <c r="M1979" s="37"/>
      <c r="N1979" s="37"/>
      <c r="O1979" s="130"/>
      <c r="P1979" s="132"/>
      <c r="Q1979" s="262"/>
      <c r="R1979" s="92"/>
    </row>
    <row r="1980" spans="3:18" x14ac:dyDescent="0.25">
      <c r="C1980" s="264"/>
      <c r="D1980" s="157"/>
      <c r="E1980" s="44"/>
      <c r="F1980" s="146"/>
      <c r="G1980" s="1"/>
      <c r="H1980" s="161"/>
      <c r="I1980" s="37"/>
      <c r="J1980" s="135"/>
      <c r="K1980" s="112"/>
      <c r="L1980" s="37"/>
      <c r="M1980" s="37"/>
      <c r="N1980" s="37"/>
      <c r="O1980" s="130"/>
      <c r="P1980" s="132"/>
      <c r="Q1980" s="262"/>
      <c r="R1980" s="92"/>
    </row>
    <row r="1981" spans="3:18" x14ac:dyDescent="0.25">
      <c r="C1981" s="264"/>
      <c r="D1981" s="157"/>
      <c r="E1981" s="44"/>
      <c r="F1981" s="146"/>
      <c r="G1981" s="1"/>
      <c r="H1981" s="161"/>
      <c r="I1981" s="37"/>
      <c r="J1981" s="135"/>
      <c r="K1981" s="112"/>
      <c r="L1981" s="37"/>
      <c r="M1981" s="37"/>
      <c r="N1981" s="37"/>
      <c r="O1981" s="130"/>
      <c r="P1981" s="132"/>
      <c r="Q1981" s="262"/>
      <c r="R1981" s="92"/>
    </row>
    <row r="1982" spans="3:18" x14ac:dyDescent="0.25">
      <c r="C1982" s="264"/>
      <c r="D1982" s="157"/>
      <c r="E1982" s="44"/>
      <c r="F1982" s="146"/>
      <c r="G1982" s="1"/>
      <c r="H1982" s="161"/>
      <c r="I1982" s="37"/>
      <c r="J1982" s="135"/>
      <c r="K1982" s="112"/>
      <c r="L1982" s="37"/>
      <c r="M1982" s="37"/>
      <c r="N1982" s="37"/>
      <c r="O1982" s="130"/>
      <c r="P1982" s="132"/>
      <c r="Q1982" s="262"/>
      <c r="R1982" s="92"/>
    </row>
    <row r="1983" spans="3:18" x14ac:dyDescent="0.25">
      <c r="C1983" s="264"/>
      <c r="D1983" s="157"/>
      <c r="E1983" s="44"/>
      <c r="F1983" s="146"/>
      <c r="G1983" s="1"/>
      <c r="H1983" s="161"/>
      <c r="I1983" s="37"/>
      <c r="J1983" s="135"/>
      <c r="K1983" s="112"/>
      <c r="L1983" s="37"/>
      <c r="M1983" s="37"/>
      <c r="N1983" s="37"/>
      <c r="O1983" s="130"/>
      <c r="P1983" s="132"/>
      <c r="Q1983" s="262"/>
      <c r="R1983" s="92"/>
    </row>
    <row r="1984" spans="3:18" x14ac:dyDescent="0.25">
      <c r="C1984" s="264"/>
      <c r="D1984" s="157"/>
      <c r="E1984" s="44"/>
      <c r="F1984" s="146"/>
      <c r="G1984" s="1"/>
      <c r="H1984" s="161"/>
      <c r="I1984" s="37"/>
      <c r="J1984" s="135"/>
      <c r="K1984" s="112"/>
      <c r="L1984" s="37"/>
      <c r="M1984" s="37"/>
      <c r="N1984" s="37"/>
      <c r="O1984" s="130"/>
      <c r="P1984" s="132"/>
      <c r="Q1984" s="262"/>
      <c r="R1984" s="92"/>
    </row>
    <row r="1985" spans="3:18" x14ac:dyDescent="0.25">
      <c r="C1985" s="264"/>
      <c r="D1985" s="157"/>
      <c r="E1985" s="44"/>
      <c r="F1985" s="146"/>
      <c r="G1985" s="1"/>
      <c r="H1985" s="161"/>
      <c r="I1985" s="37"/>
      <c r="J1985" s="135"/>
      <c r="K1985" s="112"/>
      <c r="L1985" s="37"/>
      <c r="M1985" s="37"/>
      <c r="N1985" s="37"/>
      <c r="O1985" s="130"/>
      <c r="P1985" s="132"/>
      <c r="Q1985" s="262"/>
      <c r="R1985" s="92"/>
    </row>
    <row r="1986" spans="3:18" x14ac:dyDescent="0.25">
      <c r="C1986" s="264"/>
      <c r="D1986" s="157"/>
      <c r="E1986" s="44"/>
      <c r="F1986" s="146"/>
      <c r="G1986" s="1"/>
      <c r="H1986" s="161"/>
      <c r="I1986" s="37"/>
      <c r="J1986" s="135"/>
      <c r="K1986" s="112"/>
      <c r="L1986" s="37"/>
      <c r="M1986" s="37"/>
      <c r="N1986" s="37"/>
      <c r="O1986" s="130"/>
      <c r="P1986" s="132"/>
      <c r="Q1986" s="262"/>
      <c r="R1986" s="92"/>
    </row>
    <row r="1987" spans="3:18" x14ac:dyDescent="0.25">
      <c r="C1987" s="264"/>
      <c r="D1987" s="157"/>
      <c r="E1987" s="44"/>
      <c r="F1987" s="146"/>
      <c r="G1987" s="1"/>
      <c r="H1987" s="161"/>
      <c r="I1987" s="37"/>
      <c r="J1987" s="135"/>
      <c r="K1987" s="112"/>
      <c r="L1987" s="37"/>
      <c r="M1987" s="37"/>
      <c r="N1987" s="37"/>
      <c r="O1987" s="130"/>
      <c r="P1987" s="132"/>
      <c r="Q1987" s="262"/>
      <c r="R1987" s="92"/>
    </row>
    <row r="1988" spans="3:18" x14ac:dyDescent="0.25">
      <c r="C1988" s="264"/>
      <c r="D1988" s="157"/>
      <c r="E1988" s="44"/>
      <c r="F1988" s="146"/>
      <c r="G1988" s="1"/>
      <c r="H1988" s="161"/>
      <c r="I1988" s="37"/>
      <c r="J1988" s="135"/>
      <c r="K1988" s="112"/>
      <c r="L1988" s="37"/>
      <c r="M1988" s="37"/>
      <c r="N1988" s="37"/>
      <c r="O1988" s="130"/>
      <c r="P1988" s="132"/>
      <c r="Q1988" s="262"/>
      <c r="R1988" s="92"/>
    </row>
    <row r="1989" spans="3:18" x14ac:dyDescent="0.25">
      <c r="C1989" s="264"/>
      <c r="D1989" s="157"/>
      <c r="E1989" s="44"/>
      <c r="F1989" s="146"/>
      <c r="G1989" s="1"/>
      <c r="H1989" s="161"/>
      <c r="I1989" s="37"/>
      <c r="J1989" s="135"/>
      <c r="K1989" s="112"/>
      <c r="L1989" s="37"/>
      <c r="M1989" s="37"/>
      <c r="N1989" s="37"/>
      <c r="O1989" s="130"/>
      <c r="P1989" s="132"/>
      <c r="Q1989" s="262"/>
      <c r="R1989" s="92"/>
    </row>
    <row r="1990" spans="3:18" x14ac:dyDescent="0.25">
      <c r="C1990" s="264"/>
      <c r="D1990" s="157"/>
      <c r="E1990" s="44"/>
      <c r="F1990" s="146"/>
      <c r="G1990" s="1"/>
      <c r="H1990" s="161"/>
      <c r="I1990" s="37"/>
      <c r="J1990" s="135"/>
      <c r="K1990" s="112"/>
      <c r="L1990" s="37"/>
      <c r="M1990" s="37"/>
      <c r="N1990" s="37"/>
      <c r="O1990" s="130"/>
      <c r="P1990" s="132"/>
      <c r="Q1990" s="262"/>
      <c r="R1990" s="92"/>
    </row>
    <row r="1991" spans="3:18" x14ac:dyDescent="0.25">
      <c r="C1991" s="264"/>
      <c r="D1991" s="157"/>
      <c r="E1991" s="44"/>
      <c r="F1991" s="146"/>
      <c r="G1991" s="1"/>
      <c r="H1991" s="161"/>
      <c r="I1991" s="37"/>
      <c r="J1991" s="135"/>
      <c r="K1991" s="112"/>
      <c r="L1991" s="37"/>
      <c r="M1991" s="37"/>
      <c r="N1991" s="37"/>
      <c r="O1991" s="130"/>
      <c r="P1991" s="132"/>
      <c r="Q1991" s="262"/>
      <c r="R1991" s="92"/>
    </row>
    <row r="1992" spans="3:18" x14ac:dyDescent="0.25">
      <c r="C1992" s="264"/>
      <c r="D1992" s="157"/>
      <c r="E1992" s="44"/>
      <c r="F1992" s="146"/>
      <c r="G1992" s="1"/>
      <c r="H1992" s="161"/>
      <c r="I1992" s="37"/>
      <c r="J1992" s="135"/>
      <c r="K1992" s="112"/>
      <c r="L1992" s="37"/>
      <c r="M1992" s="37"/>
      <c r="N1992" s="37"/>
      <c r="O1992" s="130"/>
      <c r="P1992" s="132"/>
      <c r="Q1992" s="262"/>
      <c r="R1992" s="92"/>
    </row>
    <row r="1993" spans="3:18" x14ac:dyDescent="0.25">
      <c r="C1993" s="264"/>
      <c r="D1993" s="157"/>
      <c r="E1993" s="44"/>
      <c r="F1993" s="146"/>
      <c r="G1993" s="1"/>
      <c r="H1993" s="161"/>
      <c r="I1993" s="37"/>
      <c r="J1993" s="135"/>
      <c r="K1993" s="112"/>
      <c r="L1993" s="37"/>
      <c r="M1993" s="37"/>
      <c r="N1993" s="37"/>
      <c r="O1993" s="130"/>
      <c r="P1993" s="132"/>
      <c r="Q1993" s="262"/>
      <c r="R1993" s="92"/>
    </row>
    <row r="1994" spans="3:18" x14ac:dyDescent="0.25">
      <c r="C1994" s="264"/>
      <c r="D1994" s="157"/>
      <c r="E1994" s="44"/>
      <c r="F1994" s="146"/>
      <c r="G1994" s="1"/>
      <c r="H1994" s="161"/>
      <c r="I1994" s="37"/>
      <c r="J1994" s="135"/>
      <c r="K1994" s="112"/>
      <c r="L1994" s="37"/>
      <c r="M1994" s="37"/>
      <c r="N1994" s="37"/>
      <c r="O1994" s="130"/>
      <c r="P1994" s="132"/>
      <c r="Q1994" s="262"/>
      <c r="R1994" s="92"/>
    </row>
    <row r="1995" spans="3:18" x14ac:dyDescent="0.25">
      <c r="C1995" s="264"/>
      <c r="D1995" s="157"/>
      <c r="E1995" s="44"/>
      <c r="F1995" s="146"/>
      <c r="G1995" s="1"/>
      <c r="H1995" s="161"/>
      <c r="I1995" s="37"/>
      <c r="J1995" s="135"/>
      <c r="K1995" s="112"/>
      <c r="L1995" s="37"/>
      <c r="M1995" s="37"/>
      <c r="N1995" s="37"/>
      <c r="O1995" s="130"/>
      <c r="P1995" s="132"/>
      <c r="Q1995" s="262"/>
      <c r="R1995" s="92"/>
    </row>
    <row r="1996" spans="3:18" x14ac:dyDescent="0.25">
      <c r="C1996" s="264"/>
      <c r="D1996" s="157"/>
      <c r="E1996" s="44"/>
      <c r="F1996" s="146"/>
      <c r="G1996" s="1"/>
      <c r="H1996" s="161"/>
      <c r="I1996" s="37"/>
      <c r="J1996" s="135"/>
      <c r="K1996" s="112"/>
      <c r="L1996" s="37"/>
      <c r="M1996" s="37"/>
      <c r="N1996" s="37"/>
      <c r="O1996" s="130"/>
      <c r="P1996" s="132"/>
      <c r="Q1996" s="262"/>
      <c r="R1996" s="92"/>
    </row>
    <row r="1997" spans="3:18" x14ac:dyDescent="0.25">
      <c r="C1997" s="264"/>
      <c r="D1997" s="157"/>
      <c r="E1997" s="44"/>
      <c r="F1997" s="146"/>
      <c r="G1997" s="1"/>
      <c r="H1997" s="161"/>
      <c r="I1997" s="37"/>
      <c r="J1997" s="135"/>
      <c r="K1997" s="112"/>
      <c r="L1997" s="37"/>
      <c r="M1997" s="37"/>
      <c r="N1997" s="37"/>
      <c r="O1997" s="130"/>
      <c r="P1997" s="132"/>
      <c r="Q1997" s="262"/>
      <c r="R1997" s="92"/>
    </row>
    <row r="1998" spans="3:18" x14ac:dyDescent="0.25">
      <c r="C1998" s="264"/>
      <c r="D1998" s="157"/>
      <c r="E1998" s="44"/>
      <c r="F1998" s="146"/>
      <c r="G1998" s="1"/>
      <c r="H1998" s="161"/>
      <c r="I1998" s="37"/>
      <c r="J1998" s="135"/>
      <c r="K1998" s="112"/>
      <c r="L1998" s="37"/>
      <c r="M1998" s="37"/>
      <c r="N1998" s="37"/>
      <c r="O1998" s="130"/>
      <c r="P1998" s="132"/>
      <c r="Q1998" s="262"/>
      <c r="R1998" s="92"/>
    </row>
    <row r="1999" spans="3:18" x14ac:dyDescent="0.25">
      <c r="C1999" s="264"/>
      <c r="D1999" s="157"/>
      <c r="E1999" s="44"/>
      <c r="F1999" s="146"/>
      <c r="G1999" s="1"/>
      <c r="H1999" s="161"/>
      <c r="I1999" s="37"/>
      <c r="J1999" s="135"/>
      <c r="K1999" s="112"/>
      <c r="L1999" s="37"/>
      <c r="M1999" s="37"/>
      <c r="N1999" s="37"/>
      <c r="O1999" s="130"/>
      <c r="P1999" s="132"/>
      <c r="Q1999" s="262"/>
      <c r="R1999" s="92"/>
    </row>
    <row r="2000" spans="3:18" x14ac:dyDescent="0.25">
      <c r="C2000" s="264"/>
      <c r="D2000" s="157"/>
      <c r="E2000" s="44"/>
      <c r="F2000" s="146"/>
      <c r="G2000" s="1"/>
      <c r="H2000" s="161"/>
      <c r="I2000" s="37"/>
      <c r="J2000" s="135"/>
      <c r="K2000" s="112"/>
      <c r="L2000" s="37"/>
      <c r="M2000" s="37"/>
      <c r="N2000" s="37"/>
      <c r="O2000" s="130"/>
      <c r="P2000" s="132"/>
      <c r="Q2000" s="262"/>
      <c r="R2000" s="92"/>
    </row>
    <row r="2001" spans="3:18" x14ac:dyDescent="0.25">
      <c r="C2001" s="264"/>
      <c r="D2001" s="157"/>
      <c r="E2001" s="44"/>
      <c r="F2001" s="146"/>
      <c r="G2001" s="1"/>
      <c r="H2001" s="161"/>
      <c r="I2001" s="37"/>
      <c r="J2001" s="135"/>
      <c r="K2001" s="112"/>
      <c r="L2001" s="37"/>
      <c r="M2001" s="37"/>
      <c r="N2001" s="37"/>
      <c r="O2001" s="130"/>
      <c r="P2001" s="132"/>
      <c r="Q2001" s="262"/>
      <c r="R2001" s="92"/>
    </row>
    <row r="2002" spans="3:18" x14ac:dyDescent="0.25">
      <c r="C2002" s="264"/>
      <c r="D2002" s="157"/>
      <c r="E2002" s="44"/>
      <c r="F2002" s="146"/>
      <c r="G2002" s="1"/>
      <c r="H2002" s="161"/>
      <c r="I2002" s="37"/>
      <c r="J2002" s="135"/>
      <c r="K2002" s="112"/>
      <c r="L2002" s="37"/>
      <c r="M2002" s="37"/>
      <c r="N2002" s="37"/>
      <c r="O2002" s="130"/>
      <c r="P2002" s="132"/>
      <c r="Q2002" s="262"/>
      <c r="R2002" s="92"/>
    </row>
    <row r="2003" spans="3:18" x14ac:dyDescent="0.25">
      <c r="C2003" s="264"/>
      <c r="D2003" s="157"/>
      <c r="E2003" s="44"/>
      <c r="F2003" s="146"/>
      <c r="G2003" s="1"/>
      <c r="H2003" s="161"/>
      <c r="I2003" s="37"/>
      <c r="J2003" s="135"/>
      <c r="K2003" s="112"/>
      <c r="L2003" s="37"/>
      <c r="M2003" s="37"/>
      <c r="N2003" s="37"/>
      <c r="O2003" s="130"/>
      <c r="P2003" s="132"/>
      <c r="Q2003" s="262"/>
      <c r="R2003" s="92"/>
    </row>
    <row r="2004" spans="3:18" x14ac:dyDescent="0.25">
      <c r="C2004" s="264"/>
      <c r="D2004" s="157"/>
      <c r="E2004" s="44"/>
      <c r="F2004" s="146"/>
      <c r="G2004" s="1"/>
      <c r="H2004" s="161"/>
      <c r="I2004" s="37"/>
      <c r="J2004" s="135"/>
      <c r="K2004" s="112"/>
      <c r="L2004" s="37"/>
      <c r="M2004" s="37"/>
      <c r="N2004" s="37"/>
      <c r="O2004" s="130"/>
      <c r="P2004" s="132"/>
      <c r="Q2004" s="262"/>
      <c r="R2004" s="92"/>
    </row>
    <row r="2005" spans="3:18" x14ac:dyDescent="0.25">
      <c r="C2005" s="264"/>
      <c r="D2005" s="157"/>
      <c r="E2005" s="44"/>
      <c r="F2005" s="146"/>
      <c r="G2005" s="1"/>
      <c r="H2005" s="161"/>
      <c r="I2005" s="37"/>
      <c r="J2005" s="135"/>
      <c r="K2005" s="112"/>
      <c r="L2005" s="37"/>
      <c r="M2005" s="37"/>
      <c r="N2005" s="37"/>
      <c r="O2005" s="130"/>
      <c r="P2005" s="132"/>
      <c r="Q2005" s="262"/>
      <c r="R2005" s="92"/>
    </row>
    <row r="2006" spans="3:18" x14ac:dyDescent="0.25">
      <c r="C2006" s="264"/>
      <c r="D2006" s="157"/>
      <c r="E2006" s="44"/>
      <c r="F2006" s="146"/>
      <c r="G2006" s="1"/>
      <c r="H2006" s="161"/>
      <c r="I2006" s="37"/>
      <c r="J2006" s="135"/>
      <c r="K2006" s="112"/>
      <c r="L2006" s="37"/>
      <c r="M2006" s="37"/>
      <c r="N2006" s="37"/>
      <c r="O2006" s="130"/>
      <c r="P2006" s="132"/>
      <c r="Q2006" s="262"/>
      <c r="R2006" s="92"/>
    </row>
    <row r="2007" spans="3:18" x14ac:dyDescent="0.25">
      <c r="C2007" s="264"/>
      <c r="D2007" s="157"/>
      <c r="E2007" s="44"/>
      <c r="F2007" s="146"/>
      <c r="G2007" s="1"/>
      <c r="H2007" s="161"/>
      <c r="I2007" s="37"/>
      <c r="J2007" s="135"/>
      <c r="K2007" s="112"/>
      <c r="L2007" s="37"/>
      <c r="M2007" s="37"/>
      <c r="N2007" s="37"/>
      <c r="O2007" s="130"/>
      <c r="P2007" s="132"/>
      <c r="Q2007" s="262"/>
      <c r="R2007" s="92"/>
    </row>
    <row r="2008" spans="3:18" x14ac:dyDescent="0.25">
      <c r="C2008" s="264"/>
      <c r="D2008" s="157"/>
      <c r="E2008" s="44"/>
      <c r="F2008" s="146"/>
      <c r="G2008" s="1"/>
      <c r="H2008" s="161"/>
      <c r="I2008" s="37"/>
      <c r="J2008" s="135"/>
      <c r="K2008" s="112"/>
      <c r="L2008" s="37"/>
      <c r="M2008" s="37"/>
      <c r="N2008" s="37"/>
      <c r="O2008" s="130"/>
      <c r="P2008" s="132"/>
      <c r="Q2008" s="262"/>
      <c r="R2008" s="92"/>
    </row>
    <row r="2009" spans="3:18" x14ac:dyDescent="0.25">
      <c r="C2009" s="264"/>
      <c r="D2009" s="157"/>
      <c r="E2009" s="44"/>
      <c r="F2009" s="146"/>
      <c r="G2009" s="1"/>
      <c r="H2009" s="161"/>
      <c r="I2009" s="37"/>
      <c r="J2009" s="135"/>
      <c r="K2009" s="112"/>
      <c r="L2009" s="37"/>
      <c r="M2009" s="37"/>
      <c r="N2009" s="37"/>
      <c r="O2009" s="130"/>
      <c r="P2009" s="132"/>
      <c r="Q2009" s="262"/>
      <c r="R2009" s="92"/>
    </row>
    <row r="2010" spans="3:18" x14ac:dyDescent="0.25">
      <c r="C2010" s="264"/>
      <c r="D2010" s="157"/>
      <c r="E2010" s="44"/>
      <c r="F2010" s="146"/>
      <c r="G2010" s="1"/>
      <c r="H2010" s="161"/>
      <c r="I2010" s="37"/>
      <c r="J2010" s="135"/>
      <c r="K2010" s="112"/>
      <c r="L2010" s="37"/>
      <c r="M2010" s="37"/>
      <c r="N2010" s="37"/>
      <c r="O2010" s="130"/>
      <c r="P2010" s="132"/>
      <c r="Q2010" s="262"/>
      <c r="R2010" s="92"/>
    </row>
    <row r="2011" spans="3:18" x14ac:dyDescent="0.25">
      <c r="C2011" s="264"/>
      <c r="D2011" s="157"/>
      <c r="E2011" s="44"/>
      <c r="F2011" s="146"/>
      <c r="G2011" s="1"/>
      <c r="H2011" s="161"/>
      <c r="I2011" s="37"/>
      <c r="J2011" s="135"/>
      <c r="K2011" s="112"/>
      <c r="L2011" s="37"/>
      <c r="M2011" s="37"/>
      <c r="N2011" s="37"/>
      <c r="O2011" s="130"/>
      <c r="P2011" s="132"/>
      <c r="Q2011" s="262"/>
      <c r="R2011" s="92"/>
    </row>
    <row r="2012" spans="3:18" x14ac:dyDescent="0.25">
      <c r="C2012" s="264"/>
      <c r="D2012" s="157"/>
      <c r="E2012" s="44"/>
      <c r="F2012" s="146"/>
      <c r="G2012" s="1"/>
      <c r="H2012" s="161"/>
      <c r="I2012" s="37"/>
      <c r="J2012" s="135"/>
      <c r="K2012" s="112"/>
      <c r="L2012" s="37"/>
      <c r="M2012" s="37"/>
      <c r="N2012" s="37"/>
      <c r="O2012" s="130"/>
      <c r="P2012" s="132"/>
      <c r="Q2012" s="262"/>
      <c r="R2012" s="92"/>
    </row>
    <row r="2013" spans="3:18" x14ac:dyDescent="0.25">
      <c r="C2013" s="264"/>
      <c r="D2013" s="157"/>
      <c r="E2013" s="44"/>
      <c r="F2013" s="146"/>
      <c r="G2013" s="1"/>
      <c r="H2013" s="161"/>
      <c r="I2013" s="37"/>
      <c r="J2013" s="135"/>
      <c r="K2013" s="112"/>
      <c r="L2013" s="37"/>
      <c r="M2013" s="37"/>
      <c r="N2013" s="37"/>
      <c r="O2013" s="130"/>
      <c r="P2013" s="132"/>
      <c r="Q2013" s="262"/>
      <c r="R2013" s="92"/>
    </row>
    <row r="2014" spans="3:18" x14ac:dyDescent="0.25">
      <c r="C2014" s="264"/>
      <c r="D2014" s="157"/>
      <c r="E2014" s="44"/>
      <c r="F2014" s="146"/>
      <c r="G2014" s="1"/>
      <c r="H2014" s="161"/>
      <c r="I2014" s="37"/>
      <c r="J2014" s="135"/>
      <c r="K2014" s="112"/>
      <c r="L2014" s="37"/>
      <c r="M2014" s="37"/>
      <c r="N2014" s="37"/>
      <c r="O2014" s="130"/>
      <c r="P2014" s="132"/>
      <c r="Q2014" s="262"/>
      <c r="R2014" s="92"/>
    </row>
    <row r="2015" spans="3:18" x14ac:dyDescent="0.25">
      <c r="C2015" s="264"/>
      <c r="D2015" s="157"/>
      <c r="E2015" s="44"/>
      <c r="F2015" s="146"/>
      <c r="G2015" s="1"/>
      <c r="H2015" s="161"/>
      <c r="I2015" s="37"/>
      <c r="J2015" s="135"/>
      <c r="K2015" s="112"/>
      <c r="L2015" s="37"/>
      <c r="M2015" s="37"/>
      <c r="N2015" s="37"/>
      <c r="O2015" s="130"/>
      <c r="P2015" s="132"/>
      <c r="Q2015" s="262"/>
      <c r="R2015" s="92"/>
    </row>
    <row r="2016" spans="3:18" x14ac:dyDescent="0.25">
      <c r="C2016" s="264"/>
      <c r="D2016" s="157"/>
      <c r="E2016" s="44"/>
      <c r="F2016" s="146"/>
      <c r="G2016" s="1"/>
      <c r="H2016" s="161"/>
      <c r="I2016" s="37"/>
      <c r="J2016" s="135"/>
      <c r="K2016" s="112"/>
      <c r="L2016" s="37"/>
      <c r="M2016" s="37"/>
      <c r="N2016" s="37"/>
      <c r="O2016" s="130"/>
      <c r="P2016" s="132"/>
      <c r="Q2016" s="262"/>
      <c r="R2016" s="92"/>
    </row>
    <row r="2017" spans="3:18" x14ac:dyDescent="0.25">
      <c r="C2017" s="264"/>
      <c r="D2017" s="157"/>
      <c r="E2017" s="44"/>
      <c r="F2017" s="146"/>
      <c r="G2017" s="1"/>
      <c r="H2017" s="161"/>
      <c r="I2017" s="37"/>
      <c r="J2017" s="135"/>
      <c r="K2017" s="112"/>
      <c r="L2017" s="37"/>
      <c r="M2017" s="37"/>
      <c r="N2017" s="37"/>
      <c r="O2017" s="130"/>
      <c r="P2017" s="132"/>
      <c r="Q2017" s="262"/>
      <c r="R2017" s="92"/>
    </row>
    <row r="2018" spans="3:18" x14ac:dyDescent="0.25">
      <c r="C2018" s="264"/>
      <c r="D2018" s="157"/>
      <c r="E2018" s="44"/>
      <c r="F2018" s="146"/>
      <c r="G2018" s="1"/>
      <c r="H2018" s="161"/>
      <c r="I2018" s="37"/>
      <c r="J2018" s="135"/>
      <c r="K2018" s="112"/>
      <c r="L2018" s="37"/>
      <c r="M2018" s="37"/>
      <c r="N2018" s="37"/>
      <c r="O2018" s="130"/>
      <c r="P2018" s="132"/>
      <c r="Q2018" s="262"/>
      <c r="R2018" s="92"/>
    </row>
    <row r="2019" spans="3:18" x14ac:dyDescent="0.25">
      <c r="C2019" s="264"/>
      <c r="D2019" s="157"/>
      <c r="E2019" s="44"/>
      <c r="F2019" s="146"/>
      <c r="G2019" s="1"/>
      <c r="H2019" s="161"/>
      <c r="I2019" s="37"/>
      <c r="J2019" s="135"/>
      <c r="K2019" s="112"/>
      <c r="L2019" s="37"/>
      <c r="M2019" s="37"/>
      <c r="N2019" s="37"/>
      <c r="O2019" s="130"/>
      <c r="P2019" s="132"/>
      <c r="Q2019" s="262"/>
      <c r="R2019" s="92"/>
    </row>
    <row r="2020" spans="3:18" x14ac:dyDescent="0.25">
      <c r="C2020" s="264"/>
      <c r="D2020" s="157"/>
      <c r="E2020" s="44"/>
      <c r="F2020" s="146"/>
      <c r="G2020" s="1"/>
      <c r="H2020" s="161"/>
      <c r="I2020" s="37"/>
      <c r="J2020" s="135"/>
      <c r="K2020" s="112"/>
      <c r="L2020" s="37"/>
      <c r="M2020" s="37"/>
      <c r="N2020" s="37"/>
      <c r="O2020" s="130"/>
      <c r="P2020" s="132"/>
      <c r="Q2020" s="262"/>
      <c r="R2020" s="92"/>
    </row>
    <row r="2021" spans="3:18" x14ac:dyDescent="0.25">
      <c r="C2021" s="264"/>
      <c r="D2021" s="157"/>
      <c r="E2021" s="44"/>
      <c r="F2021" s="146"/>
      <c r="G2021" s="1"/>
      <c r="H2021" s="161"/>
      <c r="I2021" s="37"/>
      <c r="J2021" s="135"/>
      <c r="K2021" s="112"/>
      <c r="L2021" s="37"/>
      <c r="M2021" s="37"/>
      <c r="N2021" s="37"/>
      <c r="O2021" s="130"/>
      <c r="P2021" s="132"/>
      <c r="Q2021" s="262"/>
      <c r="R2021" s="92"/>
    </row>
    <row r="2022" spans="3:18" x14ac:dyDescent="0.25">
      <c r="C2022" s="264"/>
      <c r="D2022" s="157"/>
      <c r="E2022" s="44"/>
      <c r="F2022" s="146"/>
      <c r="G2022" s="1"/>
      <c r="H2022" s="161"/>
      <c r="I2022" s="37"/>
      <c r="J2022" s="135"/>
      <c r="K2022" s="112"/>
      <c r="L2022" s="37"/>
      <c r="M2022" s="37"/>
      <c r="N2022" s="37"/>
      <c r="O2022" s="130"/>
      <c r="P2022" s="132"/>
      <c r="Q2022" s="262"/>
      <c r="R2022" s="92"/>
    </row>
    <row r="2023" spans="3:18" x14ac:dyDescent="0.25">
      <c r="C2023" s="264"/>
      <c r="D2023" s="157"/>
      <c r="E2023" s="44"/>
      <c r="F2023" s="146"/>
      <c r="G2023" s="1"/>
      <c r="H2023" s="161"/>
      <c r="I2023" s="37"/>
      <c r="J2023" s="135"/>
      <c r="K2023" s="112"/>
      <c r="L2023" s="37"/>
      <c r="M2023" s="37"/>
      <c r="N2023" s="37"/>
      <c r="O2023" s="130"/>
      <c r="P2023" s="132"/>
      <c r="Q2023" s="262"/>
      <c r="R2023" s="92"/>
    </row>
    <row r="2024" spans="3:18" x14ac:dyDescent="0.25">
      <c r="C2024" s="264"/>
      <c r="D2024" s="157"/>
      <c r="E2024" s="44"/>
      <c r="F2024" s="146"/>
      <c r="G2024" s="1"/>
      <c r="H2024" s="161"/>
      <c r="I2024" s="37"/>
      <c r="J2024" s="135"/>
      <c r="K2024" s="112"/>
      <c r="L2024" s="37"/>
      <c r="M2024" s="37"/>
      <c r="N2024" s="37"/>
      <c r="O2024" s="130"/>
      <c r="P2024" s="132"/>
      <c r="Q2024" s="262"/>
      <c r="R2024" s="92"/>
    </row>
    <row r="2025" spans="3:18" x14ac:dyDescent="0.25">
      <c r="C2025" s="264"/>
      <c r="D2025" s="157"/>
      <c r="E2025" s="44"/>
      <c r="F2025" s="146"/>
      <c r="G2025" s="1"/>
      <c r="H2025" s="161"/>
      <c r="I2025" s="37"/>
      <c r="J2025" s="135"/>
      <c r="K2025" s="112"/>
      <c r="L2025" s="37"/>
      <c r="M2025" s="37"/>
      <c r="N2025" s="37"/>
      <c r="O2025" s="130"/>
      <c r="P2025" s="132"/>
      <c r="Q2025" s="262"/>
      <c r="R2025" s="92"/>
    </row>
    <row r="2026" spans="3:18" x14ac:dyDescent="0.25">
      <c r="C2026" s="264"/>
      <c r="D2026" s="157"/>
      <c r="E2026" s="44"/>
      <c r="F2026" s="146"/>
      <c r="G2026" s="1"/>
      <c r="H2026" s="161"/>
      <c r="I2026" s="37"/>
      <c r="J2026" s="135"/>
      <c r="K2026" s="112"/>
      <c r="L2026" s="37"/>
      <c r="M2026" s="37"/>
      <c r="N2026" s="37"/>
      <c r="O2026" s="130"/>
      <c r="P2026" s="132"/>
      <c r="Q2026" s="262"/>
      <c r="R2026" s="92"/>
    </row>
    <row r="2027" spans="3:18" x14ac:dyDescent="0.25">
      <c r="C2027" s="264"/>
      <c r="D2027" s="157"/>
      <c r="E2027" s="44"/>
      <c r="F2027" s="146"/>
      <c r="G2027" s="1"/>
      <c r="H2027" s="161"/>
      <c r="I2027" s="37"/>
      <c r="J2027" s="135"/>
      <c r="K2027" s="112"/>
      <c r="L2027" s="37"/>
      <c r="M2027" s="37"/>
      <c r="N2027" s="37"/>
      <c r="O2027" s="130"/>
      <c r="P2027" s="132"/>
      <c r="Q2027" s="262"/>
      <c r="R2027" s="92"/>
    </row>
    <row r="2028" spans="3:18" x14ac:dyDescent="0.25">
      <c r="C2028" s="264"/>
      <c r="D2028" s="157"/>
      <c r="E2028" s="44"/>
      <c r="F2028" s="146"/>
      <c r="G2028" s="1"/>
      <c r="H2028" s="161"/>
      <c r="I2028" s="37"/>
      <c r="J2028" s="135"/>
      <c r="K2028" s="112"/>
      <c r="L2028" s="37"/>
      <c r="M2028" s="37"/>
      <c r="N2028" s="37"/>
      <c r="O2028" s="130"/>
      <c r="P2028" s="132"/>
      <c r="Q2028" s="262"/>
      <c r="R2028" s="92"/>
    </row>
    <row r="2029" spans="3:18" x14ac:dyDescent="0.25">
      <c r="C2029" s="264"/>
      <c r="D2029" s="157"/>
      <c r="E2029" s="44"/>
      <c r="F2029" s="146"/>
      <c r="G2029" s="1"/>
      <c r="H2029" s="161"/>
      <c r="I2029" s="37"/>
      <c r="J2029" s="135"/>
      <c r="K2029" s="112"/>
      <c r="L2029" s="37"/>
      <c r="M2029" s="37"/>
      <c r="N2029" s="37"/>
      <c r="O2029" s="130"/>
      <c r="P2029" s="132"/>
      <c r="Q2029" s="262"/>
      <c r="R2029" s="92"/>
    </row>
    <row r="2030" spans="3:18" x14ac:dyDescent="0.25">
      <c r="C2030" s="264"/>
      <c r="D2030" s="157"/>
      <c r="E2030" s="44"/>
      <c r="F2030" s="146"/>
      <c r="G2030" s="1"/>
      <c r="H2030" s="161"/>
      <c r="I2030" s="37"/>
      <c r="J2030" s="135"/>
      <c r="K2030" s="112"/>
      <c r="L2030" s="37"/>
      <c r="M2030" s="37"/>
      <c r="N2030" s="37"/>
      <c r="O2030" s="130"/>
      <c r="P2030" s="132"/>
      <c r="Q2030" s="262"/>
      <c r="R2030" s="92"/>
    </row>
    <row r="2031" spans="3:18" x14ac:dyDescent="0.25">
      <c r="C2031" s="264"/>
      <c r="D2031" s="157"/>
      <c r="E2031" s="44"/>
      <c r="F2031" s="146"/>
      <c r="G2031" s="1"/>
      <c r="H2031" s="161"/>
      <c r="I2031" s="37"/>
      <c r="J2031" s="135"/>
      <c r="K2031" s="112"/>
      <c r="L2031" s="37"/>
      <c r="M2031" s="37"/>
      <c r="N2031" s="37"/>
      <c r="O2031" s="130"/>
      <c r="P2031" s="132"/>
      <c r="Q2031" s="262"/>
      <c r="R2031" s="92"/>
    </row>
    <row r="2032" spans="3:18" x14ac:dyDescent="0.25">
      <c r="C2032" s="264"/>
      <c r="D2032" s="157"/>
      <c r="E2032" s="44"/>
      <c r="F2032" s="146"/>
      <c r="G2032" s="1"/>
      <c r="H2032" s="161"/>
      <c r="I2032" s="37"/>
      <c r="J2032" s="135"/>
      <c r="K2032" s="112"/>
      <c r="L2032" s="37"/>
      <c r="M2032" s="37"/>
      <c r="N2032" s="37"/>
      <c r="O2032" s="130"/>
      <c r="P2032" s="132"/>
      <c r="Q2032" s="262"/>
      <c r="R2032" s="92"/>
    </row>
    <row r="2033" spans="3:18" x14ac:dyDescent="0.25">
      <c r="C2033" s="264"/>
      <c r="D2033" s="157"/>
      <c r="E2033" s="44"/>
      <c r="F2033" s="146"/>
      <c r="G2033" s="1"/>
      <c r="H2033" s="161"/>
      <c r="I2033" s="37"/>
      <c r="J2033" s="135"/>
      <c r="K2033" s="112"/>
      <c r="L2033" s="37"/>
      <c r="M2033" s="37"/>
      <c r="N2033" s="37"/>
      <c r="O2033" s="130"/>
      <c r="P2033" s="132"/>
      <c r="Q2033" s="262"/>
      <c r="R2033" s="92"/>
    </row>
    <row r="2034" spans="3:18" x14ac:dyDescent="0.25">
      <c r="C2034" s="264"/>
      <c r="D2034" s="157"/>
      <c r="E2034" s="44"/>
      <c r="F2034" s="146"/>
      <c r="G2034" s="1"/>
      <c r="H2034" s="161"/>
      <c r="I2034" s="37"/>
      <c r="J2034" s="135"/>
      <c r="K2034" s="112"/>
      <c r="L2034" s="37"/>
      <c r="M2034" s="37"/>
      <c r="N2034" s="37"/>
      <c r="O2034" s="130"/>
      <c r="P2034" s="132"/>
      <c r="Q2034" s="262"/>
      <c r="R2034" s="92"/>
    </row>
    <row r="2035" spans="3:18" x14ac:dyDescent="0.25">
      <c r="C2035" s="264"/>
      <c r="D2035" s="157"/>
      <c r="E2035" s="44"/>
      <c r="F2035" s="146"/>
      <c r="G2035" s="1"/>
      <c r="H2035" s="161"/>
      <c r="I2035" s="37"/>
      <c r="J2035" s="135"/>
      <c r="K2035" s="112"/>
      <c r="L2035" s="37"/>
      <c r="M2035" s="37"/>
      <c r="N2035" s="37"/>
      <c r="O2035" s="130"/>
      <c r="P2035" s="132"/>
      <c r="Q2035" s="262"/>
      <c r="R2035" s="92"/>
    </row>
    <row r="2036" spans="3:18" x14ac:dyDescent="0.25">
      <c r="C2036" s="264"/>
      <c r="D2036" s="157"/>
      <c r="E2036" s="44"/>
      <c r="F2036" s="146"/>
      <c r="G2036" s="1"/>
      <c r="H2036" s="161"/>
      <c r="I2036" s="37"/>
      <c r="J2036" s="135"/>
      <c r="K2036" s="112"/>
      <c r="L2036" s="37"/>
      <c r="M2036" s="37"/>
      <c r="N2036" s="37"/>
      <c r="O2036" s="130"/>
      <c r="P2036" s="132"/>
      <c r="Q2036" s="262"/>
      <c r="R2036" s="92"/>
    </row>
    <row r="2037" spans="3:18" x14ac:dyDescent="0.25">
      <c r="C2037" s="264"/>
      <c r="D2037" s="157"/>
      <c r="E2037" s="44"/>
      <c r="F2037" s="146"/>
      <c r="G2037" s="1"/>
      <c r="H2037" s="161"/>
      <c r="I2037" s="37"/>
      <c r="J2037" s="135"/>
      <c r="K2037" s="112"/>
      <c r="L2037" s="37"/>
      <c r="M2037" s="37"/>
      <c r="N2037" s="37"/>
      <c r="O2037" s="130"/>
      <c r="P2037" s="132"/>
      <c r="Q2037" s="262"/>
      <c r="R2037" s="92"/>
    </row>
    <row r="2038" spans="3:18" x14ac:dyDescent="0.25">
      <c r="C2038" s="264"/>
      <c r="D2038" s="157"/>
      <c r="E2038" s="44"/>
      <c r="F2038" s="146"/>
      <c r="G2038" s="1"/>
      <c r="H2038" s="161"/>
      <c r="I2038" s="37"/>
      <c r="J2038" s="135"/>
      <c r="K2038" s="112"/>
      <c r="L2038" s="37"/>
      <c r="M2038" s="37"/>
      <c r="N2038" s="37"/>
      <c r="O2038" s="130"/>
      <c r="P2038" s="132"/>
      <c r="Q2038" s="262"/>
      <c r="R2038" s="92"/>
    </row>
    <row r="2039" spans="3:18" x14ac:dyDescent="0.25">
      <c r="C2039" s="264"/>
      <c r="D2039" s="157"/>
      <c r="E2039" s="44"/>
      <c r="F2039" s="146"/>
      <c r="G2039" s="1"/>
      <c r="H2039" s="161"/>
      <c r="I2039" s="37"/>
      <c r="J2039" s="135"/>
      <c r="K2039" s="112"/>
      <c r="L2039" s="37"/>
      <c r="M2039" s="37"/>
      <c r="N2039" s="37"/>
      <c r="O2039" s="130"/>
      <c r="P2039" s="132"/>
      <c r="Q2039" s="262"/>
      <c r="R2039" s="92"/>
    </row>
    <row r="2040" spans="3:18" x14ac:dyDescent="0.25">
      <c r="C2040" s="264"/>
      <c r="D2040" s="157"/>
      <c r="E2040" s="44"/>
      <c r="F2040" s="146"/>
      <c r="G2040" s="1"/>
      <c r="H2040" s="161"/>
      <c r="I2040" s="37"/>
      <c r="J2040" s="135"/>
      <c r="K2040" s="112"/>
      <c r="L2040" s="37"/>
      <c r="M2040" s="37"/>
      <c r="N2040" s="37"/>
      <c r="O2040" s="130"/>
      <c r="P2040" s="132"/>
      <c r="Q2040" s="262"/>
      <c r="R2040" s="92"/>
    </row>
    <row r="2041" spans="3:18" x14ac:dyDescent="0.25">
      <c r="C2041" s="264"/>
      <c r="D2041" s="157"/>
      <c r="E2041" s="44"/>
      <c r="F2041" s="146"/>
      <c r="G2041" s="1"/>
      <c r="H2041" s="161"/>
      <c r="I2041" s="37"/>
      <c r="J2041" s="135"/>
      <c r="K2041" s="112"/>
      <c r="L2041" s="37"/>
      <c r="M2041" s="37"/>
      <c r="N2041" s="37"/>
      <c r="O2041" s="130"/>
      <c r="P2041" s="132"/>
      <c r="Q2041" s="262"/>
      <c r="R2041" s="92"/>
    </row>
    <row r="2042" spans="3:18" x14ac:dyDescent="0.25">
      <c r="C2042" s="264"/>
      <c r="D2042" s="157"/>
      <c r="E2042" s="44"/>
      <c r="F2042" s="146"/>
      <c r="G2042" s="1"/>
      <c r="H2042" s="161"/>
      <c r="I2042" s="37"/>
      <c r="J2042" s="135"/>
      <c r="K2042" s="112"/>
      <c r="L2042" s="37"/>
      <c r="M2042" s="37"/>
      <c r="N2042" s="37"/>
      <c r="O2042" s="130"/>
      <c r="P2042" s="132"/>
      <c r="Q2042" s="262"/>
      <c r="R2042" s="92"/>
    </row>
    <row r="2043" spans="3:18" x14ac:dyDescent="0.25">
      <c r="C2043" s="264"/>
      <c r="D2043" s="157"/>
      <c r="E2043" s="44"/>
      <c r="F2043" s="146"/>
      <c r="G2043" s="1"/>
      <c r="H2043" s="161"/>
      <c r="I2043" s="37"/>
      <c r="J2043" s="135"/>
      <c r="K2043" s="112"/>
      <c r="L2043" s="37"/>
      <c r="M2043" s="37"/>
      <c r="N2043" s="37"/>
      <c r="O2043" s="130"/>
      <c r="P2043" s="132"/>
      <c r="Q2043" s="262"/>
      <c r="R2043" s="92"/>
    </row>
    <row r="2044" spans="3:18" x14ac:dyDescent="0.25">
      <c r="C2044" s="264"/>
      <c r="D2044" s="157"/>
      <c r="E2044" s="44"/>
      <c r="F2044" s="146"/>
      <c r="G2044" s="1"/>
      <c r="H2044" s="161"/>
      <c r="I2044" s="37"/>
      <c r="J2044" s="135"/>
      <c r="K2044" s="112"/>
      <c r="L2044" s="37"/>
      <c r="M2044" s="37"/>
      <c r="N2044" s="37"/>
      <c r="O2044" s="130"/>
      <c r="P2044" s="132"/>
      <c r="Q2044" s="262"/>
      <c r="R2044" s="92"/>
    </row>
    <row r="2045" spans="3:18" x14ac:dyDescent="0.25">
      <c r="C2045" s="264"/>
      <c r="D2045" s="157"/>
      <c r="E2045" s="44"/>
      <c r="F2045" s="146"/>
      <c r="G2045" s="1"/>
      <c r="H2045" s="161"/>
      <c r="I2045" s="37"/>
      <c r="J2045" s="135"/>
      <c r="K2045" s="112"/>
      <c r="L2045" s="37"/>
      <c r="M2045" s="37"/>
      <c r="N2045" s="37"/>
      <c r="O2045" s="130"/>
      <c r="P2045" s="132"/>
      <c r="Q2045" s="262"/>
      <c r="R2045" s="92"/>
    </row>
    <row r="2046" spans="3:18" x14ac:dyDescent="0.25">
      <c r="C2046" s="264"/>
      <c r="D2046" s="157"/>
      <c r="E2046" s="44"/>
      <c r="F2046" s="146"/>
      <c r="G2046" s="1"/>
      <c r="H2046" s="161"/>
      <c r="I2046" s="37"/>
      <c r="J2046" s="135"/>
      <c r="K2046" s="112"/>
      <c r="L2046" s="37"/>
      <c r="M2046" s="37"/>
      <c r="N2046" s="37"/>
      <c r="O2046" s="130"/>
      <c r="P2046" s="132"/>
      <c r="Q2046" s="262"/>
      <c r="R2046" s="92"/>
    </row>
    <row r="2047" spans="3:18" x14ac:dyDescent="0.25">
      <c r="C2047" s="264"/>
      <c r="D2047" s="157"/>
      <c r="E2047" s="44"/>
      <c r="F2047" s="146"/>
      <c r="G2047" s="1"/>
      <c r="H2047" s="161"/>
      <c r="I2047" s="37"/>
      <c r="J2047" s="135"/>
      <c r="K2047" s="112"/>
      <c r="L2047" s="37"/>
      <c r="M2047" s="37"/>
      <c r="N2047" s="37"/>
      <c r="O2047" s="130"/>
      <c r="P2047" s="132"/>
      <c r="Q2047" s="262"/>
      <c r="R2047" s="92"/>
    </row>
    <row r="2048" spans="3:18" x14ac:dyDescent="0.25">
      <c r="C2048" s="264"/>
      <c r="D2048" s="157"/>
      <c r="E2048" s="44"/>
      <c r="F2048" s="146"/>
      <c r="G2048" s="1"/>
      <c r="H2048" s="161"/>
      <c r="I2048" s="37"/>
      <c r="J2048" s="135"/>
      <c r="K2048" s="112"/>
      <c r="L2048" s="37"/>
      <c r="M2048" s="37"/>
      <c r="N2048" s="37"/>
      <c r="O2048" s="130"/>
      <c r="P2048" s="132"/>
      <c r="Q2048" s="262"/>
      <c r="R2048" s="92"/>
    </row>
    <row r="2049" spans="3:18" x14ac:dyDescent="0.25">
      <c r="C2049" s="264"/>
      <c r="D2049" s="157"/>
      <c r="E2049" s="44"/>
      <c r="F2049" s="146"/>
      <c r="G2049" s="1"/>
      <c r="H2049" s="161"/>
      <c r="I2049" s="37"/>
      <c r="J2049" s="135"/>
      <c r="K2049" s="112"/>
      <c r="L2049" s="37"/>
      <c r="M2049" s="37"/>
      <c r="N2049" s="37"/>
      <c r="O2049" s="130"/>
      <c r="P2049" s="132"/>
      <c r="Q2049" s="262"/>
      <c r="R2049" s="92"/>
    </row>
    <row r="2050" spans="3:18" x14ac:dyDescent="0.25">
      <c r="C2050" s="264"/>
      <c r="D2050" s="157"/>
      <c r="E2050" s="44"/>
      <c r="F2050" s="146"/>
      <c r="G2050" s="1"/>
      <c r="H2050" s="161"/>
      <c r="I2050" s="37"/>
      <c r="J2050" s="135"/>
      <c r="K2050" s="112"/>
      <c r="L2050" s="37"/>
      <c r="M2050" s="37"/>
      <c r="N2050" s="37"/>
      <c r="O2050" s="130"/>
      <c r="P2050" s="132"/>
      <c r="Q2050" s="262"/>
      <c r="R2050" s="92"/>
    </row>
    <row r="2051" spans="3:18" x14ac:dyDescent="0.25">
      <c r="C2051" s="264"/>
      <c r="D2051" s="157"/>
      <c r="E2051" s="44"/>
      <c r="F2051" s="146"/>
      <c r="G2051" s="1"/>
      <c r="H2051" s="161"/>
      <c r="I2051" s="37"/>
      <c r="J2051" s="135"/>
      <c r="K2051" s="112"/>
      <c r="L2051" s="37"/>
      <c r="M2051" s="37"/>
      <c r="N2051" s="37"/>
      <c r="O2051" s="130"/>
      <c r="P2051" s="132"/>
      <c r="Q2051" s="262"/>
      <c r="R2051" s="92"/>
    </row>
    <row r="2052" spans="3:18" x14ac:dyDescent="0.25">
      <c r="C2052" s="264"/>
      <c r="D2052" s="157"/>
      <c r="E2052" s="44"/>
      <c r="F2052" s="146"/>
      <c r="G2052" s="1"/>
      <c r="H2052" s="161"/>
      <c r="I2052" s="37"/>
      <c r="J2052" s="135"/>
      <c r="K2052" s="112"/>
      <c r="L2052" s="37"/>
      <c r="M2052" s="37"/>
      <c r="N2052" s="37"/>
      <c r="O2052" s="130"/>
      <c r="P2052" s="132"/>
      <c r="Q2052" s="262"/>
      <c r="R2052" s="92"/>
    </row>
    <row r="2053" spans="3:18" x14ac:dyDescent="0.25">
      <c r="C2053" s="264"/>
      <c r="D2053" s="157"/>
      <c r="E2053" s="44"/>
      <c r="F2053" s="146"/>
      <c r="G2053" s="1"/>
      <c r="H2053" s="161"/>
      <c r="I2053" s="37"/>
      <c r="J2053" s="135"/>
      <c r="K2053" s="112"/>
      <c r="L2053" s="37"/>
      <c r="M2053" s="37"/>
      <c r="N2053" s="37"/>
      <c r="O2053" s="130"/>
      <c r="P2053" s="132"/>
      <c r="Q2053" s="262"/>
      <c r="R2053" s="92"/>
    </row>
    <row r="2054" spans="3:18" x14ac:dyDescent="0.25">
      <c r="C2054" s="264"/>
      <c r="D2054" s="157"/>
      <c r="E2054" s="44"/>
      <c r="F2054" s="146"/>
      <c r="G2054" s="1"/>
      <c r="H2054" s="161"/>
      <c r="I2054" s="37"/>
      <c r="J2054" s="135"/>
      <c r="K2054" s="112"/>
      <c r="L2054" s="37"/>
      <c r="M2054" s="37"/>
      <c r="N2054" s="37"/>
      <c r="O2054" s="130"/>
      <c r="P2054" s="132"/>
      <c r="Q2054" s="262"/>
      <c r="R2054" s="92"/>
    </row>
    <row r="2055" spans="3:18" x14ac:dyDescent="0.25">
      <c r="C2055" s="264"/>
      <c r="D2055" s="157"/>
      <c r="E2055" s="44"/>
      <c r="F2055" s="146"/>
      <c r="G2055" s="1"/>
      <c r="H2055" s="161"/>
      <c r="I2055" s="37"/>
      <c r="J2055" s="135"/>
      <c r="K2055" s="112"/>
      <c r="L2055" s="37"/>
      <c r="M2055" s="37"/>
      <c r="N2055" s="37"/>
      <c r="O2055" s="130"/>
      <c r="P2055" s="132"/>
      <c r="Q2055" s="262"/>
      <c r="R2055" s="92"/>
    </row>
    <row r="2056" spans="3:18" x14ac:dyDescent="0.25">
      <c r="C2056" s="264"/>
      <c r="D2056" s="157"/>
      <c r="E2056" s="44"/>
      <c r="F2056" s="146"/>
      <c r="G2056" s="1"/>
      <c r="H2056" s="161"/>
      <c r="I2056" s="37"/>
      <c r="J2056" s="135"/>
      <c r="K2056" s="112"/>
      <c r="L2056" s="37"/>
      <c r="M2056" s="37"/>
      <c r="N2056" s="37"/>
      <c r="O2056" s="130"/>
      <c r="P2056" s="132"/>
      <c r="Q2056" s="262"/>
      <c r="R2056" s="92"/>
    </row>
    <row r="2057" spans="3:18" x14ac:dyDescent="0.25">
      <c r="C2057" s="264"/>
      <c r="D2057" s="157"/>
      <c r="E2057" s="44"/>
      <c r="F2057" s="146"/>
      <c r="G2057" s="1"/>
      <c r="H2057" s="161"/>
      <c r="I2057" s="37"/>
      <c r="J2057" s="135"/>
      <c r="K2057" s="112"/>
      <c r="L2057" s="37"/>
      <c r="M2057" s="37"/>
      <c r="N2057" s="37"/>
      <c r="O2057" s="130"/>
      <c r="P2057" s="132"/>
      <c r="Q2057" s="262"/>
      <c r="R2057" s="92"/>
    </row>
    <row r="2058" spans="3:18" x14ac:dyDescent="0.25">
      <c r="C2058" s="264"/>
      <c r="D2058" s="157"/>
      <c r="E2058" s="44"/>
      <c r="F2058" s="146"/>
      <c r="G2058" s="1"/>
      <c r="H2058" s="161"/>
      <c r="I2058" s="37"/>
      <c r="J2058" s="135"/>
      <c r="K2058" s="112"/>
      <c r="L2058" s="37"/>
      <c r="M2058" s="37"/>
      <c r="N2058" s="37"/>
      <c r="O2058" s="130"/>
      <c r="P2058" s="132"/>
      <c r="Q2058" s="262"/>
      <c r="R2058" s="92"/>
    </row>
    <row r="2059" spans="3:18" x14ac:dyDescent="0.25">
      <c r="C2059" s="264"/>
      <c r="D2059" s="157"/>
      <c r="E2059" s="44"/>
      <c r="F2059" s="146"/>
      <c r="G2059" s="1"/>
      <c r="H2059" s="161"/>
      <c r="I2059" s="37"/>
      <c r="J2059" s="135"/>
      <c r="K2059" s="112"/>
      <c r="L2059" s="37"/>
      <c r="M2059" s="37"/>
      <c r="N2059" s="37"/>
      <c r="O2059" s="130"/>
      <c r="P2059" s="132"/>
      <c r="Q2059" s="262"/>
      <c r="R2059" s="92"/>
    </row>
    <row r="2060" spans="3:18" x14ac:dyDescent="0.25">
      <c r="C2060" s="264"/>
      <c r="D2060" s="157"/>
      <c r="E2060" s="44"/>
      <c r="F2060" s="146"/>
      <c r="G2060" s="1"/>
      <c r="H2060" s="161"/>
      <c r="I2060" s="37"/>
      <c r="J2060" s="135"/>
      <c r="K2060" s="112"/>
      <c r="L2060" s="37"/>
      <c r="M2060" s="37"/>
      <c r="N2060" s="37"/>
      <c r="O2060" s="130"/>
      <c r="P2060" s="132"/>
      <c r="Q2060" s="262"/>
      <c r="R2060" s="92"/>
    </row>
    <row r="2061" spans="3:18" x14ac:dyDescent="0.25">
      <c r="C2061" s="264"/>
      <c r="D2061" s="157"/>
      <c r="E2061" s="44"/>
      <c r="F2061" s="146"/>
      <c r="G2061" s="1"/>
      <c r="H2061" s="161"/>
      <c r="I2061" s="37"/>
      <c r="J2061" s="135"/>
      <c r="K2061" s="112"/>
      <c r="L2061" s="37"/>
      <c r="M2061" s="37"/>
      <c r="N2061" s="37"/>
      <c r="O2061" s="130"/>
      <c r="P2061" s="132"/>
      <c r="Q2061" s="262"/>
      <c r="R2061" s="92"/>
    </row>
    <row r="2062" spans="3:18" x14ac:dyDescent="0.25">
      <c r="C2062" s="264"/>
      <c r="D2062" s="157"/>
      <c r="E2062" s="44"/>
      <c r="F2062" s="146"/>
      <c r="G2062" s="1"/>
      <c r="H2062" s="161"/>
      <c r="I2062" s="37"/>
      <c r="J2062" s="135"/>
      <c r="K2062" s="112"/>
      <c r="L2062" s="37"/>
      <c r="M2062" s="37"/>
      <c r="N2062" s="37"/>
      <c r="O2062" s="130"/>
      <c r="P2062" s="132"/>
      <c r="Q2062" s="262"/>
      <c r="R2062" s="92"/>
    </row>
    <row r="2063" spans="3:18" x14ac:dyDescent="0.25">
      <c r="C2063" s="264"/>
      <c r="D2063" s="157"/>
      <c r="E2063" s="44"/>
      <c r="F2063" s="146"/>
      <c r="G2063" s="1"/>
      <c r="H2063" s="161"/>
      <c r="I2063" s="37"/>
      <c r="J2063" s="135"/>
      <c r="K2063" s="112"/>
      <c r="L2063" s="37"/>
      <c r="M2063" s="37"/>
      <c r="N2063" s="37"/>
      <c r="O2063" s="130"/>
      <c r="P2063" s="132"/>
      <c r="Q2063" s="262"/>
      <c r="R2063" s="92"/>
    </row>
    <row r="2064" spans="3:18" x14ac:dyDescent="0.25">
      <c r="C2064" s="264"/>
      <c r="D2064" s="157"/>
      <c r="E2064" s="44"/>
      <c r="F2064" s="146"/>
      <c r="G2064" s="1"/>
      <c r="H2064" s="161"/>
      <c r="I2064" s="37"/>
      <c r="J2064" s="135"/>
      <c r="K2064" s="112"/>
      <c r="L2064" s="37"/>
      <c r="M2064" s="37"/>
      <c r="N2064" s="37"/>
      <c r="O2064" s="130"/>
      <c r="P2064" s="132"/>
      <c r="Q2064" s="262"/>
      <c r="R2064" s="92"/>
    </row>
    <row r="2065" spans="3:18" x14ac:dyDescent="0.25">
      <c r="C2065" s="264"/>
      <c r="D2065" s="157"/>
      <c r="E2065" s="44"/>
      <c r="F2065" s="146"/>
      <c r="G2065" s="1"/>
      <c r="H2065" s="161"/>
      <c r="I2065" s="37"/>
      <c r="J2065" s="135"/>
      <c r="K2065" s="112"/>
      <c r="L2065" s="37"/>
      <c r="M2065" s="37"/>
      <c r="N2065" s="37"/>
      <c r="O2065" s="130"/>
      <c r="P2065" s="132"/>
      <c r="Q2065" s="262"/>
      <c r="R2065" s="92"/>
    </row>
    <row r="2066" spans="3:18" x14ac:dyDescent="0.25">
      <c r="C2066" s="264"/>
      <c r="D2066" s="157"/>
      <c r="E2066" s="44"/>
      <c r="F2066" s="146"/>
      <c r="G2066" s="1"/>
      <c r="H2066" s="161"/>
      <c r="I2066" s="37"/>
      <c r="J2066" s="135"/>
      <c r="K2066" s="112"/>
      <c r="L2066" s="37"/>
      <c r="M2066" s="37"/>
      <c r="N2066" s="37"/>
      <c r="O2066" s="130"/>
      <c r="P2066" s="132"/>
      <c r="Q2066" s="262"/>
      <c r="R2066" s="92"/>
    </row>
    <row r="2067" spans="3:18" x14ac:dyDescent="0.25">
      <c r="C2067" s="264"/>
      <c r="D2067" s="157"/>
      <c r="E2067" s="44"/>
      <c r="F2067" s="146"/>
      <c r="G2067" s="1"/>
      <c r="H2067" s="161"/>
      <c r="I2067" s="37"/>
      <c r="J2067" s="135"/>
      <c r="K2067" s="112"/>
      <c r="L2067" s="37"/>
      <c r="M2067" s="37"/>
      <c r="N2067" s="37"/>
      <c r="O2067" s="130"/>
      <c r="P2067" s="132"/>
      <c r="Q2067" s="262"/>
      <c r="R2067" s="92"/>
    </row>
    <row r="2068" spans="3:18" x14ac:dyDescent="0.25">
      <c r="C2068" s="264"/>
      <c r="D2068" s="157"/>
      <c r="E2068" s="44"/>
      <c r="F2068" s="146"/>
      <c r="G2068" s="1"/>
      <c r="H2068" s="161"/>
      <c r="I2068" s="37"/>
      <c r="J2068" s="135"/>
      <c r="K2068" s="112"/>
      <c r="L2068" s="37"/>
      <c r="M2068" s="37"/>
      <c r="N2068" s="37"/>
      <c r="O2068" s="130"/>
      <c r="P2068" s="132"/>
      <c r="Q2068" s="262"/>
      <c r="R2068" s="92"/>
    </row>
    <row r="2069" spans="3:18" x14ac:dyDescent="0.25">
      <c r="C2069" s="264"/>
      <c r="D2069" s="157"/>
      <c r="E2069" s="44"/>
      <c r="F2069" s="146"/>
      <c r="G2069" s="1"/>
      <c r="H2069" s="161"/>
      <c r="I2069" s="37"/>
      <c r="J2069" s="135"/>
      <c r="K2069" s="112"/>
      <c r="L2069" s="37"/>
      <c r="M2069" s="37"/>
      <c r="N2069" s="37"/>
      <c r="O2069" s="130"/>
      <c r="P2069" s="132"/>
      <c r="Q2069" s="262"/>
      <c r="R2069" s="92"/>
    </row>
    <row r="2070" spans="3:18" x14ac:dyDescent="0.25">
      <c r="C2070" s="264"/>
      <c r="D2070" s="157"/>
      <c r="E2070" s="44"/>
      <c r="F2070" s="146"/>
      <c r="G2070" s="1"/>
      <c r="H2070" s="161"/>
      <c r="I2070" s="37"/>
      <c r="J2070" s="135"/>
      <c r="K2070" s="112"/>
      <c r="L2070" s="37"/>
      <c r="M2070" s="37"/>
      <c r="N2070" s="37"/>
      <c r="O2070" s="130"/>
      <c r="P2070" s="132"/>
      <c r="Q2070" s="262"/>
      <c r="R2070" s="92"/>
    </row>
    <row r="2071" spans="3:18" x14ac:dyDescent="0.25">
      <c r="C2071" s="264"/>
      <c r="D2071" s="157"/>
      <c r="E2071" s="44"/>
      <c r="F2071" s="146"/>
      <c r="G2071" s="1"/>
      <c r="H2071" s="161"/>
      <c r="I2071" s="37"/>
      <c r="J2071" s="135"/>
      <c r="K2071" s="112"/>
      <c r="L2071" s="37"/>
      <c r="M2071" s="37"/>
      <c r="N2071" s="37"/>
      <c r="O2071" s="130"/>
      <c r="P2071" s="132"/>
      <c r="Q2071" s="262"/>
      <c r="R2071" s="92"/>
    </row>
    <row r="2072" spans="3:18" x14ac:dyDescent="0.25">
      <c r="C2072" s="264"/>
      <c r="D2072" s="157"/>
      <c r="E2072" s="44"/>
      <c r="F2072" s="146"/>
      <c r="G2072" s="1"/>
      <c r="H2072" s="161"/>
      <c r="I2072" s="37"/>
      <c r="J2072" s="135"/>
      <c r="K2072" s="112"/>
      <c r="L2072" s="37"/>
      <c r="M2072" s="37"/>
      <c r="N2072" s="37"/>
      <c r="O2072" s="130"/>
      <c r="P2072" s="132"/>
      <c r="Q2072" s="262"/>
      <c r="R2072" s="92"/>
    </row>
    <row r="2073" spans="3:18" x14ac:dyDescent="0.25">
      <c r="C2073" s="264"/>
      <c r="D2073" s="157"/>
      <c r="E2073" s="44"/>
      <c r="F2073" s="146"/>
      <c r="G2073" s="1"/>
      <c r="H2073" s="161"/>
      <c r="I2073" s="37"/>
      <c r="J2073" s="135"/>
      <c r="K2073" s="112"/>
      <c r="L2073" s="37"/>
      <c r="M2073" s="37"/>
      <c r="N2073" s="37"/>
      <c r="O2073" s="130"/>
      <c r="P2073" s="132"/>
      <c r="Q2073" s="262"/>
      <c r="R2073" s="92"/>
    </row>
    <row r="2074" spans="3:18" x14ac:dyDescent="0.25">
      <c r="C2074" s="264"/>
      <c r="D2074" s="157"/>
      <c r="E2074" s="44"/>
      <c r="F2074" s="146"/>
      <c r="G2074" s="1"/>
      <c r="H2074" s="161"/>
      <c r="I2074" s="37"/>
      <c r="J2074" s="135"/>
      <c r="K2074" s="112"/>
      <c r="L2074" s="37"/>
      <c r="M2074" s="37"/>
      <c r="N2074" s="37"/>
      <c r="O2074" s="130"/>
      <c r="P2074" s="132"/>
      <c r="Q2074" s="262"/>
      <c r="R2074" s="92"/>
    </row>
    <row r="2075" spans="3:18" x14ac:dyDescent="0.25">
      <c r="C2075" s="264"/>
      <c r="D2075" s="157"/>
      <c r="E2075" s="44"/>
      <c r="F2075" s="146"/>
      <c r="G2075" s="1"/>
      <c r="H2075" s="161"/>
      <c r="I2075" s="37"/>
      <c r="J2075" s="135"/>
      <c r="K2075" s="112"/>
      <c r="L2075" s="37"/>
      <c r="M2075" s="37"/>
      <c r="N2075" s="37"/>
      <c r="O2075" s="130"/>
      <c r="P2075" s="132"/>
      <c r="Q2075" s="262"/>
      <c r="R2075" s="92"/>
    </row>
    <row r="2076" spans="3:18" x14ac:dyDescent="0.25">
      <c r="C2076" s="264"/>
      <c r="D2076" s="157"/>
      <c r="E2076" s="44"/>
      <c r="F2076" s="146"/>
      <c r="G2076" s="1"/>
      <c r="H2076" s="161"/>
      <c r="I2076" s="37"/>
      <c r="J2076" s="135"/>
      <c r="K2076" s="112"/>
      <c r="L2076" s="37"/>
      <c r="M2076" s="37"/>
      <c r="N2076" s="37"/>
      <c r="O2076" s="130"/>
      <c r="P2076" s="132"/>
      <c r="Q2076" s="262"/>
      <c r="R2076" s="92"/>
    </row>
    <row r="2077" spans="3:18" x14ac:dyDescent="0.25">
      <c r="C2077" s="264"/>
      <c r="D2077" s="157"/>
      <c r="E2077" s="44"/>
      <c r="F2077" s="146"/>
      <c r="G2077" s="1"/>
      <c r="H2077" s="161"/>
      <c r="I2077" s="37"/>
      <c r="J2077" s="135"/>
      <c r="K2077" s="112"/>
      <c r="L2077" s="37"/>
      <c r="M2077" s="37"/>
      <c r="N2077" s="37"/>
      <c r="O2077" s="130"/>
      <c r="P2077" s="132"/>
      <c r="Q2077" s="262"/>
      <c r="R2077" s="92"/>
    </row>
    <row r="2078" spans="3:18" x14ac:dyDescent="0.25">
      <c r="C2078" s="264"/>
      <c r="D2078" s="157"/>
      <c r="E2078" s="44"/>
      <c r="F2078" s="146"/>
      <c r="G2078" s="1"/>
      <c r="H2078" s="161"/>
      <c r="I2078" s="37"/>
      <c r="J2078" s="135"/>
      <c r="K2078" s="112"/>
      <c r="L2078" s="37"/>
      <c r="M2078" s="37"/>
      <c r="N2078" s="37"/>
      <c r="O2078" s="130"/>
      <c r="P2078" s="132"/>
      <c r="Q2078" s="262"/>
      <c r="R2078" s="92"/>
    </row>
    <row r="2079" spans="3:18" x14ac:dyDescent="0.25">
      <c r="C2079" s="264"/>
      <c r="D2079" s="157"/>
      <c r="E2079" s="44"/>
      <c r="F2079" s="146"/>
      <c r="G2079" s="1"/>
      <c r="H2079" s="161"/>
      <c r="I2079" s="37"/>
      <c r="J2079" s="135"/>
      <c r="K2079" s="112"/>
      <c r="L2079" s="37"/>
      <c r="M2079" s="37"/>
      <c r="N2079" s="37"/>
      <c r="O2079" s="130"/>
      <c r="P2079" s="132"/>
      <c r="Q2079" s="262"/>
      <c r="R2079" s="92"/>
    </row>
    <row r="2080" spans="3:18" x14ac:dyDescent="0.25">
      <c r="C2080" s="264"/>
      <c r="D2080" s="157"/>
      <c r="E2080" s="44"/>
      <c r="F2080" s="146"/>
      <c r="G2080" s="1"/>
      <c r="H2080" s="161"/>
      <c r="I2080" s="37"/>
      <c r="J2080" s="135"/>
      <c r="K2080" s="112"/>
      <c r="L2080" s="37"/>
      <c r="M2080" s="37"/>
      <c r="N2080" s="37"/>
      <c r="O2080" s="130"/>
      <c r="P2080" s="132"/>
      <c r="Q2080" s="262"/>
      <c r="R2080" s="92"/>
    </row>
    <row r="2081" spans="3:18" x14ac:dyDescent="0.25">
      <c r="C2081" s="264"/>
      <c r="D2081" s="157"/>
      <c r="E2081" s="44"/>
      <c r="F2081" s="146"/>
      <c r="G2081" s="1"/>
      <c r="H2081" s="161"/>
      <c r="I2081" s="37"/>
      <c r="J2081" s="135"/>
      <c r="K2081" s="112"/>
      <c r="L2081" s="37"/>
      <c r="M2081" s="37"/>
      <c r="N2081" s="37"/>
      <c r="O2081" s="130"/>
      <c r="P2081" s="132"/>
      <c r="Q2081" s="262"/>
      <c r="R2081" s="92"/>
    </row>
    <row r="2082" spans="3:18" x14ac:dyDescent="0.25">
      <c r="C2082" s="264"/>
      <c r="D2082" s="157"/>
      <c r="E2082" s="44"/>
      <c r="F2082" s="146"/>
      <c r="G2082" s="1"/>
      <c r="H2082" s="161"/>
      <c r="I2082" s="37"/>
      <c r="J2082" s="135"/>
      <c r="K2082" s="112"/>
      <c r="L2082" s="37"/>
      <c r="M2082" s="37"/>
      <c r="N2082" s="37"/>
      <c r="O2082" s="130"/>
      <c r="P2082" s="132"/>
      <c r="Q2082" s="262"/>
      <c r="R2082" s="92"/>
    </row>
    <row r="2083" spans="3:18" x14ac:dyDescent="0.25">
      <c r="C2083" s="264"/>
      <c r="D2083" s="157"/>
      <c r="E2083" s="44"/>
      <c r="F2083" s="146"/>
      <c r="G2083" s="1"/>
      <c r="H2083" s="161"/>
      <c r="I2083" s="37"/>
      <c r="J2083" s="135"/>
      <c r="K2083" s="112"/>
      <c r="L2083" s="37"/>
      <c r="M2083" s="37"/>
      <c r="N2083" s="37"/>
      <c r="O2083" s="130"/>
      <c r="P2083" s="132"/>
      <c r="Q2083" s="262"/>
      <c r="R2083" s="92"/>
    </row>
    <row r="2084" spans="3:18" x14ac:dyDescent="0.25">
      <c r="C2084" s="264"/>
      <c r="D2084" s="157"/>
      <c r="E2084" s="44"/>
      <c r="F2084" s="146"/>
      <c r="G2084" s="1"/>
      <c r="H2084" s="161"/>
      <c r="I2084" s="37"/>
      <c r="J2084" s="135"/>
      <c r="K2084" s="112"/>
      <c r="L2084" s="37"/>
      <c r="M2084" s="37"/>
      <c r="N2084" s="37"/>
      <c r="O2084" s="130"/>
      <c r="P2084" s="132"/>
      <c r="Q2084" s="262"/>
      <c r="R2084" s="92"/>
    </row>
    <row r="2085" spans="3:18" x14ac:dyDescent="0.25">
      <c r="C2085" s="264"/>
      <c r="D2085" s="157"/>
      <c r="E2085" s="44"/>
      <c r="F2085" s="146"/>
      <c r="G2085" s="1"/>
      <c r="H2085" s="161"/>
      <c r="I2085" s="37"/>
      <c r="J2085" s="135"/>
      <c r="K2085" s="112"/>
      <c r="L2085" s="37"/>
      <c r="M2085" s="37"/>
      <c r="N2085" s="37"/>
      <c r="O2085" s="130"/>
      <c r="P2085" s="132"/>
      <c r="Q2085" s="262"/>
      <c r="R2085" s="92"/>
    </row>
    <row r="2086" spans="3:18" x14ac:dyDescent="0.25">
      <c r="C2086" s="264"/>
      <c r="D2086" s="157"/>
      <c r="E2086" s="44"/>
      <c r="F2086" s="146"/>
      <c r="G2086" s="1"/>
      <c r="H2086" s="161"/>
      <c r="I2086" s="37"/>
      <c r="J2086" s="135"/>
      <c r="K2086" s="112"/>
      <c r="L2086" s="37"/>
      <c r="M2086" s="37"/>
      <c r="N2086" s="37"/>
      <c r="O2086" s="130"/>
      <c r="P2086" s="132"/>
      <c r="Q2086" s="262"/>
      <c r="R2086" s="92"/>
    </row>
    <row r="2087" spans="3:18" x14ac:dyDescent="0.25">
      <c r="C2087" s="264"/>
      <c r="D2087" s="157"/>
      <c r="E2087" s="44"/>
      <c r="F2087" s="146"/>
      <c r="G2087" s="1"/>
      <c r="H2087" s="161"/>
      <c r="I2087" s="37"/>
      <c r="J2087" s="135"/>
      <c r="K2087" s="112"/>
      <c r="L2087" s="37"/>
      <c r="M2087" s="37"/>
      <c r="N2087" s="37"/>
      <c r="O2087" s="130"/>
      <c r="P2087" s="132"/>
      <c r="Q2087" s="262"/>
      <c r="R2087" s="92"/>
    </row>
    <row r="2088" spans="3:18" x14ac:dyDescent="0.25">
      <c r="C2088" s="264"/>
      <c r="D2088" s="157"/>
      <c r="E2088" s="44"/>
      <c r="F2088" s="146"/>
      <c r="G2088" s="1"/>
      <c r="H2088" s="161"/>
      <c r="I2088" s="37"/>
      <c r="J2088" s="135"/>
      <c r="K2088" s="112"/>
      <c r="L2088" s="37"/>
      <c r="M2088" s="37"/>
      <c r="N2088" s="37"/>
      <c r="O2088" s="130"/>
      <c r="P2088" s="132"/>
      <c r="Q2088" s="262"/>
      <c r="R2088" s="92"/>
    </row>
    <row r="2089" spans="3:18" x14ac:dyDescent="0.25">
      <c r="C2089" s="264"/>
      <c r="D2089" s="157"/>
      <c r="E2089" s="44"/>
      <c r="F2089" s="146"/>
      <c r="G2089" s="1"/>
      <c r="H2089" s="161"/>
      <c r="I2089" s="37"/>
      <c r="J2089" s="135"/>
      <c r="K2089" s="112"/>
      <c r="L2089" s="37"/>
      <c r="M2089" s="37"/>
      <c r="N2089" s="37"/>
      <c r="O2089" s="130"/>
      <c r="P2089" s="132"/>
      <c r="Q2089" s="262"/>
      <c r="R2089" s="92"/>
    </row>
    <row r="2090" spans="3:18" x14ac:dyDescent="0.25">
      <c r="C2090" s="264"/>
      <c r="D2090" s="157"/>
      <c r="E2090" s="44"/>
      <c r="F2090" s="146"/>
      <c r="G2090" s="1"/>
      <c r="H2090" s="161"/>
      <c r="I2090" s="37"/>
      <c r="J2090" s="135"/>
      <c r="K2090" s="112"/>
      <c r="L2090" s="37"/>
      <c r="M2090" s="37"/>
      <c r="N2090" s="37"/>
      <c r="O2090" s="130"/>
      <c r="P2090" s="132"/>
      <c r="Q2090" s="262"/>
      <c r="R2090" s="92"/>
    </row>
    <row r="2091" spans="3:18" x14ac:dyDescent="0.25">
      <c r="C2091" s="264"/>
      <c r="D2091" s="157"/>
      <c r="E2091" s="44"/>
      <c r="F2091" s="146"/>
      <c r="G2091" s="1"/>
      <c r="H2091" s="161"/>
      <c r="I2091" s="37"/>
      <c r="J2091" s="135"/>
      <c r="K2091" s="112"/>
      <c r="L2091" s="37"/>
      <c r="M2091" s="37"/>
      <c r="N2091" s="37"/>
      <c r="O2091" s="130"/>
      <c r="P2091" s="132"/>
      <c r="Q2091" s="262"/>
      <c r="R2091" s="92"/>
    </row>
    <row r="2092" spans="3:18" x14ac:dyDescent="0.25">
      <c r="C2092" s="264"/>
      <c r="D2092" s="157"/>
      <c r="E2092" s="44"/>
      <c r="F2092" s="146"/>
      <c r="G2092" s="1"/>
      <c r="H2092" s="161"/>
      <c r="I2092" s="37"/>
      <c r="J2092" s="135"/>
      <c r="K2092" s="112"/>
      <c r="L2092" s="37"/>
      <c r="M2092" s="37"/>
      <c r="N2092" s="37"/>
      <c r="O2092" s="130"/>
      <c r="P2092" s="132"/>
      <c r="Q2092" s="262"/>
      <c r="R2092" s="92"/>
    </row>
    <row r="2093" spans="3:18" x14ac:dyDescent="0.25">
      <c r="C2093" s="264"/>
      <c r="D2093" s="157"/>
      <c r="E2093" s="44"/>
      <c r="F2093" s="146"/>
      <c r="G2093" s="1"/>
      <c r="H2093" s="161"/>
      <c r="I2093" s="37"/>
      <c r="J2093" s="135"/>
      <c r="K2093" s="112"/>
      <c r="L2093" s="37"/>
      <c r="M2093" s="37"/>
      <c r="N2093" s="37"/>
      <c r="O2093" s="130"/>
      <c r="P2093" s="132"/>
      <c r="Q2093" s="262"/>
      <c r="R2093" s="92"/>
    </row>
    <row r="2094" spans="3:18" x14ac:dyDescent="0.25">
      <c r="C2094" s="264"/>
      <c r="D2094" s="157"/>
      <c r="E2094" s="44"/>
      <c r="F2094" s="146"/>
      <c r="G2094" s="1"/>
      <c r="H2094" s="161"/>
      <c r="I2094" s="37"/>
      <c r="J2094" s="135"/>
      <c r="K2094" s="112"/>
      <c r="L2094" s="37"/>
      <c r="M2094" s="37"/>
      <c r="N2094" s="37"/>
      <c r="O2094" s="130"/>
      <c r="P2094" s="132"/>
      <c r="Q2094" s="262"/>
      <c r="R2094" s="92"/>
    </row>
    <row r="2095" spans="3:18" x14ac:dyDescent="0.25">
      <c r="C2095" s="264"/>
      <c r="D2095" s="157"/>
      <c r="E2095" s="44"/>
      <c r="F2095" s="146"/>
      <c r="G2095" s="1"/>
      <c r="H2095" s="161"/>
      <c r="I2095" s="37"/>
      <c r="J2095" s="135"/>
      <c r="K2095" s="112"/>
      <c r="L2095" s="37"/>
      <c r="M2095" s="37"/>
      <c r="N2095" s="37"/>
      <c r="O2095" s="130"/>
      <c r="P2095" s="132"/>
      <c r="Q2095" s="262"/>
      <c r="R2095" s="92"/>
    </row>
    <row r="2096" spans="3:18" x14ac:dyDescent="0.25">
      <c r="C2096" s="264"/>
      <c r="D2096" s="157"/>
      <c r="E2096" s="44"/>
      <c r="F2096" s="146"/>
      <c r="G2096" s="1"/>
      <c r="H2096" s="161"/>
      <c r="I2096" s="37"/>
      <c r="J2096" s="135"/>
      <c r="K2096" s="112"/>
      <c r="L2096" s="37"/>
      <c r="M2096" s="37"/>
      <c r="N2096" s="37"/>
      <c r="O2096" s="130"/>
      <c r="P2096" s="132"/>
      <c r="Q2096" s="262"/>
      <c r="R2096" s="92"/>
    </row>
    <row r="2097" spans="3:18" x14ac:dyDescent="0.25">
      <c r="C2097" s="264"/>
      <c r="D2097" s="157"/>
      <c r="E2097" s="44"/>
      <c r="F2097" s="146"/>
      <c r="G2097" s="1"/>
      <c r="H2097" s="161"/>
      <c r="I2097" s="37"/>
      <c r="J2097" s="135"/>
      <c r="K2097" s="112"/>
      <c r="L2097" s="37"/>
      <c r="M2097" s="37"/>
      <c r="N2097" s="37"/>
      <c r="O2097" s="130"/>
      <c r="P2097" s="132"/>
      <c r="Q2097" s="262"/>
      <c r="R2097" s="92"/>
    </row>
    <row r="2098" spans="3:18" x14ac:dyDescent="0.25">
      <c r="C2098" s="264"/>
      <c r="D2098" s="157"/>
      <c r="E2098" s="44"/>
      <c r="F2098" s="146"/>
      <c r="G2098" s="1"/>
      <c r="H2098" s="161"/>
      <c r="I2098" s="37"/>
      <c r="J2098" s="135"/>
      <c r="K2098" s="112"/>
      <c r="L2098" s="37"/>
      <c r="M2098" s="37"/>
      <c r="N2098" s="37"/>
      <c r="O2098" s="130"/>
      <c r="P2098" s="132"/>
      <c r="Q2098" s="262"/>
      <c r="R2098" s="92"/>
    </row>
    <row r="2099" spans="3:18" x14ac:dyDescent="0.25">
      <c r="C2099" s="264"/>
      <c r="D2099" s="157"/>
      <c r="E2099" s="44"/>
      <c r="F2099" s="146"/>
      <c r="G2099" s="1"/>
      <c r="H2099" s="161"/>
      <c r="I2099" s="37"/>
      <c r="J2099" s="135"/>
      <c r="K2099" s="112"/>
      <c r="L2099" s="37"/>
      <c r="M2099" s="37"/>
      <c r="N2099" s="37"/>
      <c r="O2099" s="130"/>
      <c r="P2099" s="132"/>
      <c r="Q2099" s="262"/>
      <c r="R2099" s="92"/>
    </row>
    <row r="2100" spans="3:18" x14ac:dyDescent="0.25">
      <c r="C2100" s="264"/>
      <c r="D2100" s="157"/>
      <c r="E2100" s="44"/>
      <c r="F2100" s="146"/>
      <c r="G2100" s="1"/>
      <c r="H2100" s="161"/>
      <c r="I2100" s="37"/>
      <c r="J2100" s="135"/>
      <c r="K2100" s="112"/>
      <c r="L2100" s="37"/>
      <c r="M2100" s="37"/>
      <c r="N2100" s="37"/>
      <c r="O2100" s="130"/>
      <c r="P2100" s="132"/>
      <c r="Q2100" s="262"/>
      <c r="R2100" s="92"/>
    </row>
    <row r="2101" spans="3:18" x14ac:dyDescent="0.25">
      <c r="C2101" s="264"/>
      <c r="D2101" s="157"/>
      <c r="E2101" s="44"/>
      <c r="F2101" s="146"/>
      <c r="G2101" s="1"/>
      <c r="H2101" s="161"/>
      <c r="I2101" s="37"/>
      <c r="J2101" s="135"/>
      <c r="K2101" s="112"/>
      <c r="L2101" s="37"/>
      <c r="M2101" s="37"/>
      <c r="N2101" s="37"/>
      <c r="O2101" s="130"/>
      <c r="P2101" s="132"/>
      <c r="Q2101" s="262"/>
      <c r="R2101" s="92"/>
    </row>
    <row r="2102" spans="3:18" x14ac:dyDescent="0.25">
      <c r="C2102" s="264"/>
      <c r="D2102" s="157"/>
      <c r="E2102" s="44"/>
      <c r="F2102" s="146"/>
      <c r="G2102" s="1"/>
      <c r="H2102" s="161"/>
      <c r="I2102" s="37"/>
      <c r="J2102" s="135"/>
      <c r="K2102" s="112"/>
      <c r="L2102" s="37"/>
      <c r="M2102" s="37"/>
      <c r="N2102" s="37"/>
      <c r="O2102" s="130"/>
      <c r="P2102" s="132"/>
      <c r="Q2102" s="262"/>
      <c r="R2102" s="92"/>
    </row>
    <row r="2103" spans="3:18" x14ac:dyDescent="0.25">
      <c r="C2103" s="264"/>
      <c r="D2103" s="157"/>
      <c r="E2103" s="44"/>
      <c r="F2103" s="146"/>
      <c r="G2103" s="1"/>
      <c r="H2103" s="161"/>
      <c r="I2103" s="37"/>
      <c r="J2103" s="135"/>
      <c r="K2103" s="112"/>
      <c r="L2103" s="37"/>
      <c r="M2103" s="37"/>
      <c r="N2103" s="37"/>
      <c r="O2103" s="130"/>
      <c r="P2103" s="132"/>
      <c r="Q2103" s="262"/>
      <c r="R2103" s="92"/>
    </row>
    <row r="2104" spans="3:18" x14ac:dyDescent="0.25">
      <c r="C2104" s="264"/>
      <c r="D2104" s="157"/>
      <c r="E2104" s="44"/>
      <c r="F2104" s="146"/>
      <c r="G2104" s="1"/>
      <c r="H2104" s="161"/>
      <c r="I2104" s="37"/>
      <c r="J2104" s="135"/>
      <c r="K2104" s="112"/>
      <c r="L2104" s="37"/>
      <c r="M2104" s="37"/>
      <c r="N2104" s="37"/>
      <c r="O2104" s="130"/>
      <c r="P2104" s="132"/>
      <c r="Q2104" s="262"/>
      <c r="R2104" s="92"/>
    </row>
    <row r="2105" spans="3:18" x14ac:dyDescent="0.25">
      <c r="C2105" s="264"/>
      <c r="D2105" s="157"/>
      <c r="E2105" s="44"/>
      <c r="F2105" s="146"/>
      <c r="G2105" s="1"/>
      <c r="H2105" s="161"/>
      <c r="I2105" s="37"/>
      <c r="J2105" s="135"/>
      <c r="K2105" s="112"/>
      <c r="L2105" s="37"/>
      <c r="M2105" s="37"/>
      <c r="N2105" s="37"/>
      <c r="O2105" s="130"/>
      <c r="P2105" s="132"/>
      <c r="Q2105" s="262"/>
      <c r="R2105" s="92"/>
    </row>
    <row r="2106" spans="3:18" x14ac:dyDescent="0.25">
      <c r="C2106" s="264"/>
      <c r="D2106" s="157"/>
      <c r="E2106" s="44"/>
      <c r="F2106" s="146"/>
      <c r="G2106" s="1"/>
      <c r="H2106" s="161"/>
      <c r="I2106" s="37"/>
      <c r="J2106" s="135"/>
      <c r="K2106" s="112"/>
      <c r="L2106" s="37"/>
      <c r="M2106" s="37"/>
      <c r="N2106" s="37"/>
      <c r="O2106" s="130"/>
      <c r="P2106" s="132"/>
      <c r="Q2106" s="262"/>
      <c r="R2106" s="92"/>
    </row>
    <row r="2107" spans="3:18" x14ac:dyDescent="0.25">
      <c r="C2107" s="264"/>
      <c r="D2107" s="157"/>
      <c r="E2107" s="44"/>
      <c r="F2107" s="146"/>
      <c r="G2107" s="1"/>
      <c r="H2107" s="161"/>
      <c r="I2107" s="37"/>
      <c r="J2107" s="135"/>
      <c r="K2107" s="112"/>
      <c r="L2107" s="37"/>
      <c r="M2107" s="37"/>
      <c r="N2107" s="37"/>
      <c r="O2107" s="130"/>
      <c r="P2107" s="132"/>
      <c r="Q2107" s="262"/>
      <c r="R2107" s="92"/>
    </row>
    <row r="2108" spans="3:18" x14ac:dyDescent="0.25">
      <c r="C2108" s="264"/>
      <c r="D2108" s="157"/>
      <c r="E2108" s="44"/>
      <c r="F2108" s="146"/>
      <c r="G2108" s="1"/>
      <c r="H2108" s="161"/>
      <c r="I2108" s="37"/>
      <c r="J2108" s="135"/>
      <c r="K2108" s="112"/>
      <c r="L2108" s="37"/>
      <c r="M2108" s="37"/>
      <c r="N2108" s="37"/>
      <c r="O2108" s="130"/>
      <c r="P2108" s="132"/>
      <c r="Q2108" s="262"/>
      <c r="R2108" s="92"/>
    </row>
    <row r="2109" spans="3:18" x14ac:dyDescent="0.25">
      <c r="C2109" s="264"/>
      <c r="D2109" s="157"/>
      <c r="E2109" s="44"/>
      <c r="F2109" s="146"/>
      <c r="G2109" s="1"/>
      <c r="H2109" s="161"/>
      <c r="I2109" s="37"/>
      <c r="J2109" s="135"/>
      <c r="K2109" s="112"/>
      <c r="L2109" s="37"/>
      <c r="M2109" s="37"/>
      <c r="N2109" s="37"/>
      <c r="O2109" s="130"/>
      <c r="P2109" s="132"/>
      <c r="Q2109" s="262"/>
      <c r="R2109" s="92"/>
    </row>
    <row r="2110" spans="3:18" x14ac:dyDescent="0.25">
      <c r="C2110" s="264"/>
      <c r="D2110" s="157"/>
      <c r="E2110" s="44"/>
      <c r="F2110" s="146"/>
      <c r="G2110" s="1"/>
      <c r="H2110" s="161"/>
      <c r="I2110" s="37"/>
      <c r="J2110" s="135"/>
      <c r="K2110" s="112"/>
      <c r="L2110" s="37"/>
      <c r="M2110" s="37"/>
      <c r="N2110" s="37"/>
      <c r="O2110" s="130"/>
      <c r="P2110" s="132"/>
      <c r="Q2110" s="262"/>
      <c r="R2110" s="92"/>
    </row>
    <row r="2111" spans="3:18" x14ac:dyDescent="0.25">
      <c r="C2111" s="264"/>
      <c r="D2111" s="157"/>
      <c r="E2111" s="44"/>
      <c r="F2111" s="146"/>
      <c r="G2111" s="1"/>
      <c r="H2111" s="161"/>
      <c r="I2111" s="37"/>
      <c r="J2111" s="135"/>
      <c r="K2111" s="112"/>
      <c r="L2111" s="37"/>
      <c r="M2111" s="37"/>
      <c r="N2111" s="37"/>
      <c r="O2111" s="130"/>
      <c r="P2111" s="132"/>
      <c r="Q2111" s="262"/>
      <c r="R2111" s="92"/>
    </row>
    <row r="2112" spans="3:18" x14ac:dyDescent="0.25">
      <c r="C2112" s="264"/>
      <c r="D2112" s="157"/>
      <c r="E2112" s="44"/>
      <c r="F2112" s="146"/>
      <c r="G2112" s="1"/>
      <c r="H2112" s="161"/>
      <c r="I2112" s="37"/>
      <c r="J2112" s="135"/>
      <c r="K2112" s="112"/>
      <c r="L2112" s="37"/>
      <c r="M2112" s="37"/>
      <c r="N2112" s="37"/>
      <c r="O2112" s="130"/>
      <c r="P2112" s="132"/>
      <c r="Q2112" s="262"/>
      <c r="R2112" s="92"/>
    </row>
    <row r="2113" spans="3:18" x14ac:dyDescent="0.25">
      <c r="C2113" s="264"/>
      <c r="D2113" s="157"/>
      <c r="E2113" s="44"/>
      <c r="F2113" s="146"/>
      <c r="G2113" s="1"/>
      <c r="H2113" s="161"/>
      <c r="I2113" s="37"/>
      <c r="J2113" s="135"/>
      <c r="K2113" s="112"/>
      <c r="L2113" s="37"/>
      <c r="M2113" s="37"/>
      <c r="N2113" s="37"/>
      <c r="O2113" s="130"/>
      <c r="P2113" s="132"/>
      <c r="Q2113" s="262"/>
      <c r="R2113" s="92"/>
    </row>
    <row r="2114" spans="3:18" x14ac:dyDescent="0.25">
      <c r="C2114" s="264"/>
      <c r="D2114" s="157"/>
      <c r="E2114" s="44"/>
      <c r="F2114" s="146"/>
      <c r="G2114" s="1"/>
      <c r="H2114" s="161"/>
      <c r="I2114" s="37"/>
      <c r="J2114" s="135"/>
      <c r="K2114" s="112"/>
      <c r="L2114" s="37"/>
      <c r="M2114" s="37"/>
      <c r="N2114" s="37"/>
      <c r="O2114" s="130"/>
      <c r="P2114" s="132"/>
      <c r="Q2114" s="262"/>
      <c r="R2114" s="92"/>
    </row>
    <row r="2115" spans="3:18" x14ac:dyDescent="0.25">
      <c r="C2115" s="264"/>
      <c r="D2115" s="157"/>
      <c r="E2115" s="44"/>
      <c r="F2115" s="146"/>
      <c r="G2115" s="1"/>
      <c r="H2115" s="161"/>
      <c r="I2115" s="37"/>
      <c r="J2115" s="135"/>
      <c r="K2115" s="112"/>
      <c r="L2115" s="37"/>
      <c r="M2115" s="37"/>
      <c r="N2115" s="37"/>
      <c r="O2115" s="130"/>
      <c r="P2115" s="132"/>
      <c r="Q2115" s="262"/>
      <c r="R2115" s="92"/>
    </row>
    <row r="2116" spans="3:18" x14ac:dyDescent="0.25">
      <c r="C2116" s="264"/>
      <c r="D2116" s="157"/>
      <c r="E2116" s="44"/>
      <c r="F2116" s="146"/>
      <c r="G2116" s="1"/>
      <c r="H2116" s="161"/>
      <c r="I2116" s="37"/>
      <c r="J2116" s="135"/>
      <c r="K2116" s="112"/>
      <c r="L2116" s="37"/>
      <c r="M2116" s="37"/>
      <c r="N2116" s="37"/>
      <c r="O2116" s="130"/>
      <c r="P2116" s="132"/>
      <c r="Q2116" s="262"/>
      <c r="R2116" s="92"/>
    </row>
    <row r="2117" spans="3:18" x14ac:dyDescent="0.25">
      <c r="C2117" s="264"/>
      <c r="D2117" s="157"/>
      <c r="E2117" s="44"/>
      <c r="F2117" s="146"/>
      <c r="G2117" s="1"/>
      <c r="H2117" s="161"/>
      <c r="I2117" s="37"/>
      <c r="J2117" s="135"/>
      <c r="K2117" s="112"/>
      <c r="L2117" s="37"/>
      <c r="M2117" s="37"/>
      <c r="N2117" s="37"/>
      <c r="O2117" s="130"/>
      <c r="P2117" s="132"/>
      <c r="Q2117" s="262"/>
      <c r="R2117" s="92"/>
    </row>
    <row r="2118" spans="3:18" x14ac:dyDescent="0.25">
      <c r="C2118" s="264"/>
      <c r="D2118" s="157"/>
      <c r="E2118" s="44"/>
      <c r="F2118" s="146"/>
      <c r="G2118" s="1"/>
      <c r="H2118" s="161"/>
      <c r="I2118" s="37"/>
      <c r="J2118" s="135"/>
      <c r="K2118" s="112"/>
      <c r="L2118" s="37"/>
      <c r="M2118" s="37"/>
      <c r="N2118" s="37"/>
      <c r="O2118" s="130"/>
      <c r="P2118" s="132"/>
      <c r="Q2118" s="262"/>
      <c r="R2118" s="92"/>
    </row>
    <row r="2119" spans="3:18" x14ac:dyDescent="0.25">
      <c r="C2119" s="264"/>
      <c r="D2119" s="157"/>
      <c r="E2119" s="44"/>
      <c r="F2119" s="146"/>
      <c r="G2119" s="1"/>
      <c r="H2119" s="161"/>
      <c r="I2119" s="37"/>
      <c r="J2119" s="135"/>
      <c r="K2119" s="112"/>
      <c r="L2119" s="37"/>
      <c r="M2119" s="37"/>
      <c r="N2119" s="37"/>
      <c r="O2119" s="130"/>
      <c r="P2119" s="132"/>
      <c r="Q2119" s="262"/>
      <c r="R2119" s="92"/>
    </row>
    <row r="2120" spans="3:18" x14ac:dyDescent="0.25">
      <c r="C2120" s="264"/>
      <c r="D2120" s="157"/>
      <c r="E2120" s="44"/>
      <c r="F2120" s="146"/>
      <c r="G2120" s="1"/>
      <c r="H2120" s="161"/>
      <c r="I2120" s="37"/>
      <c r="J2120" s="135"/>
      <c r="K2120" s="112"/>
      <c r="L2120" s="37"/>
      <c r="M2120" s="37"/>
      <c r="N2120" s="37"/>
      <c r="O2120" s="130"/>
      <c r="P2120" s="132"/>
      <c r="Q2120" s="262"/>
      <c r="R2120" s="92"/>
    </row>
    <row r="2121" spans="3:18" x14ac:dyDescent="0.25">
      <c r="C2121" s="264"/>
      <c r="D2121" s="157"/>
      <c r="E2121" s="44"/>
      <c r="F2121" s="146"/>
      <c r="G2121" s="1"/>
      <c r="H2121" s="161"/>
      <c r="I2121" s="37"/>
      <c r="J2121" s="135"/>
      <c r="K2121" s="112"/>
      <c r="L2121" s="37"/>
      <c r="M2121" s="37"/>
      <c r="N2121" s="37"/>
      <c r="O2121" s="130"/>
      <c r="P2121" s="132"/>
      <c r="Q2121" s="262"/>
      <c r="R2121" s="92"/>
    </row>
    <row r="2122" spans="3:18" x14ac:dyDescent="0.25">
      <c r="C2122" s="264"/>
      <c r="D2122" s="157"/>
      <c r="E2122" s="44"/>
      <c r="F2122" s="146"/>
      <c r="G2122" s="1"/>
      <c r="H2122" s="161"/>
      <c r="I2122" s="37"/>
      <c r="J2122" s="135"/>
      <c r="K2122" s="112"/>
      <c r="L2122" s="37"/>
      <c r="M2122" s="37"/>
      <c r="N2122" s="37"/>
      <c r="O2122" s="130"/>
      <c r="P2122" s="132"/>
      <c r="Q2122" s="262"/>
      <c r="R2122" s="92"/>
    </row>
    <row r="2123" spans="3:18" x14ac:dyDescent="0.25">
      <c r="C2123" s="264"/>
      <c r="D2123" s="157"/>
      <c r="E2123" s="44"/>
      <c r="F2123" s="146"/>
      <c r="G2123" s="1"/>
      <c r="H2123" s="161"/>
      <c r="I2123" s="37"/>
      <c r="J2123" s="135"/>
      <c r="K2123" s="112"/>
      <c r="L2123" s="37"/>
      <c r="M2123" s="37"/>
      <c r="N2123" s="37"/>
      <c r="O2123" s="130"/>
      <c r="P2123" s="132"/>
      <c r="Q2123" s="262"/>
      <c r="R2123" s="92"/>
    </row>
    <row r="2124" spans="3:18" x14ac:dyDescent="0.25">
      <c r="C2124" s="264"/>
      <c r="D2124" s="157"/>
      <c r="E2124" s="44"/>
      <c r="F2124" s="146"/>
      <c r="G2124" s="1"/>
      <c r="H2124" s="161"/>
      <c r="I2124" s="37"/>
      <c r="J2124" s="135"/>
      <c r="K2124" s="112"/>
      <c r="L2124" s="37"/>
      <c r="M2124" s="37"/>
      <c r="N2124" s="37"/>
      <c r="O2124" s="130"/>
      <c r="P2124" s="132"/>
      <c r="Q2124" s="262"/>
      <c r="R2124" s="92"/>
    </row>
    <row r="2125" spans="3:18" x14ac:dyDescent="0.25">
      <c r="C2125" s="264"/>
      <c r="D2125" s="157"/>
      <c r="E2125" s="44"/>
      <c r="F2125" s="146"/>
      <c r="G2125" s="1"/>
      <c r="H2125" s="161"/>
      <c r="I2125" s="37"/>
      <c r="J2125" s="135"/>
      <c r="K2125" s="112"/>
      <c r="L2125" s="37"/>
      <c r="M2125" s="37"/>
      <c r="N2125" s="37"/>
      <c r="O2125" s="130"/>
      <c r="P2125" s="132"/>
      <c r="Q2125" s="262"/>
      <c r="R2125" s="92"/>
    </row>
    <row r="2126" spans="3:18" x14ac:dyDescent="0.25">
      <c r="C2126" s="264"/>
      <c r="D2126" s="157"/>
      <c r="E2126" s="44"/>
      <c r="F2126" s="146"/>
      <c r="G2126" s="1"/>
      <c r="H2126" s="161"/>
      <c r="I2126" s="37"/>
      <c r="J2126" s="135"/>
      <c r="K2126" s="112"/>
      <c r="L2126" s="37"/>
      <c r="M2126" s="37"/>
      <c r="N2126" s="37"/>
      <c r="O2126" s="130"/>
      <c r="P2126" s="132"/>
      <c r="Q2126" s="262"/>
      <c r="R2126" s="92"/>
    </row>
    <row r="2127" spans="3:18" x14ac:dyDescent="0.25">
      <c r="C2127" s="264"/>
      <c r="D2127" s="157"/>
      <c r="E2127" s="44"/>
      <c r="F2127" s="146"/>
      <c r="G2127" s="1"/>
      <c r="H2127" s="161"/>
      <c r="I2127" s="37"/>
      <c r="J2127" s="135"/>
      <c r="K2127" s="112"/>
      <c r="L2127" s="37"/>
      <c r="M2127" s="37"/>
      <c r="N2127" s="37"/>
      <c r="O2127" s="130"/>
      <c r="P2127" s="132"/>
      <c r="Q2127" s="262"/>
      <c r="R2127" s="92"/>
    </row>
    <row r="2128" spans="3:18" x14ac:dyDescent="0.25">
      <c r="C2128" s="264"/>
      <c r="D2128" s="157"/>
      <c r="E2128" s="44"/>
      <c r="F2128" s="146"/>
      <c r="G2128" s="1"/>
      <c r="H2128" s="161"/>
      <c r="I2128" s="37"/>
      <c r="J2128" s="135"/>
      <c r="K2128" s="112"/>
      <c r="L2128" s="37"/>
      <c r="M2128" s="37"/>
      <c r="N2128" s="37"/>
      <c r="O2128" s="130"/>
      <c r="P2128" s="132"/>
      <c r="Q2128" s="262"/>
      <c r="R2128" s="92"/>
    </row>
    <row r="2129" spans="3:18" x14ac:dyDescent="0.25">
      <c r="C2129" s="264"/>
      <c r="D2129" s="157"/>
      <c r="E2129" s="44"/>
      <c r="F2129" s="146"/>
      <c r="G2129" s="1"/>
      <c r="H2129" s="161"/>
      <c r="I2129" s="37"/>
      <c r="J2129" s="135"/>
      <c r="K2129" s="112"/>
      <c r="L2129" s="37"/>
      <c r="M2129" s="37"/>
      <c r="N2129" s="37"/>
      <c r="O2129" s="130"/>
      <c r="P2129" s="132"/>
      <c r="Q2129" s="262"/>
      <c r="R2129" s="92"/>
    </row>
    <row r="2130" spans="3:18" x14ac:dyDescent="0.25">
      <c r="C2130" s="264"/>
      <c r="D2130" s="157"/>
      <c r="E2130" s="44"/>
      <c r="F2130" s="146"/>
      <c r="G2130" s="1"/>
      <c r="H2130" s="161"/>
      <c r="I2130" s="37"/>
      <c r="J2130" s="135"/>
      <c r="K2130" s="112"/>
      <c r="L2130" s="37"/>
      <c r="M2130" s="37"/>
      <c r="N2130" s="37"/>
      <c r="O2130" s="130"/>
      <c r="P2130" s="132"/>
      <c r="Q2130" s="262"/>
      <c r="R2130" s="92"/>
    </row>
    <row r="2131" spans="3:18" x14ac:dyDescent="0.25">
      <c r="C2131" s="264"/>
      <c r="D2131" s="157"/>
      <c r="E2131" s="44"/>
      <c r="F2131" s="146"/>
      <c r="G2131" s="1"/>
      <c r="H2131" s="161"/>
      <c r="I2131" s="37"/>
      <c r="J2131" s="135"/>
      <c r="K2131" s="112"/>
      <c r="L2131" s="37"/>
      <c r="M2131" s="37"/>
      <c r="N2131" s="37"/>
      <c r="O2131" s="130"/>
      <c r="P2131" s="132"/>
      <c r="Q2131" s="262"/>
      <c r="R2131" s="92"/>
    </row>
    <row r="2132" spans="3:18" x14ac:dyDescent="0.25">
      <c r="C2132" s="264"/>
      <c r="D2132" s="157"/>
      <c r="E2132" s="44"/>
      <c r="F2132" s="146"/>
      <c r="G2132" s="1"/>
      <c r="H2132" s="161"/>
      <c r="I2132" s="37"/>
      <c r="J2132" s="135"/>
      <c r="K2132" s="112"/>
      <c r="L2132" s="37"/>
      <c r="M2132" s="37"/>
      <c r="N2132" s="37"/>
      <c r="O2132" s="130"/>
      <c r="P2132" s="132"/>
      <c r="Q2132" s="262"/>
      <c r="R2132" s="92"/>
    </row>
    <row r="2133" spans="3:18" x14ac:dyDescent="0.25">
      <c r="C2133" s="264"/>
      <c r="D2133" s="157"/>
      <c r="E2133" s="44"/>
      <c r="F2133" s="146"/>
      <c r="G2133" s="1"/>
      <c r="H2133" s="161"/>
      <c r="I2133" s="37"/>
      <c r="J2133" s="135"/>
      <c r="K2133" s="112"/>
      <c r="L2133" s="37"/>
      <c r="M2133" s="37"/>
      <c r="N2133" s="37"/>
      <c r="O2133" s="130"/>
      <c r="P2133" s="132"/>
      <c r="Q2133" s="262"/>
      <c r="R2133" s="92"/>
    </row>
    <row r="2134" spans="3:18" x14ac:dyDescent="0.25">
      <c r="C2134" s="264"/>
      <c r="D2134" s="157"/>
      <c r="E2134" s="44"/>
      <c r="F2134" s="146"/>
      <c r="G2134" s="1"/>
      <c r="H2134" s="161"/>
      <c r="I2134" s="37"/>
      <c r="J2134" s="135"/>
      <c r="K2134" s="112"/>
      <c r="L2134" s="37"/>
      <c r="M2134" s="37"/>
      <c r="N2134" s="37"/>
      <c r="O2134" s="130"/>
      <c r="P2134" s="132"/>
      <c r="Q2134" s="262"/>
      <c r="R2134" s="92"/>
    </row>
    <row r="2135" spans="3:18" x14ac:dyDescent="0.25">
      <c r="C2135" s="264"/>
      <c r="D2135" s="157"/>
      <c r="E2135" s="44"/>
      <c r="F2135" s="146"/>
      <c r="G2135" s="1"/>
      <c r="H2135" s="161"/>
      <c r="I2135" s="37"/>
      <c r="J2135" s="135"/>
      <c r="K2135" s="112"/>
      <c r="L2135" s="37"/>
      <c r="M2135" s="37"/>
      <c r="N2135" s="37"/>
      <c r="O2135" s="130"/>
      <c r="P2135" s="132"/>
      <c r="Q2135" s="262"/>
      <c r="R2135" s="92"/>
    </row>
    <row r="2136" spans="3:18" x14ac:dyDescent="0.25">
      <c r="C2136" s="264"/>
      <c r="D2136" s="157"/>
      <c r="E2136" s="44"/>
      <c r="F2136" s="146"/>
      <c r="G2136" s="1"/>
      <c r="H2136" s="161"/>
      <c r="I2136" s="37"/>
      <c r="J2136" s="135"/>
      <c r="K2136" s="112"/>
      <c r="L2136" s="37"/>
      <c r="M2136" s="37"/>
      <c r="N2136" s="37"/>
      <c r="O2136" s="130"/>
      <c r="P2136" s="132"/>
      <c r="Q2136" s="262"/>
      <c r="R2136" s="92"/>
    </row>
    <row r="2137" spans="3:18" x14ac:dyDescent="0.25">
      <c r="C2137" s="264"/>
      <c r="D2137" s="157"/>
      <c r="E2137" s="44"/>
      <c r="F2137" s="146"/>
      <c r="G2137" s="1"/>
      <c r="H2137" s="161"/>
      <c r="I2137" s="37"/>
      <c r="J2137" s="135"/>
      <c r="K2137" s="112"/>
      <c r="L2137" s="37"/>
      <c r="M2137" s="37"/>
      <c r="N2137" s="37"/>
      <c r="O2137" s="130"/>
      <c r="P2137" s="132"/>
      <c r="Q2137" s="262"/>
      <c r="R2137" s="92"/>
    </row>
    <row r="2138" spans="3:18" x14ac:dyDescent="0.25">
      <c r="C2138" s="264"/>
      <c r="D2138" s="157"/>
      <c r="E2138" s="44"/>
      <c r="F2138" s="146"/>
      <c r="G2138" s="1"/>
      <c r="H2138" s="161"/>
      <c r="I2138" s="37"/>
      <c r="J2138" s="135"/>
      <c r="K2138" s="112"/>
      <c r="L2138" s="37"/>
      <c r="M2138" s="37"/>
      <c r="N2138" s="37"/>
      <c r="O2138" s="130"/>
      <c r="P2138" s="132"/>
      <c r="Q2138" s="262"/>
      <c r="R2138" s="92"/>
    </row>
    <row r="2139" spans="3:18" x14ac:dyDescent="0.25">
      <c r="C2139" s="264"/>
      <c r="D2139" s="157"/>
      <c r="E2139" s="44"/>
      <c r="F2139" s="146"/>
      <c r="G2139" s="1"/>
      <c r="H2139" s="161"/>
      <c r="I2139" s="37"/>
      <c r="J2139" s="135"/>
      <c r="K2139" s="112"/>
      <c r="L2139" s="37"/>
      <c r="M2139" s="37"/>
      <c r="N2139" s="37"/>
      <c r="O2139" s="130"/>
      <c r="P2139" s="132"/>
      <c r="Q2139" s="262"/>
      <c r="R2139" s="92"/>
    </row>
    <row r="2140" spans="3:18" x14ac:dyDescent="0.25">
      <c r="C2140" s="264"/>
      <c r="D2140" s="157"/>
      <c r="E2140" s="44"/>
      <c r="F2140" s="146"/>
      <c r="G2140" s="1"/>
      <c r="H2140" s="161"/>
      <c r="I2140" s="37"/>
      <c r="J2140" s="135"/>
      <c r="K2140" s="112"/>
      <c r="L2140" s="37"/>
      <c r="M2140" s="37"/>
      <c r="N2140" s="37"/>
      <c r="O2140" s="130"/>
      <c r="P2140" s="132"/>
      <c r="Q2140" s="262"/>
      <c r="R2140" s="92"/>
    </row>
    <row r="2141" spans="3:18" x14ac:dyDescent="0.25">
      <c r="C2141" s="264"/>
      <c r="D2141" s="157"/>
      <c r="E2141" s="44"/>
      <c r="F2141" s="146"/>
      <c r="G2141" s="1"/>
      <c r="H2141" s="161"/>
      <c r="I2141" s="37"/>
      <c r="J2141" s="135"/>
      <c r="K2141" s="112"/>
      <c r="L2141" s="37"/>
      <c r="M2141" s="37"/>
      <c r="N2141" s="37"/>
      <c r="O2141" s="130"/>
      <c r="P2141" s="132"/>
      <c r="Q2141" s="262"/>
      <c r="R2141" s="92"/>
    </row>
    <row r="2142" spans="3:18" x14ac:dyDescent="0.25">
      <c r="C2142" s="264"/>
      <c r="D2142" s="157"/>
      <c r="E2142" s="44"/>
      <c r="F2142" s="146"/>
      <c r="G2142" s="1"/>
      <c r="H2142" s="161"/>
      <c r="I2142" s="37"/>
      <c r="J2142" s="135"/>
      <c r="K2142" s="112"/>
      <c r="L2142" s="37"/>
      <c r="M2142" s="37"/>
      <c r="N2142" s="37"/>
      <c r="O2142" s="130"/>
      <c r="P2142" s="132"/>
      <c r="Q2142" s="262"/>
      <c r="R2142" s="92"/>
    </row>
    <row r="2143" spans="3:18" x14ac:dyDescent="0.25">
      <c r="C2143" s="264"/>
      <c r="D2143" s="157"/>
      <c r="E2143" s="44"/>
      <c r="F2143" s="146"/>
      <c r="G2143" s="1"/>
      <c r="H2143" s="161"/>
      <c r="I2143" s="37"/>
      <c r="J2143" s="135"/>
      <c r="K2143" s="112"/>
      <c r="L2143" s="37"/>
      <c r="M2143" s="37"/>
      <c r="N2143" s="37"/>
      <c r="O2143" s="130"/>
      <c r="P2143" s="132"/>
      <c r="Q2143" s="262"/>
      <c r="R2143" s="92"/>
    </row>
    <row r="2144" spans="3:18" x14ac:dyDescent="0.25">
      <c r="C2144" s="264"/>
      <c r="D2144" s="157"/>
      <c r="E2144" s="44"/>
      <c r="F2144" s="146"/>
      <c r="G2144" s="1"/>
      <c r="H2144" s="161"/>
      <c r="I2144" s="37"/>
      <c r="J2144" s="135"/>
      <c r="K2144" s="112"/>
      <c r="L2144" s="37"/>
      <c r="M2144" s="37"/>
      <c r="N2144" s="37"/>
      <c r="O2144" s="130"/>
      <c r="P2144" s="132"/>
      <c r="Q2144" s="262"/>
      <c r="R2144" s="92"/>
    </row>
    <row r="2145" spans="3:18" x14ac:dyDescent="0.25">
      <c r="C2145" s="264"/>
      <c r="D2145" s="157"/>
      <c r="E2145" s="44"/>
      <c r="F2145" s="146"/>
      <c r="G2145" s="1"/>
      <c r="H2145" s="161"/>
      <c r="I2145" s="37"/>
      <c r="J2145" s="135"/>
      <c r="K2145" s="112"/>
      <c r="L2145" s="37"/>
      <c r="M2145" s="37"/>
      <c r="N2145" s="37"/>
      <c r="O2145" s="130"/>
      <c r="P2145" s="132"/>
      <c r="Q2145" s="262"/>
      <c r="R2145" s="92"/>
    </row>
    <row r="2146" spans="3:18" x14ac:dyDescent="0.25">
      <c r="C2146" s="264"/>
      <c r="D2146" s="157"/>
      <c r="E2146" s="44"/>
      <c r="F2146" s="146"/>
      <c r="G2146" s="1"/>
      <c r="H2146" s="161"/>
      <c r="I2146" s="37"/>
      <c r="J2146" s="135"/>
      <c r="K2146" s="112"/>
      <c r="L2146" s="37"/>
      <c r="M2146" s="37"/>
      <c r="N2146" s="37"/>
      <c r="O2146" s="130"/>
      <c r="P2146" s="132"/>
      <c r="Q2146" s="262"/>
      <c r="R2146" s="92"/>
    </row>
    <row r="2147" spans="3:18" x14ac:dyDescent="0.25">
      <c r="C2147" s="264"/>
      <c r="D2147" s="157"/>
      <c r="E2147" s="44"/>
      <c r="F2147" s="146"/>
      <c r="G2147" s="1"/>
      <c r="H2147" s="161"/>
      <c r="I2147" s="37"/>
      <c r="J2147" s="135"/>
      <c r="K2147" s="112"/>
      <c r="L2147" s="37"/>
      <c r="M2147" s="37"/>
      <c r="N2147" s="37"/>
      <c r="O2147" s="130"/>
      <c r="P2147" s="132"/>
      <c r="Q2147" s="262"/>
      <c r="R2147" s="92"/>
    </row>
    <row r="2148" spans="3:18" x14ac:dyDescent="0.25">
      <c r="C2148" s="264"/>
      <c r="D2148" s="157"/>
      <c r="E2148" s="44"/>
      <c r="F2148" s="146"/>
      <c r="G2148" s="1"/>
      <c r="H2148" s="161"/>
      <c r="I2148" s="37"/>
      <c r="J2148" s="135"/>
      <c r="K2148" s="112"/>
      <c r="L2148" s="37"/>
      <c r="M2148" s="37"/>
      <c r="N2148" s="37"/>
      <c r="O2148" s="130"/>
      <c r="P2148" s="132"/>
      <c r="Q2148" s="262"/>
      <c r="R2148" s="92"/>
    </row>
    <row r="2149" spans="3:18" x14ac:dyDescent="0.25">
      <c r="C2149" s="264"/>
      <c r="D2149" s="157"/>
      <c r="E2149" s="44"/>
      <c r="F2149" s="146"/>
      <c r="G2149" s="1"/>
      <c r="H2149" s="161"/>
      <c r="I2149" s="37"/>
      <c r="J2149" s="135"/>
      <c r="K2149" s="112"/>
      <c r="L2149" s="37"/>
      <c r="M2149" s="37"/>
      <c r="N2149" s="37"/>
      <c r="O2149" s="130"/>
      <c r="P2149" s="132"/>
      <c r="Q2149" s="262"/>
      <c r="R2149" s="92"/>
    </row>
    <row r="2150" spans="3:18" x14ac:dyDescent="0.25">
      <c r="C2150" s="264"/>
      <c r="D2150" s="157"/>
      <c r="E2150" s="44"/>
      <c r="F2150" s="146"/>
      <c r="G2150" s="1"/>
      <c r="H2150" s="161"/>
      <c r="I2150" s="37"/>
      <c r="J2150" s="135"/>
      <c r="K2150" s="112"/>
      <c r="L2150" s="37"/>
      <c r="M2150" s="37"/>
      <c r="N2150" s="37"/>
      <c r="O2150" s="130"/>
      <c r="P2150" s="132"/>
      <c r="Q2150" s="262"/>
      <c r="R2150" s="92"/>
    </row>
    <row r="2151" spans="3:18" x14ac:dyDescent="0.25">
      <c r="C2151" s="264"/>
      <c r="D2151" s="157"/>
      <c r="E2151" s="44"/>
      <c r="F2151" s="146"/>
      <c r="G2151" s="1"/>
      <c r="H2151" s="161"/>
      <c r="I2151" s="37"/>
      <c r="J2151" s="135"/>
      <c r="K2151" s="112"/>
      <c r="L2151" s="37"/>
      <c r="M2151" s="37"/>
      <c r="N2151" s="37"/>
      <c r="O2151" s="130"/>
      <c r="P2151" s="132"/>
      <c r="Q2151" s="262"/>
      <c r="R2151" s="92"/>
    </row>
    <row r="2152" spans="3:18" x14ac:dyDescent="0.25">
      <c r="C2152" s="264"/>
      <c r="D2152" s="157"/>
      <c r="E2152" s="44"/>
      <c r="F2152" s="146"/>
      <c r="G2152" s="1"/>
      <c r="H2152" s="161"/>
      <c r="I2152" s="37"/>
      <c r="J2152" s="135"/>
      <c r="K2152" s="112"/>
      <c r="L2152" s="37"/>
      <c r="M2152" s="37"/>
      <c r="N2152" s="37"/>
      <c r="O2152" s="130"/>
      <c r="P2152" s="132"/>
      <c r="Q2152" s="262"/>
      <c r="R2152" s="92"/>
    </row>
    <row r="2153" spans="3:18" x14ac:dyDescent="0.25">
      <c r="C2153" s="264"/>
      <c r="D2153" s="157"/>
      <c r="E2153" s="44"/>
      <c r="F2153" s="146"/>
      <c r="G2153" s="1"/>
      <c r="H2153" s="161"/>
      <c r="I2153" s="37"/>
      <c r="J2153" s="135"/>
      <c r="K2153" s="112"/>
      <c r="L2153" s="37"/>
      <c r="M2153" s="37"/>
      <c r="N2153" s="37"/>
      <c r="O2153" s="130"/>
      <c r="P2153" s="132"/>
      <c r="Q2153" s="262"/>
      <c r="R2153" s="92"/>
    </row>
    <row r="2154" spans="3:18" x14ac:dyDescent="0.25">
      <c r="C2154" s="264"/>
      <c r="D2154" s="157"/>
      <c r="E2154" s="44"/>
      <c r="F2154" s="146"/>
      <c r="G2154" s="1"/>
      <c r="H2154" s="161"/>
      <c r="I2154" s="37"/>
      <c r="J2154" s="135"/>
      <c r="K2154" s="112"/>
      <c r="L2154" s="37"/>
      <c r="M2154" s="37"/>
      <c r="N2154" s="37"/>
      <c r="O2154" s="130"/>
      <c r="P2154" s="132"/>
      <c r="Q2154" s="262"/>
      <c r="R2154" s="92"/>
    </row>
    <row r="2155" spans="3:18" x14ac:dyDescent="0.25">
      <c r="C2155" s="264"/>
      <c r="D2155" s="157"/>
      <c r="E2155" s="44"/>
      <c r="F2155" s="146"/>
      <c r="G2155" s="1"/>
      <c r="H2155" s="161"/>
      <c r="I2155" s="37"/>
      <c r="J2155" s="135"/>
      <c r="K2155" s="112"/>
      <c r="L2155" s="37"/>
      <c r="M2155" s="37"/>
      <c r="N2155" s="37"/>
      <c r="O2155" s="130"/>
      <c r="P2155" s="132"/>
      <c r="Q2155" s="262"/>
      <c r="R2155" s="92"/>
    </row>
    <row r="2156" spans="3:18" x14ac:dyDescent="0.25">
      <c r="C2156" s="264"/>
      <c r="D2156" s="157"/>
      <c r="E2156" s="44"/>
      <c r="F2156" s="146"/>
      <c r="G2156" s="1"/>
      <c r="H2156" s="161"/>
      <c r="I2156" s="37"/>
      <c r="J2156" s="135"/>
      <c r="K2156" s="112"/>
      <c r="L2156" s="37"/>
      <c r="M2156" s="37"/>
      <c r="N2156" s="37"/>
      <c r="O2156" s="130"/>
      <c r="P2156" s="132"/>
      <c r="Q2156" s="262"/>
      <c r="R2156" s="92"/>
    </row>
    <row r="2157" spans="3:18" x14ac:dyDescent="0.25">
      <c r="C2157" s="264"/>
      <c r="D2157" s="157"/>
      <c r="E2157" s="44"/>
      <c r="F2157" s="146"/>
      <c r="G2157" s="1"/>
      <c r="H2157" s="161"/>
      <c r="I2157" s="37"/>
      <c r="J2157" s="135"/>
      <c r="K2157" s="112"/>
      <c r="L2157" s="37"/>
      <c r="M2157" s="37"/>
      <c r="N2157" s="37"/>
      <c r="O2157" s="130"/>
      <c r="P2157" s="132"/>
      <c r="Q2157" s="262"/>
      <c r="R2157" s="92"/>
    </row>
    <row r="2158" spans="3:18" x14ac:dyDescent="0.25">
      <c r="C2158" s="264"/>
      <c r="D2158" s="157"/>
      <c r="E2158" s="44"/>
      <c r="F2158" s="146"/>
      <c r="G2158" s="1"/>
      <c r="H2158" s="161"/>
      <c r="I2158" s="37"/>
      <c r="J2158" s="135"/>
      <c r="K2158" s="112"/>
      <c r="L2158" s="37"/>
      <c r="M2158" s="37"/>
      <c r="N2158" s="37"/>
      <c r="O2158" s="130"/>
      <c r="P2158" s="132"/>
      <c r="Q2158" s="262"/>
      <c r="R2158" s="92"/>
    </row>
    <row r="2159" spans="3:18" x14ac:dyDescent="0.25">
      <c r="C2159" s="264"/>
      <c r="D2159" s="157"/>
      <c r="E2159" s="44"/>
      <c r="F2159" s="146"/>
      <c r="G2159" s="1"/>
      <c r="H2159" s="161"/>
      <c r="I2159" s="37"/>
      <c r="J2159" s="135"/>
      <c r="K2159" s="112"/>
      <c r="L2159" s="37"/>
      <c r="M2159" s="37"/>
      <c r="N2159" s="37"/>
      <c r="O2159" s="130"/>
      <c r="P2159" s="132"/>
      <c r="Q2159" s="262"/>
      <c r="R2159" s="92"/>
    </row>
    <row r="2160" spans="3:18" x14ac:dyDescent="0.25">
      <c r="C2160" s="264"/>
      <c r="D2160" s="157"/>
      <c r="E2160" s="44"/>
      <c r="F2160" s="146"/>
      <c r="G2160" s="1"/>
      <c r="H2160" s="161"/>
      <c r="I2160" s="37"/>
      <c r="J2160" s="135"/>
      <c r="K2160" s="112"/>
      <c r="L2160" s="37"/>
      <c r="M2160" s="37"/>
      <c r="N2160" s="37"/>
      <c r="O2160" s="130"/>
      <c r="P2160" s="132"/>
      <c r="Q2160" s="262"/>
      <c r="R2160" s="92"/>
    </row>
    <row r="2161" spans="3:18" x14ac:dyDescent="0.25">
      <c r="C2161" s="264"/>
      <c r="D2161" s="157"/>
      <c r="E2161" s="44"/>
      <c r="F2161" s="146"/>
      <c r="G2161" s="1"/>
      <c r="H2161" s="161"/>
      <c r="I2161" s="37"/>
      <c r="J2161" s="135"/>
      <c r="K2161" s="112"/>
      <c r="L2161" s="37"/>
      <c r="M2161" s="37"/>
      <c r="N2161" s="37"/>
      <c r="O2161" s="130"/>
      <c r="P2161" s="132"/>
      <c r="Q2161" s="262"/>
      <c r="R2161" s="92"/>
    </row>
    <row r="2162" spans="3:18" x14ac:dyDescent="0.25">
      <c r="C2162" s="264"/>
      <c r="D2162" s="157"/>
      <c r="E2162" s="44"/>
      <c r="F2162" s="146"/>
      <c r="G2162" s="1"/>
      <c r="H2162" s="161"/>
      <c r="I2162" s="37"/>
      <c r="J2162" s="135"/>
      <c r="K2162" s="112"/>
      <c r="L2162" s="37"/>
      <c r="M2162" s="37"/>
      <c r="N2162" s="37"/>
      <c r="O2162" s="130"/>
      <c r="P2162" s="132"/>
      <c r="Q2162" s="262"/>
      <c r="R2162" s="92"/>
    </row>
    <row r="2163" spans="3:18" x14ac:dyDescent="0.25">
      <c r="C2163" s="264"/>
      <c r="D2163" s="157"/>
      <c r="E2163" s="44"/>
      <c r="F2163" s="146"/>
      <c r="G2163" s="1"/>
      <c r="H2163" s="161"/>
      <c r="I2163" s="37"/>
      <c r="J2163" s="135"/>
      <c r="K2163" s="112"/>
      <c r="L2163" s="37"/>
      <c r="M2163" s="37"/>
      <c r="N2163" s="37"/>
      <c r="O2163" s="130"/>
      <c r="P2163" s="132"/>
      <c r="Q2163" s="262"/>
      <c r="R2163" s="92"/>
    </row>
    <row r="2164" spans="3:18" x14ac:dyDescent="0.25">
      <c r="C2164" s="264"/>
      <c r="D2164" s="157"/>
      <c r="E2164" s="44"/>
      <c r="F2164" s="146"/>
      <c r="G2164" s="1"/>
      <c r="H2164" s="161"/>
      <c r="I2164" s="37"/>
      <c r="J2164" s="135"/>
      <c r="K2164" s="112"/>
      <c r="L2164" s="37"/>
      <c r="M2164" s="37"/>
      <c r="N2164" s="37"/>
      <c r="O2164" s="130"/>
      <c r="P2164" s="132"/>
      <c r="Q2164" s="262"/>
      <c r="R2164" s="92"/>
    </row>
    <row r="2165" spans="3:18" x14ac:dyDescent="0.25">
      <c r="C2165" s="264"/>
      <c r="D2165" s="157"/>
      <c r="E2165" s="44"/>
      <c r="F2165" s="146"/>
      <c r="G2165" s="1"/>
      <c r="H2165" s="161"/>
      <c r="I2165" s="37"/>
      <c r="J2165" s="135"/>
      <c r="K2165" s="112"/>
      <c r="L2165" s="37"/>
      <c r="M2165" s="37"/>
      <c r="N2165" s="37"/>
      <c r="O2165" s="130"/>
      <c r="P2165" s="132"/>
      <c r="Q2165" s="262"/>
      <c r="R2165" s="92"/>
    </row>
    <row r="2166" spans="3:18" x14ac:dyDescent="0.25">
      <c r="C2166" s="264"/>
      <c r="D2166" s="157"/>
      <c r="E2166" s="44"/>
      <c r="F2166" s="146"/>
      <c r="G2166" s="1"/>
      <c r="H2166" s="161"/>
      <c r="I2166" s="37"/>
      <c r="J2166" s="135"/>
      <c r="K2166" s="112"/>
      <c r="L2166" s="37"/>
      <c r="M2166" s="37"/>
      <c r="N2166" s="37"/>
      <c r="O2166" s="130"/>
      <c r="P2166" s="132"/>
      <c r="Q2166" s="262"/>
      <c r="R2166" s="92"/>
    </row>
    <row r="2167" spans="3:18" x14ac:dyDescent="0.25">
      <c r="C2167" s="264"/>
      <c r="D2167" s="157"/>
      <c r="E2167" s="44"/>
      <c r="F2167" s="146"/>
      <c r="G2167" s="1"/>
      <c r="H2167" s="161"/>
      <c r="I2167" s="37"/>
      <c r="J2167" s="135"/>
      <c r="K2167" s="112"/>
      <c r="L2167" s="37"/>
      <c r="M2167" s="37"/>
      <c r="N2167" s="37"/>
      <c r="O2167" s="130"/>
      <c r="P2167" s="132"/>
      <c r="Q2167" s="262"/>
      <c r="R2167" s="92"/>
    </row>
    <row r="2168" spans="3:18" x14ac:dyDescent="0.25">
      <c r="C2168" s="264"/>
      <c r="D2168" s="157"/>
      <c r="E2168" s="44"/>
      <c r="F2168" s="146"/>
      <c r="G2168" s="1"/>
      <c r="H2168" s="161"/>
      <c r="I2168" s="37"/>
      <c r="J2168" s="135"/>
      <c r="K2168" s="112"/>
      <c r="L2168" s="37"/>
      <c r="M2168" s="37"/>
      <c r="N2168" s="37"/>
      <c r="O2168" s="130"/>
      <c r="P2168" s="132"/>
      <c r="Q2168" s="262"/>
      <c r="R2168" s="92"/>
    </row>
    <row r="2169" spans="3:18" x14ac:dyDescent="0.25">
      <c r="C2169" s="264"/>
      <c r="D2169" s="157"/>
      <c r="E2169" s="44"/>
      <c r="F2169" s="146"/>
      <c r="G2169" s="1"/>
      <c r="H2169" s="161"/>
      <c r="I2169" s="37"/>
      <c r="J2169" s="135"/>
      <c r="K2169" s="112"/>
      <c r="L2169" s="37"/>
      <c r="M2169" s="37"/>
      <c r="N2169" s="37"/>
      <c r="O2169" s="130"/>
      <c r="P2169" s="132"/>
      <c r="Q2169" s="262"/>
      <c r="R2169" s="92"/>
    </row>
    <row r="2170" spans="3:18" x14ac:dyDescent="0.25">
      <c r="C2170" s="264"/>
      <c r="D2170" s="157"/>
      <c r="E2170" s="44"/>
      <c r="F2170" s="146"/>
      <c r="G2170" s="1"/>
      <c r="H2170" s="161"/>
      <c r="I2170" s="37"/>
      <c r="J2170" s="135"/>
      <c r="K2170" s="112"/>
      <c r="L2170" s="37"/>
      <c r="M2170" s="37"/>
      <c r="N2170" s="37"/>
      <c r="O2170" s="130"/>
      <c r="P2170" s="132"/>
      <c r="Q2170" s="262"/>
      <c r="R2170" s="92"/>
    </row>
    <row r="2171" spans="3:18" x14ac:dyDescent="0.25">
      <c r="C2171" s="264"/>
      <c r="D2171" s="157"/>
      <c r="E2171" s="44"/>
      <c r="F2171" s="146"/>
      <c r="G2171" s="1"/>
      <c r="H2171" s="161"/>
      <c r="I2171" s="37"/>
      <c r="J2171" s="135"/>
      <c r="K2171" s="112"/>
      <c r="L2171" s="37"/>
      <c r="M2171" s="37"/>
      <c r="N2171" s="37"/>
      <c r="O2171" s="130"/>
      <c r="P2171" s="132"/>
      <c r="Q2171" s="262"/>
      <c r="R2171" s="92"/>
    </row>
    <row r="2172" spans="3:18" x14ac:dyDescent="0.25">
      <c r="C2172" s="264"/>
      <c r="D2172" s="157"/>
      <c r="E2172" s="44"/>
      <c r="F2172" s="146"/>
      <c r="G2172" s="1"/>
      <c r="H2172" s="161"/>
      <c r="I2172" s="37"/>
      <c r="J2172" s="135"/>
      <c r="K2172" s="112"/>
      <c r="L2172" s="37"/>
      <c r="M2172" s="37"/>
      <c r="N2172" s="37"/>
      <c r="O2172" s="130"/>
      <c r="P2172" s="132"/>
      <c r="Q2172" s="262"/>
      <c r="R2172" s="92"/>
    </row>
    <row r="2173" spans="3:18" x14ac:dyDescent="0.25">
      <c r="C2173" s="264"/>
      <c r="D2173" s="157"/>
      <c r="E2173" s="44"/>
      <c r="F2173" s="146"/>
      <c r="G2173" s="1"/>
      <c r="H2173" s="161"/>
      <c r="I2173" s="37"/>
      <c r="J2173" s="135"/>
      <c r="K2173" s="112"/>
      <c r="L2173" s="37"/>
      <c r="M2173" s="37"/>
      <c r="N2173" s="37"/>
      <c r="O2173" s="130"/>
      <c r="P2173" s="132"/>
      <c r="Q2173" s="262"/>
      <c r="R2173" s="92"/>
    </row>
    <row r="2174" spans="3:18" x14ac:dyDescent="0.25">
      <c r="C2174" s="264"/>
      <c r="D2174" s="157"/>
      <c r="E2174" s="44"/>
      <c r="F2174" s="146"/>
      <c r="G2174" s="1"/>
      <c r="H2174" s="161"/>
      <c r="I2174" s="37"/>
      <c r="J2174" s="135"/>
      <c r="K2174" s="112"/>
      <c r="L2174" s="37"/>
      <c r="M2174" s="37"/>
      <c r="N2174" s="37"/>
      <c r="O2174" s="130"/>
      <c r="P2174" s="132"/>
      <c r="Q2174" s="262"/>
      <c r="R2174" s="92"/>
    </row>
    <row r="2175" spans="3:18" x14ac:dyDescent="0.25">
      <c r="C2175" s="264"/>
      <c r="D2175" s="157"/>
      <c r="E2175" s="44"/>
      <c r="F2175" s="146"/>
      <c r="G2175" s="1"/>
      <c r="H2175" s="161"/>
      <c r="I2175" s="37"/>
      <c r="J2175" s="135"/>
      <c r="K2175" s="112"/>
      <c r="L2175" s="37"/>
      <c r="M2175" s="37"/>
      <c r="N2175" s="37"/>
      <c r="O2175" s="130"/>
      <c r="P2175" s="132"/>
      <c r="Q2175" s="262"/>
      <c r="R2175" s="92"/>
    </row>
    <row r="2176" spans="3:18" x14ac:dyDescent="0.25">
      <c r="C2176" s="264"/>
      <c r="D2176" s="157"/>
      <c r="E2176" s="44"/>
      <c r="F2176" s="146"/>
      <c r="G2176" s="1"/>
      <c r="H2176" s="161"/>
      <c r="I2176" s="37"/>
      <c r="J2176" s="135"/>
      <c r="K2176" s="112"/>
      <c r="L2176" s="37"/>
      <c r="M2176" s="37"/>
      <c r="N2176" s="37"/>
      <c r="O2176" s="130"/>
      <c r="P2176" s="132"/>
      <c r="Q2176" s="262"/>
      <c r="R2176" s="92"/>
    </row>
    <row r="2177" spans="3:18" x14ac:dyDescent="0.25">
      <c r="C2177" s="264"/>
      <c r="D2177" s="157"/>
      <c r="E2177" s="44"/>
      <c r="F2177" s="146"/>
      <c r="G2177" s="1"/>
      <c r="H2177" s="161"/>
      <c r="I2177" s="37"/>
      <c r="J2177" s="135"/>
      <c r="K2177" s="112"/>
      <c r="L2177" s="37"/>
      <c r="M2177" s="37"/>
      <c r="N2177" s="37"/>
      <c r="O2177" s="130"/>
      <c r="P2177" s="132"/>
      <c r="Q2177" s="262"/>
      <c r="R2177" s="92"/>
    </row>
    <row r="2178" spans="3:18" x14ac:dyDescent="0.25">
      <c r="C2178" s="264"/>
      <c r="D2178" s="157"/>
      <c r="E2178" s="44"/>
      <c r="F2178" s="146"/>
      <c r="G2178" s="1"/>
      <c r="H2178" s="161"/>
      <c r="I2178" s="37"/>
      <c r="J2178" s="135"/>
      <c r="K2178" s="112"/>
      <c r="L2178" s="37"/>
      <c r="M2178" s="37"/>
      <c r="N2178" s="37"/>
      <c r="O2178" s="130"/>
      <c r="P2178" s="132"/>
      <c r="Q2178" s="262"/>
      <c r="R2178" s="92"/>
    </row>
    <row r="2179" spans="3:18" x14ac:dyDescent="0.25">
      <c r="C2179" s="264"/>
      <c r="D2179" s="157"/>
      <c r="E2179" s="44"/>
      <c r="F2179" s="146"/>
      <c r="G2179" s="1"/>
      <c r="H2179" s="161"/>
      <c r="I2179" s="37"/>
      <c r="J2179" s="135"/>
      <c r="K2179" s="112"/>
      <c r="L2179" s="37"/>
      <c r="M2179" s="37"/>
      <c r="N2179" s="37"/>
      <c r="O2179" s="130"/>
      <c r="P2179" s="132"/>
      <c r="Q2179" s="262"/>
      <c r="R2179" s="92"/>
    </row>
    <row r="2180" spans="3:18" x14ac:dyDescent="0.25">
      <c r="C2180" s="264"/>
      <c r="D2180" s="157"/>
      <c r="E2180" s="44"/>
      <c r="F2180" s="146"/>
      <c r="G2180" s="1"/>
      <c r="H2180" s="161"/>
      <c r="I2180" s="37"/>
      <c r="J2180" s="135"/>
      <c r="K2180" s="112"/>
      <c r="L2180" s="37"/>
      <c r="M2180" s="37"/>
      <c r="N2180" s="37"/>
      <c r="O2180" s="130"/>
      <c r="P2180" s="132"/>
      <c r="Q2180" s="262"/>
      <c r="R2180" s="92"/>
    </row>
    <row r="2181" spans="3:18" x14ac:dyDescent="0.25">
      <c r="C2181" s="264"/>
      <c r="D2181" s="157"/>
      <c r="E2181" s="44"/>
      <c r="F2181" s="146"/>
      <c r="G2181" s="1"/>
      <c r="H2181" s="161"/>
      <c r="I2181" s="37"/>
      <c r="J2181" s="135"/>
      <c r="K2181" s="112"/>
      <c r="L2181" s="37"/>
      <c r="M2181" s="37"/>
      <c r="N2181" s="37"/>
      <c r="O2181" s="130"/>
      <c r="P2181" s="132"/>
      <c r="Q2181" s="262"/>
      <c r="R2181" s="92"/>
    </row>
    <row r="2182" spans="3:18" x14ac:dyDescent="0.25">
      <c r="C2182" s="264"/>
      <c r="D2182" s="157"/>
      <c r="E2182" s="44"/>
      <c r="F2182" s="146"/>
      <c r="G2182" s="1"/>
      <c r="H2182" s="161"/>
      <c r="I2182" s="37"/>
      <c r="J2182" s="135"/>
      <c r="K2182" s="112"/>
      <c r="L2182" s="37"/>
      <c r="M2182" s="37"/>
      <c r="N2182" s="37"/>
      <c r="O2182" s="130"/>
      <c r="P2182" s="132"/>
      <c r="Q2182" s="262"/>
      <c r="R2182" s="92"/>
    </row>
    <row r="2183" spans="3:18" x14ac:dyDescent="0.25">
      <c r="C2183" s="264"/>
      <c r="D2183" s="157"/>
      <c r="E2183" s="44"/>
      <c r="F2183" s="146"/>
      <c r="G2183" s="1"/>
      <c r="H2183" s="161"/>
      <c r="I2183" s="37"/>
      <c r="J2183" s="135"/>
      <c r="K2183" s="112"/>
      <c r="L2183" s="37"/>
      <c r="M2183" s="37"/>
      <c r="N2183" s="37"/>
      <c r="O2183" s="130"/>
      <c r="P2183" s="132"/>
      <c r="Q2183" s="262"/>
      <c r="R2183" s="92"/>
    </row>
    <row r="2184" spans="3:18" x14ac:dyDescent="0.25">
      <c r="C2184" s="264"/>
      <c r="D2184" s="157"/>
      <c r="E2184" s="44"/>
      <c r="F2184" s="146"/>
      <c r="G2184" s="1"/>
      <c r="H2184" s="161"/>
      <c r="I2184" s="37"/>
      <c r="J2184" s="135"/>
      <c r="K2184" s="112"/>
      <c r="L2184" s="37"/>
      <c r="M2184" s="37"/>
      <c r="N2184" s="37"/>
      <c r="O2184" s="130"/>
      <c r="P2184" s="132"/>
      <c r="Q2184" s="262"/>
      <c r="R2184" s="92"/>
    </row>
    <row r="2185" spans="3:18" x14ac:dyDescent="0.25">
      <c r="C2185" s="264"/>
      <c r="D2185" s="157"/>
      <c r="E2185" s="44"/>
      <c r="F2185" s="146"/>
      <c r="G2185" s="1"/>
      <c r="H2185" s="161"/>
      <c r="I2185" s="37"/>
      <c r="J2185" s="135"/>
      <c r="K2185" s="112"/>
      <c r="L2185" s="37"/>
      <c r="M2185" s="37"/>
      <c r="N2185" s="37"/>
      <c r="O2185" s="130"/>
      <c r="P2185" s="132"/>
      <c r="Q2185" s="262"/>
      <c r="R2185" s="92"/>
    </row>
    <row r="2186" spans="3:18" x14ac:dyDescent="0.25">
      <c r="C2186" s="264"/>
      <c r="D2186" s="157"/>
      <c r="E2186" s="44"/>
      <c r="F2186" s="146"/>
      <c r="G2186" s="1"/>
      <c r="H2186" s="161"/>
      <c r="I2186" s="37"/>
      <c r="J2186" s="135"/>
      <c r="K2186" s="112"/>
      <c r="L2186" s="37"/>
      <c r="M2186" s="37"/>
      <c r="N2186" s="37"/>
      <c r="O2186" s="130"/>
      <c r="P2186" s="132"/>
      <c r="Q2186" s="262"/>
      <c r="R2186" s="92"/>
    </row>
    <row r="2187" spans="3:18" x14ac:dyDescent="0.25">
      <c r="C2187" s="264"/>
      <c r="D2187" s="157"/>
      <c r="E2187" s="44"/>
      <c r="F2187" s="146"/>
      <c r="G2187" s="1"/>
      <c r="H2187" s="161"/>
      <c r="I2187" s="37"/>
      <c r="J2187" s="135"/>
      <c r="K2187" s="112"/>
      <c r="L2187" s="37"/>
      <c r="M2187" s="37"/>
      <c r="N2187" s="37"/>
      <c r="O2187" s="130"/>
      <c r="P2187" s="132"/>
      <c r="Q2187" s="262"/>
      <c r="R2187" s="92"/>
    </row>
    <row r="2188" spans="3:18" x14ac:dyDescent="0.25">
      <c r="C2188" s="264"/>
      <c r="D2188" s="157"/>
      <c r="E2188" s="44"/>
      <c r="F2188" s="146"/>
      <c r="G2188" s="1"/>
      <c r="H2188" s="161"/>
      <c r="I2188" s="37"/>
      <c r="J2188" s="135"/>
      <c r="K2188" s="112"/>
      <c r="L2188" s="37"/>
      <c r="M2188" s="37"/>
      <c r="N2188" s="37"/>
      <c r="O2188" s="130"/>
      <c r="P2188" s="132"/>
      <c r="Q2188" s="262"/>
      <c r="R2188" s="92"/>
    </row>
    <row r="2189" spans="3:18" x14ac:dyDescent="0.25">
      <c r="C2189" s="264"/>
      <c r="D2189" s="157"/>
      <c r="E2189" s="44"/>
      <c r="F2189" s="146"/>
      <c r="G2189" s="1"/>
      <c r="H2189" s="161"/>
      <c r="I2189" s="37"/>
      <c r="J2189" s="135"/>
      <c r="K2189" s="112"/>
      <c r="L2189" s="37"/>
      <c r="M2189" s="37"/>
      <c r="N2189" s="37"/>
      <c r="O2189" s="130"/>
      <c r="P2189" s="132"/>
      <c r="Q2189" s="262"/>
      <c r="R2189" s="92"/>
    </row>
    <row r="2190" spans="3:18" x14ac:dyDescent="0.25">
      <c r="C2190" s="264"/>
      <c r="D2190" s="157"/>
      <c r="E2190" s="44"/>
      <c r="F2190" s="146"/>
      <c r="G2190" s="1"/>
      <c r="H2190" s="161"/>
      <c r="I2190" s="37"/>
      <c r="J2190" s="135"/>
      <c r="K2190" s="112"/>
      <c r="L2190" s="37"/>
      <c r="M2190" s="37"/>
      <c r="N2190" s="37"/>
      <c r="O2190" s="130"/>
      <c r="P2190" s="132"/>
      <c r="Q2190" s="262"/>
      <c r="R2190" s="92"/>
    </row>
    <row r="2191" spans="3:18" x14ac:dyDescent="0.25">
      <c r="C2191" s="264"/>
      <c r="D2191" s="157"/>
      <c r="E2191" s="44"/>
      <c r="F2191" s="146"/>
      <c r="G2191" s="1"/>
      <c r="H2191" s="161"/>
      <c r="I2191" s="37"/>
      <c r="J2191" s="135"/>
      <c r="K2191" s="112"/>
      <c r="L2191" s="37"/>
      <c r="M2191" s="37"/>
      <c r="N2191" s="37"/>
      <c r="O2191" s="130"/>
      <c r="P2191" s="132"/>
      <c r="Q2191" s="262"/>
      <c r="R2191" s="92"/>
    </row>
    <row r="2192" spans="3:18" x14ac:dyDescent="0.25">
      <c r="C2192" s="264"/>
      <c r="D2192" s="157"/>
      <c r="E2192" s="44"/>
      <c r="F2192" s="146"/>
      <c r="G2192" s="1"/>
      <c r="H2192" s="161"/>
      <c r="I2192" s="37"/>
      <c r="J2192" s="135"/>
      <c r="K2192" s="112"/>
      <c r="L2192" s="37"/>
      <c r="M2192" s="37"/>
      <c r="N2192" s="37"/>
      <c r="O2192" s="130"/>
      <c r="P2192" s="132"/>
      <c r="Q2192" s="262"/>
      <c r="R2192" s="92"/>
    </row>
    <row r="2193" spans="3:18" x14ac:dyDescent="0.25">
      <c r="C2193" s="264"/>
      <c r="D2193" s="157"/>
      <c r="E2193" s="44"/>
      <c r="F2193" s="146"/>
      <c r="G2193" s="1"/>
      <c r="H2193" s="161"/>
      <c r="I2193" s="37"/>
      <c r="J2193" s="135"/>
      <c r="K2193" s="112"/>
      <c r="L2193" s="37"/>
      <c r="M2193" s="37"/>
      <c r="N2193" s="37"/>
      <c r="O2193" s="130"/>
      <c r="P2193" s="132"/>
      <c r="Q2193" s="262"/>
      <c r="R2193" s="92"/>
    </row>
    <row r="2194" spans="3:18" x14ac:dyDescent="0.25">
      <c r="C2194" s="264"/>
      <c r="D2194" s="157"/>
      <c r="E2194" s="44"/>
      <c r="F2194" s="146"/>
      <c r="G2194" s="1"/>
      <c r="H2194" s="161"/>
      <c r="I2194" s="37"/>
      <c r="J2194" s="135"/>
      <c r="K2194" s="112"/>
      <c r="L2194" s="37"/>
      <c r="M2194" s="37"/>
      <c r="N2194" s="37"/>
      <c r="O2194" s="130"/>
      <c r="P2194" s="132"/>
      <c r="Q2194" s="262"/>
      <c r="R2194" s="92"/>
    </row>
    <row r="2195" spans="3:18" x14ac:dyDescent="0.25">
      <c r="C2195" s="264"/>
      <c r="D2195" s="157"/>
      <c r="E2195" s="44"/>
      <c r="F2195" s="146"/>
      <c r="G2195" s="1"/>
      <c r="H2195" s="161"/>
      <c r="I2195" s="37"/>
      <c r="J2195" s="135"/>
      <c r="K2195" s="112"/>
      <c r="L2195" s="37"/>
      <c r="M2195" s="37"/>
      <c r="N2195" s="37"/>
      <c r="O2195" s="130"/>
      <c r="P2195" s="132"/>
      <c r="Q2195" s="262"/>
      <c r="R2195" s="92"/>
    </row>
    <row r="2196" spans="3:18" x14ac:dyDescent="0.25">
      <c r="C2196" s="264"/>
      <c r="D2196" s="157"/>
      <c r="E2196" s="44"/>
      <c r="F2196" s="146"/>
      <c r="G2196" s="1"/>
      <c r="H2196" s="161"/>
      <c r="I2196" s="37"/>
      <c r="J2196" s="135"/>
      <c r="K2196" s="112"/>
      <c r="L2196" s="37"/>
      <c r="M2196" s="37"/>
      <c r="N2196" s="37"/>
      <c r="O2196" s="130"/>
      <c r="P2196" s="132"/>
      <c r="Q2196" s="262"/>
      <c r="R2196" s="92"/>
    </row>
    <row r="2197" spans="3:18" x14ac:dyDescent="0.25">
      <c r="C2197" s="264"/>
      <c r="D2197" s="157"/>
      <c r="E2197" s="44"/>
      <c r="F2197" s="146"/>
      <c r="G2197" s="1"/>
      <c r="H2197" s="161"/>
      <c r="I2197" s="37"/>
      <c r="J2197" s="135"/>
      <c r="K2197" s="112"/>
      <c r="L2197" s="37"/>
      <c r="M2197" s="37"/>
      <c r="N2197" s="37"/>
      <c r="O2197" s="130"/>
      <c r="P2197" s="132"/>
      <c r="Q2197" s="262"/>
      <c r="R2197" s="92"/>
    </row>
    <row r="2198" spans="3:18" x14ac:dyDescent="0.25">
      <c r="C2198" s="264"/>
      <c r="D2198" s="157"/>
      <c r="E2198" s="44"/>
      <c r="F2198" s="146"/>
      <c r="G2198" s="1"/>
      <c r="H2198" s="161"/>
      <c r="I2198" s="37"/>
      <c r="J2198" s="135"/>
      <c r="K2198" s="112"/>
      <c r="L2198" s="37"/>
      <c r="M2198" s="37"/>
      <c r="N2198" s="37"/>
      <c r="O2198" s="130"/>
      <c r="P2198" s="132"/>
      <c r="Q2198" s="262"/>
      <c r="R2198" s="92"/>
    </row>
    <row r="2199" spans="3:18" x14ac:dyDescent="0.25">
      <c r="C2199" s="264"/>
      <c r="D2199" s="157"/>
      <c r="E2199" s="44"/>
      <c r="F2199" s="146"/>
      <c r="G2199" s="1"/>
      <c r="H2199" s="161"/>
      <c r="I2199" s="37"/>
      <c r="J2199" s="135"/>
      <c r="K2199" s="112"/>
      <c r="L2199" s="37"/>
      <c r="M2199" s="37"/>
      <c r="N2199" s="37"/>
      <c r="O2199" s="130"/>
      <c r="P2199" s="132"/>
      <c r="Q2199" s="262"/>
      <c r="R2199" s="92"/>
    </row>
    <row r="2200" spans="3:18" x14ac:dyDescent="0.25">
      <c r="C2200" s="264"/>
      <c r="D2200" s="157"/>
      <c r="E2200" s="44"/>
      <c r="F2200" s="146"/>
      <c r="G2200" s="1"/>
      <c r="H2200" s="161"/>
      <c r="I2200" s="37"/>
      <c r="J2200" s="135"/>
      <c r="K2200" s="112"/>
      <c r="L2200" s="37"/>
      <c r="M2200" s="37"/>
      <c r="N2200" s="37"/>
      <c r="O2200" s="130"/>
      <c r="P2200" s="132"/>
      <c r="Q2200" s="262"/>
      <c r="R2200" s="92"/>
    </row>
    <row r="2201" spans="3:18" x14ac:dyDescent="0.25">
      <c r="C2201" s="264"/>
      <c r="D2201" s="157"/>
      <c r="E2201" s="44"/>
      <c r="F2201" s="146"/>
      <c r="G2201" s="1"/>
      <c r="H2201" s="161"/>
      <c r="I2201" s="37"/>
      <c r="J2201" s="135"/>
      <c r="K2201" s="112"/>
      <c r="L2201" s="37"/>
      <c r="M2201" s="37"/>
      <c r="N2201" s="37"/>
      <c r="O2201" s="130"/>
      <c r="P2201" s="132"/>
      <c r="Q2201" s="262"/>
      <c r="R2201" s="92"/>
    </row>
    <row r="2202" spans="3:18" x14ac:dyDescent="0.25">
      <c r="C2202" s="264"/>
      <c r="D2202" s="157"/>
      <c r="E2202" s="44"/>
      <c r="F2202" s="146"/>
      <c r="G2202" s="1"/>
      <c r="H2202" s="161"/>
      <c r="I2202" s="37"/>
      <c r="J2202" s="135"/>
      <c r="K2202" s="112"/>
      <c r="L2202" s="37"/>
      <c r="M2202" s="37"/>
      <c r="N2202" s="37"/>
      <c r="O2202" s="130"/>
      <c r="P2202" s="132"/>
      <c r="Q2202" s="262"/>
      <c r="R2202" s="92"/>
    </row>
    <row r="2203" spans="3:18" x14ac:dyDescent="0.25">
      <c r="C2203" s="264"/>
      <c r="D2203" s="157"/>
      <c r="E2203" s="44"/>
      <c r="F2203" s="146"/>
      <c r="G2203" s="1"/>
      <c r="H2203" s="161"/>
      <c r="I2203" s="37"/>
      <c r="J2203" s="135"/>
      <c r="K2203" s="112"/>
      <c r="L2203" s="37"/>
      <c r="M2203" s="37"/>
      <c r="N2203" s="37"/>
      <c r="O2203" s="130"/>
      <c r="P2203" s="132"/>
      <c r="Q2203" s="262"/>
      <c r="R2203" s="92"/>
    </row>
    <row r="2204" spans="3:18" x14ac:dyDescent="0.25">
      <c r="C2204" s="264"/>
      <c r="D2204" s="157"/>
      <c r="E2204" s="44"/>
      <c r="F2204" s="146"/>
      <c r="G2204" s="1"/>
      <c r="H2204" s="161"/>
      <c r="I2204" s="37"/>
      <c r="J2204" s="135"/>
      <c r="K2204" s="112"/>
      <c r="L2204" s="37"/>
      <c r="M2204" s="37"/>
      <c r="N2204" s="37"/>
      <c r="O2204" s="130"/>
      <c r="P2204" s="132"/>
      <c r="Q2204" s="262"/>
      <c r="R2204" s="92"/>
    </row>
    <row r="2205" spans="3:18" x14ac:dyDescent="0.25">
      <c r="C2205" s="264"/>
      <c r="D2205" s="157"/>
      <c r="E2205" s="44"/>
      <c r="F2205" s="146"/>
      <c r="G2205" s="1"/>
      <c r="H2205" s="161"/>
      <c r="I2205" s="37"/>
      <c r="J2205" s="135"/>
      <c r="K2205" s="112"/>
      <c r="L2205" s="37"/>
      <c r="M2205" s="37"/>
      <c r="N2205" s="37"/>
      <c r="O2205" s="130"/>
      <c r="P2205" s="132"/>
      <c r="Q2205" s="262"/>
      <c r="R2205" s="92"/>
    </row>
    <row r="2206" spans="3:18" x14ac:dyDescent="0.25">
      <c r="C2206" s="264"/>
      <c r="D2206" s="157"/>
      <c r="E2206" s="44"/>
      <c r="F2206" s="146"/>
      <c r="G2206" s="1"/>
      <c r="H2206" s="161"/>
      <c r="I2206" s="37"/>
      <c r="J2206" s="135"/>
      <c r="K2206" s="112"/>
      <c r="L2206" s="37"/>
      <c r="M2206" s="37"/>
      <c r="N2206" s="37"/>
      <c r="O2206" s="130"/>
      <c r="P2206" s="132"/>
      <c r="Q2206" s="262"/>
      <c r="R2206" s="92"/>
    </row>
    <row r="2207" spans="3:18" x14ac:dyDescent="0.25">
      <c r="C2207" s="264"/>
      <c r="D2207" s="157"/>
      <c r="E2207" s="44"/>
      <c r="F2207" s="146"/>
      <c r="G2207" s="1"/>
      <c r="H2207" s="161"/>
      <c r="I2207" s="37"/>
      <c r="J2207" s="135"/>
      <c r="K2207" s="112"/>
      <c r="L2207" s="37"/>
      <c r="M2207" s="37"/>
      <c r="N2207" s="37"/>
      <c r="O2207" s="130"/>
      <c r="P2207" s="132"/>
      <c r="Q2207" s="262"/>
      <c r="R2207" s="92"/>
    </row>
    <row r="2208" spans="3:18" x14ac:dyDescent="0.25">
      <c r="C2208" s="264"/>
      <c r="D2208" s="157"/>
      <c r="E2208" s="44"/>
      <c r="F2208" s="146"/>
      <c r="G2208" s="1"/>
      <c r="H2208" s="161"/>
      <c r="I2208" s="37"/>
      <c r="J2208" s="135"/>
      <c r="K2208" s="112"/>
      <c r="L2208" s="37"/>
      <c r="M2208" s="37"/>
      <c r="N2208" s="37"/>
      <c r="O2208" s="130"/>
      <c r="P2208" s="132"/>
      <c r="Q2208" s="262"/>
      <c r="R2208" s="92"/>
    </row>
    <row r="2209" spans="3:18" x14ac:dyDescent="0.25">
      <c r="C2209" s="264"/>
      <c r="D2209" s="157"/>
      <c r="E2209" s="44"/>
      <c r="F2209" s="146"/>
      <c r="G2209" s="1"/>
      <c r="H2209" s="161"/>
      <c r="I2209" s="37"/>
      <c r="J2209" s="135"/>
      <c r="K2209" s="112"/>
      <c r="L2209" s="37"/>
      <c r="M2209" s="37"/>
      <c r="N2209" s="37"/>
      <c r="O2209" s="130"/>
      <c r="P2209" s="132"/>
      <c r="Q2209" s="262"/>
      <c r="R2209" s="92"/>
    </row>
    <row r="2210" spans="3:18" x14ac:dyDescent="0.25">
      <c r="C2210" s="264"/>
      <c r="D2210" s="157"/>
      <c r="E2210" s="44"/>
      <c r="F2210" s="146"/>
      <c r="G2210" s="1"/>
      <c r="H2210" s="161"/>
      <c r="I2210" s="37"/>
      <c r="J2210" s="135"/>
      <c r="K2210" s="112"/>
      <c r="L2210" s="37"/>
      <c r="M2210" s="37"/>
      <c r="N2210" s="37"/>
      <c r="O2210" s="130"/>
      <c r="P2210" s="132"/>
      <c r="Q2210" s="262"/>
      <c r="R2210" s="92"/>
    </row>
    <row r="2211" spans="3:18" x14ac:dyDescent="0.25">
      <c r="C2211" s="264"/>
      <c r="D2211" s="157"/>
      <c r="E2211" s="44"/>
      <c r="F2211" s="146"/>
      <c r="G2211" s="1"/>
      <c r="H2211" s="161"/>
      <c r="I2211" s="37"/>
      <c r="J2211" s="135"/>
      <c r="K2211" s="112"/>
      <c r="L2211" s="37"/>
      <c r="M2211" s="37"/>
      <c r="N2211" s="37"/>
      <c r="O2211" s="130"/>
      <c r="P2211" s="132"/>
      <c r="Q2211" s="262"/>
      <c r="R2211" s="92"/>
    </row>
    <row r="2212" spans="3:18" x14ac:dyDescent="0.25">
      <c r="C2212" s="264"/>
      <c r="D2212" s="157"/>
      <c r="E2212" s="44"/>
      <c r="F2212" s="146"/>
      <c r="G2212" s="1"/>
      <c r="H2212" s="161"/>
      <c r="I2212" s="37"/>
      <c r="J2212" s="135"/>
      <c r="K2212" s="112"/>
      <c r="L2212" s="37"/>
      <c r="M2212" s="37"/>
      <c r="N2212" s="37"/>
      <c r="O2212" s="130"/>
      <c r="P2212" s="132"/>
      <c r="Q2212" s="262"/>
      <c r="R2212" s="92"/>
    </row>
    <row r="2213" spans="3:18" x14ac:dyDescent="0.25">
      <c r="C2213" s="264"/>
      <c r="D2213" s="157"/>
      <c r="E2213" s="44"/>
      <c r="F2213" s="146"/>
      <c r="G2213" s="1"/>
      <c r="H2213" s="161"/>
      <c r="I2213" s="37"/>
      <c r="J2213" s="135"/>
      <c r="K2213" s="112"/>
      <c r="L2213" s="37"/>
      <c r="M2213" s="37"/>
      <c r="N2213" s="37"/>
      <c r="O2213" s="130"/>
      <c r="P2213" s="132"/>
      <c r="Q2213" s="262"/>
      <c r="R2213" s="92"/>
    </row>
    <row r="2214" spans="3:18" x14ac:dyDescent="0.25">
      <c r="C2214" s="264"/>
      <c r="D2214" s="157"/>
      <c r="E2214" s="44"/>
      <c r="F2214" s="146"/>
      <c r="G2214" s="1"/>
      <c r="H2214" s="161"/>
      <c r="I2214" s="37"/>
      <c r="J2214" s="135"/>
      <c r="K2214" s="112"/>
      <c r="L2214" s="37"/>
      <c r="M2214" s="37"/>
      <c r="N2214" s="37"/>
      <c r="O2214" s="130"/>
      <c r="P2214" s="132"/>
      <c r="Q2214" s="262"/>
      <c r="R2214" s="92"/>
    </row>
    <row r="2215" spans="3:18" x14ac:dyDescent="0.25">
      <c r="C2215" s="264"/>
      <c r="D2215" s="157"/>
      <c r="E2215" s="44"/>
      <c r="F2215" s="146"/>
      <c r="G2215" s="1"/>
      <c r="H2215" s="161"/>
      <c r="I2215" s="37"/>
      <c r="J2215" s="135"/>
      <c r="K2215" s="112"/>
      <c r="L2215" s="37"/>
      <c r="M2215" s="37"/>
      <c r="N2215" s="37"/>
      <c r="O2215" s="130"/>
      <c r="P2215" s="132"/>
      <c r="Q2215" s="262"/>
      <c r="R2215" s="92"/>
    </row>
    <row r="2216" spans="3:18" x14ac:dyDescent="0.25">
      <c r="C2216" s="264"/>
      <c r="D2216" s="157"/>
      <c r="E2216" s="44"/>
      <c r="F2216" s="146"/>
      <c r="G2216" s="1"/>
      <c r="H2216" s="161"/>
      <c r="I2216" s="37"/>
      <c r="J2216" s="135"/>
      <c r="K2216" s="112"/>
      <c r="L2216" s="37"/>
      <c r="M2216" s="37"/>
      <c r="N2216" s="37"/>
      <c r="O2216" s="130"/>
      <c r="P2216" s="132"/>
      <c r="Q2216" s="262"/>
      <c r="R2216" s="92"/>
    </row>
    <row r="2217" spans="3:18" x14ac:dyDescent="0.25">
      <c r="C2217" s="264"/>
      <c r="D2217" s="157"/>
      <c r="E2217" s="44"/>
      <c r="F2217" s="146"/>
      <c r="G2217" s="1"/>
      <c r="H2217" s="161"/>
      <c r="I2217" s="37"/>
      <c r="J2217" s="135"/>
      <c r="K2217" s="112"/>
      <c r="L2217" s="37"/>
      <c r="M2217" s="37"/>
      <c r="N2217" s="37"/>
      <c r="O2217" s="130"/>
      <c r="P2217" s="132"/>
      <c r="Q2217" s="262"/>
      <c r="R2217" s="92"/>
    </row>
    <row r="2218" spans="3:18" x14ac:dyDescent="0.25">
      <c r="C2218" s="264"/>
      <c r="D2218" s="157"/>
      <c r="E2218" s="44"/>
      <c r="F2218" s="146"/>
      <c r="G2218" s="1"/>
      <c r="H2218" s="161"/>
      <c r="I2218" s="37"/>
      <c r="J2218" s="135"/>
      <c r="K2218" s="112"/>
      <c r="L2218" s="37"/>
      <c r="M2218" s="37"/>
      <c r="N2218" s="37"/>
      <c r="O2218" s="130"/>
      <c r="P2218" s="132"/>
      <c r="Q2218" s="262"/>
      <c r="R2218" s="92"/>
    </row>
    <row r="2219" spans="3:18" x14ac:dyDescent="0.25">
      <c r="C2219" s="264"/>
      <c r="D2219" s="157"/>
      <c r="E2219" s="44"/>
      <c r="F2219" s="146"/>
      <c r="G2219" s="1"/>
      <c r="H2219" s="161"/>
      <c r="I2219" s="37"/>
      <c r="J2219" s="135"/>
      <c r="K2219" s="112"/>
      <c r="L2219" s="37"/>
      <c r="M2219" s="37"/>
      <c r="N2219" s="37"/>
      <c r="O2219" s="130"/>
      <c r="P2219" s="132"/>
      <c r="Q2219" s="262"/>
      <c r="R2219" s="92"/>
    </row>
    <row r="2220" spans="3:18" x14ac:dyDescent="0.25">
      <c r="C2220" s="264"/>
      <c r="D2220" s="157"/>
      <c r="E2220" s="44"/>
      <c r="F2220" s="146"/>
      <c r="G2220" s="1"/>
      <c r="H2220" s="161"/>
      <c r="I2220" s="37"/>
      <c r="J2220" s="135"/>
      <c r="K2220" s="112"/>
      <c r="L2220" s="37"/>
      <c r="M2220" s="37"/>
      <c r="N2220" s="37"/>
      <c r="O2220" s="130"/>
      <c r="P2220" s="132"/>
      <c r="Q2220" s="262"/>
      <c r="R2220" s="92"/>
    </row>
    <row r="2221" spans="3:18" x14ac:dyDescent="0.25">
      <c r="C2221" s="264"/>
      <c r="D2221" s="157"/>
      <c r="E2221" s="44"/>
      <c r="F2221" s="146"/>
      <c r="G2221" s="1"/>
      <c r="H2221" s="161"/>
      <c r="I2221" s="37"/>
      <c r="J2221" s="135"/>
      <c r="K2221" s="112"/>
      <c r="L2221" s="37"/>
      <c r="M2221" s="37"/>
      <c r="N2221" s="37"/>
      <c r="O2221" s="130"/>
      <c r="P2221" s="132"/>
      <c r="Q2221" s="262"/>
      <c r="R2221" s="92"/>
    </row>
    <row r="2222" spans="3:18" x14ac:dyDescent="0.25">
      <c r="C2222" s="264"/>
      <c r="D2222" s="157"/>
      <c r="E2222" s="44"/>
      <c r="F2222" s="146"/>
      <c r="G2222" s="1"/>
      <c r="H2222" s="161"/>
      <c r="I2222" s="37"/>
      <c r="J2222" s="135"/>
      <c r="K2222" s="112"/>
      <c r="L2222" s="37"/>
      <c r="M2222" s="37"/>
      <c r="N2222" s="37"/>
      <c r="O2222" s="130"/>
      <c r="P2222" s="132"/>
      <c r="Q2222" s="262"/>
      <c r="R2222" s="92"/>
    </row>
    <row r="2223" spans="3:18" x14ac:dyDescent="0.25">
      <c r="C2223" s="264"/>
      <c r="D2223" s="157"/>
      <c r="E2223" s="44"/>
      <c r="F2223" s="146"/>
      <c r="G2223" s="1"/>
      <c r="H2223" s="161"/>
      <c r="I2223" s="37"/>
      <c r="J2223" s="135"/>
      <c r="K2223" s="112"/>
      <c r="L2223" s="37"/>
      <c r="M2223" s="37"/>
      <c r="N2223" s="37"/>
      <c r="O2223" s="130"/>
      <c r="P2223" s="132"/>
      <c r="Q2223" s="262"/>
      <c r="R2223" s="92"/>
    </row>
    <row r="2224" spans="3:18" x14ac:dyDescent="0.25">
      <c r="C2224" s="264"/>
      <c r="D2224" s="157"/>
      <c r="E2224" s="44"/>
      <c r="F2224" s="146"/>
      <c r="G2224" s="1"/>
      <c r="H2224" s="161"/>
      <c r="I2224" s="37"/>
      <c r="J2224" s="135"/>
      <c r="K2224" s="112"/>
      <c r="L2224" s="37"/>
      <c r="M2224" s="37"/>
      <c r="N2224" s="37"/>
      <c r="O2224" s="130"/>
      <c r="P2224" s="132"/>
      <c r="Q2224" s="262"/>
      <c r="R2224" s="92"/>
    </row>
    <row r="2225" spans="3:18" x14ac:dyDescent="0.25">
      <c r="C2225" s="264"/>
      <c r="D2225" s="157"/>
      <c r="E2225" s="44"/>
      <c r="F2225" s="146"/>
      <c r="G2225" s="1"/>
      <c r="H2225" s="161"/>
      <c r="I2225" s="37"/>
      <c r="J2225" s="135"/>
      <c r="K2225" s="112"/>
      <c r="L2225" s="37"/>
      <c r="M2225" s="37"/>
      <c r="N2225" s="37"/>
      <c r="O2225" s="130"/>
      <c r="P2225" s="132"/>
      <c r="Q2225" s="262"/>
      <c r="R2225" s="92"/>
    </row>
    <row r="2226" spans="3:18" x14ac:dyDescent="0.25">
      <c r="C2226" s="264"/>
      <c r="D2226" s="157"/>
      <c r="E2226" s="44"/>
      <c r="F2226" s="146"/>
      <c r="G2226" s="1"/>
      <c r="H2226" s="161"/>
      <c r="I2226" s="37"/>
      <c r="J2226" s="135"/>
      <c r="K2226" s="112"/>
      <c r="L2226" s="37"/>
      <c r="M2226" s="37"/>
      <c r="N2226" s="37"/>
      <c r="O2226" s="130"/>
      <c r="P2226" s="132"/>
      <c r="Q2226" s="262"/>
      <c r="R2226" s="92"/>
    </row>
    <row r="2227" spans="3:18" x14ac:dyDescent="0.25">
      <c r="C2227" s="264"/>
      <c r="D2227" s="157"/>
      <c r="E2227" s="44"/>
      <c r="F2227" s="146"/>
      <c r="G2227" s="1"/>
      <c r="H2227" s="161"/>
      <c r="I2227" s="37"/>
      <c r="J2227" s="135"/>
      <c r="K2227" s="112"/>
      <c r="L2227" s="37"/>
      <c r="M2227" s="37"/>
      <c r="N2227" s="37"/>
      <c r="O2227" s="130"/>
      <c r="P2227" s="132"/>
      <c r="Q2227" s="262"/>
      <c r="R2227" s="92"/>
    </row>
    <row r="2228" spans="3:18" x14ac:dyDescent="0.25">
      <c r="C2228" s="264"/>
      <c r="D2228" s="157"/>
      <c r="E2228" s="44"/>
      <c r="F2228" s="146"/>
      <c r="G2228" s="1"/>
      <c r="H2228" s="161"/>
      <c r="I2228" s="37"/>
      <c r="J2228" s="135"/>
      <c r="K2228" s="112"/>
      <c r="L2228" s="37"/>
      <c r="M2228" s="37"/>
      <c r="N2228" s="37"/>
      <c r="O2228" s="130"/>
      <c r="P2228" s="132"/>
      <c r="Q2228" s="262"/>
      <c r="R2228" s="92"/>
    </row>
    <row r="2229" spans="3:18" x14ac:dyDescent="0.25">
      <c r="C2229" s="264"/>
      <c r="D2229" s="157"/>
      <c r="E2229" s="44"/>
      <c r="F2229" s="146"/>
      <c r="G2229" s="1"/>
      <c r="H2229" s="161"/>
      <c r="I2229" s="37"/>
      <c r="J2229" s="135"/>
      <c r="K2229" s="112"/>
      <c r="L2229" s="37"/>
      <c r="M2229" s="37"/>
      <c r="N2229" s="37"/>
      <c r="O2229" s="130"/>
      <c r="P2229" s="132"/>
      <c r="Q2229" s="262"/>
      <c r="R2229" s="92"/>
    </row>
    <row r="2230" spans="3:18" x14ac:dyDescent="0.25">
      <c r="C2230" s="264"/>
      <c r="D2230" s="157"/>
      <c r="E2230" s="44"/>
      <c r="F2230" s="146"/>
      <c r="G2230" s="1"/>
      <c r="H2230" s="161"/>
      <c r="I2230" s="37"/>
      <c r="J2230" s="135"/>
      <c r="K2230" s="112"/>
      <c r="L2230" s="37"/>
      <c r="M2230" s="37"/>
      <c r="N2230" s="37"/>
      <c r="O2230" s="130"/>
      <c r="P2230" s="132"/>
      <c r="Q2230" s="262"/>
      <c r="R2230" s="92"/>
    </row>
    <row r="2231" spans="3:18" x14ac:dyDescent="0.25">
      <c r="C2231" s="264"/>
      <c r="D2231" s="157"/>
      <c r="E2231" s="44"/>
      <c r="F2231" s="146"/>
      <c r="G2231" s="1"/>
      <c r="H2231" s="161"/>
      <c r="I2231" s="37"/>
      <c r="J2231" s="135"/>
      <c r="K2231" s="112"/>
      <c r="L2231" s="37"/>
      <c r="M2231" s="37"/>
      <c r="N2231" s="37"/>
      <c r="O2231" s="130"/>
      <c r="P2231" s="132"/>
      <c r="Q2231" s="262"/>
      <c r="R2231" s="92"/>
    </row>
    <row r="2232" spans="3:18" x14ac:dyDescent="0.25">
      <c r="C2232" s="264"/>
      <c r="D2232" s="157"/>
      <c r="E2232" s="44"/>
      <c r="F2232" s="146"/>
      <c r="G2232" s="1"/>
      <c r="H2232" s="161"/>
      <c r="I2232" s="37"/>
      <c r="J2232" s="135"/>
      <c r="K2232" s="112"/>
      <c r="L2232" s="37"/>
      <c r="M2232" s="37"/>
      <c r="N2232" s="37"/>
      <c r="O2232" s="130"/>
      <c r="P2232" s="132"/>
      <c r="Q2232" s="262"/>
      <c r="R2232" s="92"/>
    </row>
    <row r="2233" spans="3:18" x14ac:dyDescent="0.25">
      <c r="C2233" s="264"/>
      <c r="D2233" s="157"/>
      <c r="E2233" s="44"/>
      <c r="F2233" s="146"/>
      <c r="G2233" s="1"/>
      <c r="H2233" s="161"/>
      <c r="I2233" s="37"/>
      <c r="J2233" s="135"/>
      <c r="K2233" s="112"/>
      <c r="L2233" s="37"/>
      <c r="M2233" s="37"/>
      <c r="N2233" s="37"/>
      <c r="O2233" s="130"/>
      <c r="P2233" s="132"/>
      <c r="Q2233" s="262"/>
      <c r="R2233" s="92"/>
    </row>
    <row r="2234" spans="3:18" x14ac:dyDescent="0.25">
      <c r="C2234" s="264"/>
      <c r="D2234" s="157"/>
      <c r="E2234" s="44"/>
      <c r="F2234" s="146"/>
      <c r="G2234" s="1"/>
      <c r="H2234" s="161"/>
      <c r="I2234" s="37"/>
      <c r="J2234" s="135"/>
      <c r="K2234" s="112"/>
      <c r="L2234" s="37"/>
      <c r="M2234" s="37"/>
      <c r="N2234" s="37"/>
      <c r="O2234" s="130"/>
      <c r="P2234" s="132"/>
      <c r="Q2234" s="262"/>
      <c r="R2234" s="92"/>
    </row>
    <row r="2235" spans="3:18" x14ac:dyDescent="0.25">
      <c r="C2235" s="264"/>
      <c r="D2235" s="157"/>
      <c r="E2235" s="44"/>
      <c r="F2235" s="146"/>
      <c r="G2235" s="1"/>
      <c r="H2235" s="161"/>
      <c r="I2235" s="37"/>
      <c r="J2235" s="135"/>
      <c r="K2235" s="112"/>
      <c r="L2235" s="37"/>
      <c r="M2235" s="37"/>
      <c r="N2235" s="37"/>
      <c r="O2235" s="130"/>
      <c r="P2235" s="132"/>
      <c r="Q2235" s="262"/>
      <c r="R2235" s="92"/>
    </row>
    <row r="2236" spans="3:18" x14ac:dyDescent="0.25">
      <c r="C2236" s="264"/>
      <c r="D2236" s="157"/>
      <c r="E2236" s="44"/>
      <c r="F2236" s="146"/>
      <c r="G2236" s="1"/>
      <c r="H2236" s="161"/>
      <c r="I2236" s="37"/>
      <c r="J2236" s="135"/>
      <c r="K2236" s="112"/>
      <c r="L2236" s="37"/>
      <c r="M2236" s="37"/>
      <c r="N2236" s="37"/>
      <c r="O2236" s="130"/>
      <c r="P2236" s="132"/>
      <c r="Q2236" s="262"/>
      <c r="R2236" s="92"/>
    </row>
    <row r="2237" spans="3:18" x14ac:dyDescent="0.25">
      <c r="C2237" s="264"/>
      <c r="D2237" s="157"/>
      <c r="E2237" s="44"/>
      <c r="F2237" s="146"/>
      <c r="G2237" s="1"/>
      <c r="H2237" s="161"/>
      <c r="I2237" s="37"/>
      <c r="J2237" s="135"/>
      <c r="K2237" s="112"/>
      <c r="L2237" s="37"/>
      <c r="M2237" s="37"/>
      <c r="N2237" s="37"/>
      <c r="O2237" s="130"/>
      <c r="P2237" s="132"/>
      <c r="Q2237" s="262"/>
      <c r="R2237" s="92"/>
    </row>
    <row r="2238" spans="3:18" x14ac:dyDescent="0.25">
      <c r="C2238" s="264"/>
      <c r="D2238" s="157"/>
      <c r="E2238" s="44"/>
      <c r="F2238" s="146"/>
      <c r="G2238" s="1"/>
      <c r="H2238" s="161"/>
      <c r="I2238" s="37"/>
      <c r="J2238" s="135"/>
      <c r="K2238" s="112"/>
      <c r="L2238" s="37"/>
      <c r="M2238" s="37"/>
      <c r="N2238" s="37"/>
      <c r="O2238" s="130"/>
      <c r="P2238" s="132"/>
      <c r="Q2238" s="262"/>
      <c r="R2238" s="92"/>
    </row>
    <row r="2239" spans="3:18" x14ac:dyDescent="0.25">
      <c r="C2239" s="264"/>
      <c r="D2239" s="157"/>
      <c r="E2239" s="44"/>
      <c r="F2239" s="146"/>
      <c r="G2239" s="1"/>
      <c r="H2239" s="161"/>
      <c r="I2239" s="37"/>
      <c r="J2239" s="135"/>
      <c r="K2239" s="112"/>
      <c r="L2239" s="37"/>
      <c r="M2239" s="37"/>
      <c r="N2239" s="37"/>
      <c r="O2239" s="130"/>
      <c r="P2239" s="132"/>
      <c r="Q2239" s="262"/>
      <c r="R2239" s="92"/>
    </row>
    <row r="2240" spans="3:18" x14ac:dyDescent="0.25">
      <c r="C2240" s="264"/>
      <c r="D2240" s="157"/>
      <c r="E2240" s="44"/>
      <c r="F2240" s="146"/>
      <c r="G2240" s="1"/>
      <c r="H2240" s="161"/>
      <c r="I2240" s="37"/>
      <c r="J2240" s="135"/>
      <c r="K2240" s="112"/>
      <c r="L2240" s="37"/>
      <c r="M2240" s="37"/>
      <c r="N2240" s="37"/>
      <c r="O2240" s="130"/>
      <c r="P2240" s="132"/>
      <c r="Q2240" s="262"/>
      <c r="R2240" s="92"/>
    </row>
    <row r="2241" spans="3:18" x14ac:dyDescent="0.25">
      <c r="C2241" s="264"/>
      <c r="D2241" s="157"/>
      <c r="E2241" s="44"/>
      <c r="F2241" s="146"/>
      <c r="G2241" s="1"/>
      <c r="H2241" s="161"/>
      <c r="I2241" s="37"/>
      <c r="J2241" s="135"/>
      <c r="K2241" s="112"/>
      <c r="L2241" s="37"/>
      <c r="M2241" s="37"/>
      <c r="N2241" s="37"/>
      <c r="O2241" s="130"/>
      <c r="P2241" s="132"/>
      <c r="Q2241" s="262"/>
      <c r="R2241" s="92"/>
    </row>
    <row r="2242" spans="3:18" x14ac:dyDescent="0.25">
      <c r="C2242" s="264"/>
      <c r="D2242" s="157"/>
      <c r="E2242" s="44"/>
      <c r="F2242" s="146"/>
      <c r="G2242" s="1"/>
      <c r="H2242" s="161"/>
      <c r="I2242" s="37"/>
      <c r="J2242" s="135"/>
      <c r="K2242" s="112"/>
      <c r="L2242" s="37"/>
      <c r="M2242" s="37"/>
      <c r="N2242" s="37"/>
      <c r="O2242" s="130"/>
      <c r="P2242" s="132"/>
      <c r="Q2242" s="262"/>
      <c r="R2242" s="92"/>
    </row>
    <row r="2243" spans="3:18" x14ac:dyDescent="0.25">
      <c r="C2243" s="264"/>
      <c r="D2243" s="157"/>
      <c r="E2243" s="44"/>
      <c r="F2243" s="146"/>
      <c r="G2243" s="1"/>
      <c r="H2243" s="161"/>
      <c r="I2243" s="37"/>
      <c r="J2243" s="135"/>
      <c r="K2243" s="112"/>
      <c r="L2243" s="37"/>
      <c r="M2243" s="37"/>
      <c r="N2243" s="37"/>
      <c r="O2243" s="130"/>
      <c r="P2243" s="132"/>
      <c r="Q2243" s="262"/>
      <c r="R2243" s="92"/>
    </row>
    <row r="2244" spans="3:18" x14ac:dyDescent="0.25">
      <c r="C2244" s="264"/>
      <c r="D2244" s="157"/>
      <c r="E2244" s="44"/>
      <c r="F2244" s="146"/>
      <c r="G2244" s="1"/>
      <c r="H2244" s="161"/>
      <c r="I2244" s="37"/>
      <c r="J2244" s="135"/>
      <c r="K2244" s="112"/>
      <c r="L2244" s="37"/>
      <c r="M2244" s="37"/>
      <c r="N2244" s="37"/>
      <c r="O2244" s="130"/>
      <c r="P2244" s="132"/>
      <c r="Q2244" s="262"/>
      <c r="R2244" s="92"/>
    </row>
    <row r="2245" spans="3:18" x14ac:dyDescent="0.25">
      <c r="C2245" s="264"/>
      <c r="D2245" s="157"/>
      <c r="E2245" s="44"/>
      <c r="F2245" s="146"/>
      <c r="G2245" s="1"/>
      <c r="H2245" s="161"/>
      <c r="I2245" s="37"/>
      <c r="J2245" s="135"/>
      <c r="K2245" s="112"/>
      <c r="L2245" s="37"/>
      <c r="M2245" s="37"/>
      <c r="N2245" s="37"/>
      <c r="O2245" s="130"/>
      <c r="P2245" s="132"/>
      <c r="Q2245" s="262"/>
      <c r="R2245" s="92"/>
    </row>
    <row r="2246" spans="3:18" x14ac:dyDescent="0.25">
      <c r="C2246" s="264"/>
      <c r="D2246" s="157"/>
      <c r="E2246" s="44"/>
      <c r="F2246" s="146"/>
      <c r="G2246" s="1"/>
      <c r="H2246" s="161"/>
      <c r="I2246" s="37"/>
      <c r="J2246" s="135"/>
      <c r="K2246" s="112"/>
      <c r="L2246" s="37"/>
      <c r="M2246" s="37"/>
      <c r="N2246" s="37"/>
      <c r="O2246" s="130"/>
      <c r="P2246" s="132"/>
      <c r="Q2246" s="262"/>
      <c r="R2246" s="92"/>
    </row>
    <row r="2247" spans="3:18" x14ac:dyDescent="0.25">
      <c r="C2247" s="264"/>
      <c r="D2247" s="157"/>
      <c r="E2247" s="44"/>
      <c r="F2247" s="146"/>
      <c r="G2247" s="1"/>
      <c r="H2247" s="161"/>
      <c r="I2247" s="37"/>
      <c r="J2247" s="135"/>
      <c r="K2247" s="112"/>
      <c r="L2247" s="37"/>
      <c r="M2247" s="37"/>
      <c r="N2247" s="37"/>
      <c r="O2247" s="130"/>
      <c r="P2247" s="132"/>
      <c r="Q2247" s="262"/>
      <c r="R2247" s="92"/>
    </row>
    <row r="2248" spans="3:18" x14ac:dyDescent="0.25">
      <c r="C2248" s="264"/>
      <c r="D2248" s="157"/>
      <c r="E2248" s="44"/>
      <c r="F2248" s="146"/>
      <c r="G2248" s="1"/>
      <c r="H2248" s="161"/>
      <c r="I2248" s="37"/>
      <c r="J2248" s="135"/>
      <c r="K2248" s="112"/>
      <c r="L2248" s="37"/>
      <c r="M2248" s="37"/>
      <c r="N2248" s="37"/>
      <c r="O2248" s="130"/>
      <c r="P2248" s="132"/>
      <c r="Q2248" s="262"/>
      <c r="R2248" s="92"/>
    </row>
    <row r="2249" spans="3:18" x14ac:dyDescent="0.25">
      <c r="C2249" s="264"/>
      <c r="D2249" s="157"/>
      <c r="E2249" s="44"/>
      <c r="F2249" s="146"/>
      <c r="G2249" s="1"/>
      <c r="H2249" s="161"/>
      <c r="I2249" s="37"/>
      <c r="J2249" s="135"/>
      <c r="K2249" s="112"/>
      <c r="L2249" s="37"/>
      <c r="M2249" s="37"/>
      <c r="N2249" s="37"/>
      <c r="O2249" s="130"/>
      <c r="P2249" s="132"/>
      <c r="Q2249" s="262"/>
      <c r="R2249" s="92"/>
    </row>
    <row r="2250" spans="3:18" x14ac:dyDescent="0.25">
      <c r="C2250" s="264"/>
      <c r="D2250" s="157"/>
      <c r="E2250" s="44"/>
      <c r="F2250" s="146"/>
      <c r="G2250" s="1"/>
      <c r="H2250" s="161"/>
      <c r="I2250" s="37"/>
      <c r="J2250" s="135"/>
      <c r="K2250" s="112"/>
      <c r="L2250" s="37"/>
      <c r="M2250" s="37"/>
      <c r="N2250" s="37"/>
      <c r="O2250" s="130"/>
      <c r="P2250" s="132"/>
      <c r="Q2250" s="262"/>
      <c r="R2250" s="92"/>
    </row>
    <row r="2251" spans="3:18" x14ac:dyDescent="0.25">
      <c r="C2251" s="264"/>
      <c r="D2251" s="157"/>
      <c r="E2251" s="44"/>
      <c r="F2251" s="146"/>
      <c r="G2251" s="1"/>
      <c r="H2251" s="161"/>
      <c r="I2251" s="37"/>
      <c r="J2251" s="135"/>
      <c r="K2251" s="112"/>
      <c r="L2251" s="37"/>
      <c r="M2251" s="37"/>
      <c r="N2251" s="37"/>
      <c r="O2251" s="130"/>
      <c r="P2251" s="132"/>
      <c r="Q2251" s="262"/>
      <c r="R2251" s="92"/>
    </row>
    <row r="2252" spans="3:18" x14ac:dyDescent="0.25">
      <c r="C2252" s="264"/>
      <c r="D2252" s="157"/>
      <c r="E2252" s="44"/>
      <c r="F2252" s="146"/>
      <c r="G2252" s="1"/>
      <c r="H2252" s="161"/>
      <c r="I2252" s="37"/>
      <c r="J2252" s="135"/>
      <c r="K2252" s="112"/>
      <c r="L2252" s="37"/>
      <c r="M2252" s="37"/>
      <c r="N2252" s="37"/>
      <c r="O2252" s="130"/>
      <c r="P2252" s="132"/>
      <c r="Q2252" s="262"/>
      <c r="R2252" s="92"/>
    </row>
    <row r="2253" spans="3:18" x14ac:dyDescent="0.25">
      <c r="C2253" s="264"/>
      <c r="D2253" s="157"/>
      <c r="E2253" s="44"/>
      <c r="F2253" s="146"/>
      <c r="G2253" s="1"/>
      <c r="H2253" s="161"/>
      <c r="I2253" s="37"/>
      <c r="J2253" s="135"/>
      <c r="K2253" s="112"/>
      <c r="L2253" s="37"/>
      <c r="M2253" s="37"/>
      <c r="N2253" s="37"/>
      <c r="O2253" s="130"/>
      <c r="P2253" s="132"/>
      <c r="Q2253" s="262"/>
      <c r="R2253" s="92"/>
    </row>
    <row r="2254" spans="3:18" x14ac:dyDescent="0.25">
      <c r="C2254" s="264"/>
      <c r="D2254" s="157"/>
      <c r="E2254" s="44"/>
      <c r="F2254" s="146"/>
      <c r="G2254" s="1"/>
      <c r="H2254" s="161"/>
      <c r="I2254" s="37"/>
      <c r="J2254" s="135"/>
      <c r="K2254" s="112"/>
      <c r="L2254" s="37"/>
      <c r="M2254" s="37"/>
      <c r="N2254" s="37"/>
      <c r="O2254" s="130"/>
      <c r="P2254" s="132"/>
      <c r="Q2254" s="262"/>
      <c r="R2254" s="92"/>
    </row>
    <row r="2255" spans="3:18" x14ac:dyDescent="0.25">
      <c r="C2255" s="264"/>
      <c r="D2255" s="157"/>
      <c r="E2255" s="44"/>
      <c r="F2255" s="146"/>
      <c r="G2255" s="1"/>
      <c r="H2255" s="161"/>
      <c r="I2255" s="37"/>
      <c r="J2255" s="135"/>
      <c r="K2255" s="112"/>
      <c r="L2255" s="37"/>
      <c r="M2255" s="37"/>
      <c r="N2255" s="37"/>
      <c r="O2255" s="130"/>
      <c r="P2255" s="132"/>
      <c r="Q2255" s="262"/>
      <c r="R2255" s="92"/>
    </row>
    <row r="2256" spans="3:18" x14ac:dyDescent="0.25">
      <c r="C2256" s="264"/>
      <c r="D2256" s="157"/>
      <c r="E2256" s="44"/>
      <c r="F2256" s="146"/>
      <c r="G2256" s="1"/>
      <c r="H2256" s="161"/>
      <c r="I2256" s="37"/>
      <c r="J2256" s="135"/>
      <c r="K2256" s="112"/>
      <c r="L2256" s="37"/>
      <c r="M2256" s="37"/>
      <c r="N2256" s="37"/>
      <c r="O2256" s="130"/>
      <c r="P2256" s="132"/>
      <c r="Q2256" s="262"/>
      <c r="R2256" s="92"/>
    </row>
    <row r="2257" spans="3:18" x14ac:dyDescent="0.25">
      <c r="C2257" s="264"/>
      <c r="D2257" s="157"/>
      <c r="E2257" s="44"/>
      <c r="F2257" s="146"/>
      <c r="G2257" s="1"/>
      <c r="H2257" s="161"/>
      <c r="I2257" s="37"/>
      <c r="J2257" s="135"/>
      <c r="K2257" s="112"/>
      <c r="L2257" s="37"/>
      <c r="M2257" s="37"/>
      <c r="N2257" s="37"/>
      <c r="O2257" s="130"/>
      <c r="P2257" s="132"/>
      <c r="Q2257" s="262"/>
      <c r="R2257" s="92"/>
    </row>
    <row r="2258" spans="3:18" x14ac:dyDescent="0.25">
      <c r="C2258" s="264"/>
      <c r="D2258" s="157"/>
      <c r="E2258" s="44"/>
      <c r="F2258" s="146"/>
      <c r="G2258" s="1"/>
      <c r="H2258" s="161"/>
      <c r="I2258" s="37"/>
      <c r="J2258" s="135"/>
      <c r="K2258" s="112"/>
      <c r="L2258" s="37"/>
      <c r="M2258" s="37"/>
      <c r="N2258" s="37"/>
      <c r="O2258" s="130"/>
      <c r="P2258" s="132"/>
      <c r="Q2258" s="262"/>
      <c r="R2258" s="92"/>
    </row>
    <row r="2259" spans="3:18" x14ac:dyDescent="0.25">
      <c r="C2259" s="264"/>
      <c r="D2259" s="157"/>
      <c r="E2259" s="44"/>
      <c r="F2259" s="146"/>
      <c r="G2259" s="1"/>
      <c r="H2259" s="161"/>
      <c r="I2259" s="37"/>
      <c r="J2259" s="135"/>
      <c r="K2259" s="112"/>
      <c r="L2259" s="37"/>
      <c r="M2259" s="37"/>
      <c r="N2259" s="37"/>
      <c r="O2259" s="130"/>
      <c r="P2259" s="132"/>
      <c r="Q2259" s="262"/>
      <c r="R2259" s="92"/>
    </row>
    <row r="2260" spans="3:18" x14ac:dyDescent="0.25">
      <c r="C2260" s="264"/>
      <c r="D2260" s="157"/>
      <c r="E2260" s="44"/>
      <c r="F2260" s="146"/>
      <c r="G2260" s="1"/>
      <c r="H2260" s="161"/>
      <c r="I2260" s="37"/>
      <c r="J2260" s="135"/>
      <c r="K2260" s="112"/>
      <c r="L2260" s="37"/>
      <c r="M2260" s="37"/>
      <c r="N2260" s="37"/>
      <c r="O2260" s="130"/>
      <c r="P2260" s="132"/>
      <c r="Q2260" s="262"/>
      <c r="R2260" s="92"/>
    </row>
    <row r="2261" spans="3:18" x14ac:dyDescent="0.25">
      <c r="C2261" s="264"/>
      <c r="D2261" s="157"/>
      <c r="E2261" s="44"/>
      <c r="F2261" s="146"/>
      <c r="G2261" s="1"/>
      <c r="H2261" s="161"/>
      <c r="I2261" s="37"/>
      <c r="J2261" s="135"/>
      <c r="K2261" s="112"/>
      <c r="L2261" s="37"/>
      <c r="M2261" s="37"/>
      <c r="N2261" s="37"/>
      <c r="O2261" s="130"/>
      <c r="P2261" s="132"/>
      <c r="Q2261" s="262"/>
      <c r="R2261" s="92"/>
    </row>
    <row r="2262" spans="3:18" x14ac:dyDescent="0.25">
      <c r="C2262" s="264"/>
      <c r="D2262" s="157"/>
      <c r="E2262" s="44"/>
      <c r="F2262" s="146"/>
      <c r="G2262" s="1"/>
      <c r="H2262" s="161"/>
      <c r="I2262" s="37"/>
      <c r="J2262" s="135"/>
      <c r="K2262" s="112"/>
      <c r="L2262" s="37"/>
      <c r="M2262" s="37"/>
      <c r="N2262" s="37"/>
      <c r="O2262" s="130"/>
      <c r="P2262" s="132"/>
      <c r="Q2262" s="262"/>
      <c r="R2262" s="92"/>
    </row>
    <row r="2263" spans="3:18" x14ac:dyDescent="0.25">
      <c r="C2263" s="264"/>
      <c r="D2263" s="157"/>
      <c r="E2263" s="44"/>
      <c r="F2263" s="146"/>
      <c r="G2263" s="1"/>
      <c r="H2263" s="161"/>
      <c r="I2263" s="37"/>
      <c r="J2263" s="135"/>
      <c r="K2263" s="112"/>
      <c r="L2263" s="37"/>
      <c r="M2263" s="37"/>
      <c r="N2263" s="37"/>
      <c r="O2263" s="130"/>
      <c r="P2263" s="132"/>
      <c r="Q2263" s="262"/>
      <c r="R2263" s="92"/>
    </row>
    <row r="2264" spans="3:18" x14ac:dyDescent="0.25">
      <c r="C2264" s="264"/>
      <c r="D2264" s="157"/>
      <c r="E2264" s="44"/>
      <c r="F2264" s="146"/>
      <c r="G2264" s="1"/>
      <c r="H2264" s="161"/>
      <c r="I2264" s="37"/>
      <c r="J2264" s="135"/>
      <c r="K2264" s="112"/>
      <c r="L2264" s="37"/>
      <c r="M2264" s="37"/>
      <c r="N2264" s="37"/>
      <c r="O2264" s="130"/>
      <c r="P2264" s="132"/>
      <c r="Q2264" s="262"/>
      <c r="R2264" s="92"/>
    </row>
    <row r="2265" spans="3:18" x14ac:dyDescent="0.25">
      <c r="C2265" s="264"/>
      <c r="D2265" s="157"/>
      <c r="E2265" s="44"/>
      <c r="F2265" s="146"/>
      <c r="G2265" s="1"/>
      <c r="H2265" s="161"/>
      <c r="I2265" s="37"/>
      <c r="J2265" s="135"/>
      <c r="K2265" s="112"/>
      <c r="L2265" s="37"/>
      <c r="M2265" s="37"/>
      <c r="N2265" s="37"/>
      <c r="O2265" s="130"/>
      <c r="P2265" s="132"/>
      <c r="Q2265" s="262"/>
      <c r="R2265" s="92"/>
    </row>
    <row r="2266" spans="3:18" x14ac:dyDescent="0.25">
      <c r="C2266" s="264"/>
      <c r="D2266" s="157"/>
      <c r="E2266" s="44"/>
      <c r="F2266" s="146"/>
      <c r="G2266" s="1"/>
      <c r="H2266" s="161"/>
      <c r="I2266" s="37"/>
      <c r="J2266" s="135"/>
      <c r="K2266" s="112"/>
      <c r="L2266" s="37"/>
      <c r="M2266" s="37"/>
      <c r="N2266" s="37"/>
      <c r="O2266" s="130"/>
      <c r="P2266" s="132"/>
      <c r="Q2266" s="262"/>
      <c r="R2266" s="92"/>
    </row>
    <row r="2267" spans="3:18" x14ac:dyDescent="0.25">
      <c r="C2267" s="264"/>
      <c r="D2267" s="157"/>
      <c r="E2267" s="44"/>
      <c r="F2267" s="146"/>
      <c r="G2267" s="1"/>
      <c r="H2267" s="161"/>
      <c r="I2267" s="37"/>
      <c r="J2267" s="135"/>
      <c r="K2267" s="112"/>
      <c r="L2267" s="37"/>
      <c r="M2267" s="37"/>
      <c r="N2267" s="37"/>
      <c r="O2267" s="130"/>
      <c r="P2267" s="132"/>
      <c r="Q2267" s="262"/>
      <c r="R2267" s="92"/>
    </row>
    <row r="2268" spans="3:18" x14ac:dyDescent="0.25">
      <c r="C2268" s="264"/>
      <c r="D2268" s="157"/>
      <c r="E2268" s="44"/>
      <c r="F2268" s="146"/>
      <c r="G2268" s="1"/>
      <c r="H2268" s="161"/>
      <c r="I2268" s="37"/>
      <c r="J2268" s="135"/>
      <c r="K2268" s="112"/>
      <c r="L2268" s="37"/>
      <c r="M2268" s="37"/>
      <c r="N2268" s="37"/>
      <c r="O2268" s="130"/>
      <c r="P2268" s="132"/>
      <c r="Q2268" s="262"/>
      <c r="R2268" s="92"/>
    </row>
    <row r="2269" spans="3:18" x14ac:dyDescent="0.25">
      <c r="C2269" s="264"/>
      <c r="D2269" s="157"/>
      <c r="E2269" s="44"/>
      <c r="F2269" s="146"/>
      <c r="G2269" s="1"/>
      <c r="H2269" s="161"/>
      <c r="I2269" s="37"/>
      <c r="J2269" s="135"/>
      <c r="K2269" s="112"/>
      <c r="L2269" s="37"/>
      <c r="M2269" s="37"/>
      <c r="N2269" s="37"/>
      <c r="O2269" s="130"/>
      <c r="P2269" s="132"/>
      <c r="Q2269" s="262"/>
      <c r="R2269" s="92"/>
    </row>
    <row r="2270" spans="3:18" x14ac:dyDescent="0.25">
      <c r="C2270" s="264"/>
      <c r="D2270" s="157"/>
      <c r="E2270" s="44"/>
      <c r="F2270" s="146"/>
      <c r="G2270" s="1"/>
      <c r="H2270" s="161"/>
      <c r="I2270" s="37"/>
      <c r="J2270" s="135"/>
      <c r="K2270" s="112"/>
      <c r="L2270" s="37"/>
      <c r="M2270" s="37"/>
      <c r="N2270" s="37"/>
      <c r="O2270" s="130"/>
      <c r="P2270" s="132"/>
      <c r="Q2270" s="262"/>
      <c r="R2270" s="92"/>
    </row>
    <row r="2271" spans="3:18" x14ac:dyDescent="0.25">
      <c r="C2271" s="264"/>
      <c r="D2271" s="157"/>
      <c r="E2271" s="44"/>
      <c r="F2271" s="146"/>
      <c r="G2271" s="1"/>
      <c r="H2271" s="161"/>
      <c r="I2271" s="37"/>
      <c r="J2271" s="135"/>
      <c r="K2271" s="112"/>
      <c r="L2271" s="37"/>
      <c r="M2271" s="37"/>
      <c r="N2271" s="37"/>
      <c r="O2271" s="130"/>
      <c r="P2271" s="132"/>
      <c r="Q2271" s="262"/>
      <c r="R2271" s="92"/>
    </row>
    <row r="2272" spans="3:18" x14ac:dyDescent="0.25">
      <c r="C2272" s="264"/>
      <c r="D2272" s="157"/>
      <c r="E2272" s="44"/>
      <c r="F2272" s="146"/>
      <c r="G2272" s="1"/>
      <c r="H2272" s="161"/>
      <c r="I2272" s="37"/>
      <c r="J2272" s="135"/>
      <c r="K2272" s="112"/>
      <c r="L2272" s="37"/>
      <c r="M2272" s="37"/>
      <c r="N2272" s="37"/>
      <c r="O2272" s="130"/>
      <c r="P2272" s="132"/>
      <c r="Q2272" s="262"/>
      <c r="R2272" s="92"/>
    </row>
    <row r="2273" spans="3:18" x14ac:dyDescent="0.25">
      <c r="C2273" s="264"/>
      <c r="D2273" s="157"/>
      <c r="E2273" s="44"/>
      <c r="F2273" s="146"/>
      <c r="G2273" s="1"/>
      <c r="H2273" s="161"/>
      <c r="I2273" s="37"/>
      <c r="J2273" s="135"/>
      <c r="K2273" s="112"/>
      <c r="L2273" s="37"/>
      <c r="M2273" s="37"/>
      <c r="N2273" s="37"/>
      <c r="O2273" s="130"/>
      <c r="P2273" s="132"/>
      <c r="Q2273" s="262"/>
      <c r="R2273" s="92"/>
    </row>
    <row r="2274" spans="3:18" x14ac:dyDescent="0.25">
      <c r="C2274" s="264"/>
      <c r="D2274" s="157"/>
      <c r="E2274" s="44"/>
      <c r="F2274" s="146"/>
      <c r="G2274" s="1"/>
      <c r="H2274" s="161"/>
      <c r="I2274" s="37"/>
      <c r="J2274" s="135"/>
      <c r="K2274" s="112"/>
      <c r="L2274" s="37"/>
      <c r="M2274" s="37"/>
      <c r="N2274" s="37"/>
      <c r="O2274" s="130"/>
      <c r="P2274" s="132"/>
      <c r="Q2274" s="262"/>
      <c r="R2274" s="92"/>
    </row>
    <row r="2275" spans="3:18" x14ac:dyDescent="0.25">
      <c r="C2275" s="264"/>
      <c r="D2275" s="157"/>
      <c r="E2275" s="44"/>
      <c r="F2275" s="146"/>
      <c r="G2275" s="1"/>
      <c r="H2275" s="161"/>
      <c r="I2275" s="37"/>
      <c r="J2275" s="135"/>
      <c r="K2275" s="112"/>
      <c r="L2275" s="37"/>
      <c r="M2275" s="37"/>
      <c r="N2275" s="37"/>
      <c r="O2275" s="130"/>
      <c r="P2275" s="132"/>
      <c r="Q2275" s="262"/>
      <c r="R2275" s="92"/>
    </row>
    <row r="2276" spans="3:18" x14ac:dyDescent="0.25">
      <c r="C2276" s="264"/>
      <c r="D2276" s="157"/>
      <c r="E2276" s="44"/>
      <c r="F2276" s="146"/>
      <c r="G2276" s="1"/>
      <c r="H2276" s="161"/>
      <c r="I2276" s="37"/>
      <c r="J2276" s="135"/>
      <c r="K2276" s="112"/>
      <c r="L2276" s="37"/>
      <c r="M2276" s="37"/>
      <c r="N2276" s="37"/>
      <c r="O2276" s="130"/>
      <c r="P2276" s="132"/>
      <c r="Q2276" s="262"/>
      <c r="R2276" s="92"/>
    </row>
    <row r="2277" spans="3:18" x14ac:dyDescent="0.25">
      <c r="C2277" s="264"/>
      <c r="D2277" s="157"/>
      <c r="E2277" s="44"/>
      <c r="F2277" s="146"/>
      <c r="G2277" s="1"/>
      <c r="H2277" s="161"/>
      <c r="I2277" s="37"/>
      <c r="J2277" s="135"/>
      <c r="K2277" s="112"/>
      <c r="L2277" s="37"/>
      <c r="M2277" s="37"/>
      <c r="N2277" s="37"/>
      <c r="O2277" s="130"/>
      <c r="P2277" s="132"/>
      <c r="Q2277" s="262"/>
      <c r="R2277" s="92"/>
    </row>
    <row r="2278" spans="3:18" x14ac:dyDescent="0.25">
      <c r="C2278" s="264"/>
      <c r="D2278" s="157"/>
      <c r="E2278" s="44"/>
      <c r="F2278" s="146"/>
      <c r="G2278" s="1"/>
      <c r="H2278" s="161"/>
      <c r="I2278" s="37"/>
      <c r="J2278" s="135"/>
      <c r="K2278" s="112"/>
      <c r="L2278" s="37"/>
      <c r="M2278" s="37"/>
      <c r="N2278" s="37"/>
      <c r="O2278" s="130"/>
      <c r="P2278" s="132"/>
      <c r="Q2278" s="262"/>
      <c r="R2278" s="92"/>
    </row>
    <row r="2279" spans="3:18" x14ac:dyDescent="0.25">
      <c r="C2279" s="264"/>
      <c r="D2279" s="157"/>
      <c r="E2279" s="44"/>
      <c r="F2279" s="146"/>
      <c r="G2279" s="1"/>
      <c r="H2279" s="161"/>
      <c r="I2279" s="37"/>
      <c r="J2279" s="135"/>
      <c r="K2279" s="112"/>
      <c r="L2279" s="37"/>
      <c r="M2279" s="37"/>
      <c r="N2279" s="37"/>
      <c r="O2279" s="130"/>
      <c r="P2279" s="132"/>
      <c r="Q2279" s="262"/>
      <c r="R2279" s="92"/>
    </row>
    <row r="2280" spans="3:18" x14ac:dyDescent="0.25">
      <c r="C2280" s="264"/>
      <c r="D2280" s="157"/>
      <c r="E2280" s="44"/>
      <c r="F2280" s="146"/>
      <c r="G2280" s="1"/>
      <c r="H2280" s="161"/>
      <c r="I2280" s="37"/>
      <c r="J2280" s="135"/>
      <c r="K2280" s="112"/>
      <c r="L2280" s="37"/>
      <c r="M2280" s="37"/>
      <c r="N2280" s="37"/>
      <c r="O2280" s="130"/>
      <c r="P2280" s="132"/>
      <c r="Q2280" s="262"/>
      <c r="R2280" s="92"/>
    </row>
    <row r="2281" spans="3:18" x14ac:dyDescent="0.25">
      <c r="C2281" s="264"/>
      <c r="D2281" s="157"/>
      <c r="E2281" s="44"/>
      <c r="F2281" s="146"/>
      <c r="G2281" s="1"/>
      <c r="H2281" s="161"/>
      <c r="I2281" s="37"/>
      <c r="J2281" s="135"/>
      <c r="K2281" s="112"/>
      <c r="L2281" s="37"/>
      <c r="M2281" s="37"/>
      <c r="N2281" s="37"/>
      <c r="O2281" s="130"/>
      <c r="P2281" s="132"/>
      <c r="Q2281" s="262"/>
      <c r="R2281" s="92"/>
    </row>
    <row r="2282" spans="3:18" x14ac:dyDescent="0.25">
      <c r="C2282" s="264"/>
      <c r="D2282" s="157"/>
      <c r="E2282" s="44"/>
      <c r="F2282" s="146"/>
      <c r="G2282" s="1"/>
      <c r="H2282" s="161"/>
      <c r="I2282" s="37"/>
      <c r="J2282" s="135"/>
      <c r="K2282" s="112"/>
      <c r="L2282" s="37"/>
      <c r="M2282" s="37"/>
      <c r="N2282" s="37"/>
      <c r="O2282" s="130"/>
      <c r="P2282" s="132"/>
      <c r="Q2282" s="262"/>
      <c r="R2282" s="92"/>
    </row>
    <row r="2283" spans="3:18" x14ac:dyDescent="0.25">
      <c r="C2283" s="264"/>
      <c r="D2283" s="157"/>
      <c r="E2283" s="44"/>
      <c r="F2283" s="146"/>
      <c r="G2283" s="1"/>
      <c r="H2283" s="161"/>
      <c r="I2283" s="37"/>
      <c r="J2283" s="135"/>
      <c r="K2283" s="112"/>
      <c r="L2283" s="37"/>
      <c r="M2283" s="37"/>
      <c r="N2283" s="37"/>
      <c r="O2283" s="130"/>
      <c r="P2283" s="132"/>
      <c r="Q2283" s="262"/>
      <c r="R2283" s="92"/>
    </row>
    <row r="2284" spans="3:18" x14ac:dyDescent="0.25">
      <c r="C2284" s="264"/>
      <c r="D2284" s="157"/>
      <c r="E2284" s="44"/>
      <c r="F2284" s="146"/>
      <c r="G2284" s="1"/>
      <c r="H2284" s="161"/>
      <c r="I2284" s="37"/>
      <c r="J2284" s="135"/>
      <c r="K2284" s="112"/>
      <c r="L2284" s="37"/>
      <c r="M2284" s="37"/>
      <c r="N2284" s="37"/>
      <c r="O2284" s="130"/>
      <c r="P2284" s="132"/>
      <c r="Q2284" s="262"/>
      <c r="R2284" s="92"/>
    </row>
    <row r="2285" spans="3:18" x14ac:dyDescent="0.25">
      <c r="C2285" s="264"/>
      <c r="D2285" s="157"/>
      <c r="E2285" s="44"/>
      <c r="F2285" s="146"/>
      <c r="G2285" s="1"/>
      <c r="H2285" s="161"/>
      <c r="I2285" s="37"/>
      <c r="J2285" s="135"/>
      <c r="K2285" s="112"/>
      <c r="L2285" s="37"/>
      <c r="M2285" s="37"/>
      <c r="N2285" s="37"/>
      <c r="O2285" s="130"/>
      <c r="P2285" s="132"/>
      <c r="Q2285" s="262"/>
      <c r="R2285" s="92"/>
    </row>
    <row r="2286" spans="3:18" x14ac:dyDescent="0.25">
      <c r="C2286" s="264"/>
      <c r="D2286" s="157"/>
      <c r="E2286" s="44"/>
      <c r="F2286" s="146"/>
      <c r="G2286" s="1"/>
      <c r="H2286" s="161"/>
      <c r="I2286" s="37"/>
      <c r="J2286" s="135"/>
      <c r="K2286" s="112"/>
      <c r="L2286" s="37"/>
      <c r="M2286" s="37"/>
      <c r="N2286" s="37"/>
      <c r="O2286" s="130"/>
      <c r="P2286" s="132"/>
      <c r="Q2286" s="262"/>
      <c r="R2286" s="92"/>
    </row>
    <row r="2287" spans="3:18" x14ac:dyDescent="0.25">
      <c r="C2287" s="264"/>
      <c r="D2287" s="157"/>
      <c r="E2287" s="44"/>
      <c r="F2287" s="146"/>
      <c r="G2287" s="1"/>
      <c r="H2287" s="161"/>
      <c r="I2287" s="37"/>
      <c r="J2287" s="135"/>
      <c r="K2287" s="112"/>
      <c r="L2287" s="37"/>
      <c r="M2287" s="37"/>
      <c r="N2287" s="37"/>
      <c r="O2287" s="130"/>
      <c r="P2287" s="132"/>
      <c r="Q2287" s="262"/>
      <c r="R2287" s="92"/>
    </row>
    <row r="2288" spans="3:18" x14ac:dyDescent="0.25">
      <c r="C2288" s="264"/>
      <c r="D2288" s="157"/>
      <c r="E2288" s="44"/>
      <c r="F2288" s="146"/>
      <c r="G2288" s="1"/>
      <c r="H2288" s="161"/>
      <c r="I2288" s="37"/>
      <c r="J2288" s="135"/>
      <c r="K2288" s="112"/>
      <c r="L2288" s="37"/>
      <c r="M2288" s="37"/>
      <c r="N2288" s="37"/>
      <c r="O2288" s="130"/>
      <c r="P2288" s="132"/>
      <c r="Q2288" s="262"/>
      <c r="R2288" s="92"/>
    </row>
    <row r="2289" spans="3:18" x14ac:dyDescent="0.25">
      <c r="C2289" s="264"/>
      <c r="D2289" s="157"/>
      <c r="E2289" s="44"/>
      <c r="F2289" s="146"/>
      <c r="G2289" s="1"/>
      <c r="H2289" s="161"/>
      <c r="I2289" s="37"/>
      <c r="J2289" s="135"/>
      <c r="K2289" s="112"/>
      <c r="L2289" s="37"/>
      <c r="M2289" s="37"/>
      <c r="N2289" s="37"/>
      <c r="O2289" s="130"/>
      <c r="P2289" s="132"/>
      <c r="Q2289" s="262"/>
      <c r="R2289" s="92"/>
    </row>
    <row r="2290" spans="3:18" x14ac:dyDescent="0.25">
      <c r="C2290" s="264"/>
      <c r="D2290" s="157"/>
      <c r="E2290" s="44"/>
      <c r="F2290" s="146"/>
      <c r="G2290" s="1"/>
      <c r="H2290" s="161"/>
      <c r="I2290" s="37"/>
      <c r="J2290" s="135"/>
      <c r="K2290" s="112"/>
      <c r="L2290" s="37"/>
      <c r="M2290" s="37"/>
      <c r="N2290" s="37"/>
      <c r="O2290" s="130"/>
      <c r="P2290" s="132"/>
      <c r="Q2290" s="262"/>
      <c r="R2290" s="92"/>
    </row>
    <row r="2291" spans="3:18" x14ac:dyDescent="0.25">
      <c r="C2291" s="264"/>
      <c r="D2291" s="157"/>
      <c r="E2291" s="44"/>
      <c r="F2291" s="146"/>
      <c r="G2291" s="1"/>
      <c r="H2291" s="161"/>
      <c r="I2291" s="37"/>
      <c r="J2291" s="135"/>
      <c r="K2291" s="112"/>
      <c r="L2291" s="37"/>
      <c r="M2291" s="37"/>
      <c r="N2291" s="37"/>
      <c r="O2291" s="130"/>
      <c r="P2291" s="132"/>
      <c r="Q2291" s="262"/>
      <c r="R2291" s="92"/>
    </row>
    <row r="2292" spans="3:18" x14ac:dyDescent="0.25">
      <c r="C2292" s="264"/>
      <c r="D2292" s="157"/>
      <c r="E2292" s="44"/>
      <c r="F2292" s="146"/>
      <c r="G2292" s="1"/>
      <c r="H2292" s="161"/>
      <c r="I2292" s="37"/>
      <c r="J2292" s="135"/>
      <c r="K2292" s="112"/>
      <c r="L2292" s="37"/>
      <c r="M2292" s="37"/>
      <c r="N2292" s="37"/>
      <c r="O2292" s="130"/>
      <c r="P2292" s="132"/>
      <c r="Q2292" s="262"/>
      <c r="R2292" s="92"/>
    </row>
    <row r="2293" spans="3:18" x14ac:dyDescent="0.25">
      <c r="C2293" s="264"/>
      <c r="D2293" s="157"/>
      <c r="E2293" s="44"/>
      <c r="F2293" s="146"/>
      <c r="G2293" s="1"/>
      <c r="H2293" s="161"/>
      <c r="I2293" s="37"/>
      <c r="J2293" s="135"/>
      <c r="K2293" s="112"/>
      <c r="L2293" s="37"/>
      <c r="M2293" s="37"/>
      <c r="N2293" s="37"/>
      <c r="O2293" s="130"/>
      <c r="P2293" s="132"/>
      <c r="Q2293" s="262"/>
      <c r="R2293" s="92"/>
    </row>
    <row r="2294" spans="3:18" x14ac:dyDescent="0.25">
      <c r="C2294" s="264"/>
      <c r="D2294" s="157"/>
      <c r="E2294" s="44"/>
      <c r="F2294" s="146"/>
      <c r="G2294" s="1"/>
      <c r="H2294" s="161"/>
      <c r="I2294" s="37"/>
      <c r="J2294" s="135"/>
      <c r="K2294" s="112"/>
      <c r="L2294" s="37"/>
      <c r="M2294" s="37"/>
      <c r="N2294" s="37"/>
      <c r="O2294" s="130"/>
      <c r="P2294" s="132"/>
      <c r="Q2294" s="262"/>
      <c r="R2294" s="92"/>
    </row>
    <row r="2295" spans="3:18" x14ac:dyDescent="0.25">
      <c r="C2295" s="264"/>
      <c r="D2295" s="157"/>
      <c r="E2295" s="44"/>
      <c r="F2295" s="146"/>
      <c r="G2295" s="1"/>
      <c r="H2295" s="161"/>
      <c r="I2295" s="37"/>
      <c r="J2295" s="135"/>
      <c r="K2295" s="112"/>
      <c r="L2295" s="37"/>
      <c r="M2295" s="37"/>
      <c r="N2295" s="37"/>
      <c r="O2295" s="130"/>
      <c r="P2295" s="132"/>
      <c r="Q2295" s="262"/>
      <c r="R2295" s="92"/>
    </row>
    <row r="2296" spans="3:18" x14ac:dyDescent="0.25">
      <c r="C2296" s="264"/>
      <c r="D2296" s="157"/>
      <c r="E2296" s="44"/>
      <c r="F2296" s="146"/>
      <c r="G2296" s="1"/>
      <c r="H2296" s="161"/>
      <c r="I2296" s="37"/>
      <c r="J2296" s="135"/>
      <c r="K2296" s="112"/>
      <c r="L2296" s="37"/>
      <c r="M2296" s="37"/>
      <c r="N2296" s="37"/>
      <c r="O2296" s="130"/>
      <c r="P2296" s="132"/>
      <c r="Q2296" s="262"/>
      <c r="R2296" s="92"/>
    </row>
    <row r="2297" spans="3:18" x14ac:dyDescent="0.25">
      <c r="C2297" s="264"/>
      <c r="D2297" s="157"/>
      <c r="E2297" s="44"/>
      <c r="F2297" s="146"/>
      <c r="G2297" s="1"/>
      <c r="H2297" s="161"/>
      <c r="I2297" s="37"/>
      <c r="J2297" s="135"/>
      <c r="K2297" s="112"/>
      <c r="L2297" s="37"/>
      <c r="M2297" s="37"/>
      <c r="N2297" s="37"/>
      <c r="O2297" s="130"/>
      <c r="P2297" s="132"/>
      <c r="Q2297" s="262"/>
      <c r="R2297" s="92"/>
    </row>
    <row r="2298" spans="3:18" x14ac:dyDescent="0.25">
      <c r="C2298" s="264"/>
      <c r="D2298" s="157"/>
      <c r="E2298" s="44"/>
      <c r="F2298" s="146"/>
      <c r="G2298" s="1"/>
      <c r="H2298" s="161"/>
      <c r="I2298" s="37"/>
      <c r="J2298" s="135"/>
      <c r="K2298" s="112"/>
      <c r="L2298" s="37"/>
      <c r="M2298" s="37"/>
      <c r="N2298" s="37"/>
      <c r="O2298" s="130"/>
      <c r="P2298" s="132"/>
      <c r="Q2298" s="262"/>
      <c r="R2298" s="92"/>
    </row>
    <row r="2299" spans="3:18" x14ac:dyDescent="0.25">
      <c r="C2299" s="264"/>
      <c r="D2299" s="157"/>
      <c r="E2299" s="44"/>
      <c r="F2299" s="146"/>
      <c r="G2299" s="1"/>
      <c r="H2299" s="161"/>
      <c r="I2299" s="37"/>
      <c r="J2299" s="135"/>
      <c r="K2299" s="112"/>
      <c r="L2299" s="37"/>
      <c r="M2299" s="37"/>
      <c r="N2299" s="37"/>
      <c r="O2299" s="130"/>
      <c r="P2299" s="132"/>
      <c r="Q2299" s="262"/>
      <c r="R2299" s="92"/>
    </row>
    <row r="2300" spans="3:18" x14ac:dyDescent="0.25">
      <c r="C2300" s="264"/>
      <c r="D2300" s="157"/>
      <c r="E2300" s="44"/>
      <c r="F2300" s="146"/>
      <c r="G2300" s="1"/>
      <c r="H2300" s="161"/>
      <c r="I2300" s="37"/>
      <c r="J2300" s="135"/>
      <c r="K2300" s="112"/>
      <c r="L2300" s="37"/>
      <c r="M2300" s="37"/>
      <c r="N2300" s="37"/>
      <c r="O2300" s="130"/>
      <c r="P2300" s="132"/>
      <c r="Q2300" s="262"/>
      <c r="R2300" s="92"/>
    </row>
    <row r="2301" spans="3:18" x14ac:dyDescent="0.25">
      <c r="C2301" s="264"/>
      <c r="D2301" s="157"/>
      <c r="E2301" s="44"/>
      <c r="F2301" s="146"/>
      <c r="G2301" s="1"/>
      <c r="H2301" s="161"/>
      <c r="I2301" s="37"/>
      <c r="J2301" s="135"/>
      <c r="K2301" s="112"/>
      <c r="L2301" s="37"/>
      <c r="M2301" s="37"/>
      <c r="N2301" s="37"/>
      <c r="O2301" s="130"/>
      <c r="P2301" s="132"/>
      <c r="Q2301" s="262"/>
      <c r="R2301" s="92"/>
    </row>
    <row r="2302" spans="3:18" x14ac:dyDescent="0.25">
      <c r="C2302" s="264"/>
      <c r="D2302" s="157"/>
      <c r="E2302" s="44"/>
      <c r="F2302" s="146"/>
      <c r="G2302" s="1"/>
      <c r="H2302" s="161"/>
      <c r="I2302" s="37"/>
      <c r="J2302" s="135"/>
      <c r="K2302" s="112"/>
      <c r="L2302" s="37"/>
      <c r="M2302" s="37"/>
      <c r="N2302" s="37"/>
      <c r="O2302" s="130"/>
      <c r="P2302" s="132"/>
      <c r="Q2302" s="262"/>
      <c r="R2302" s="92"/>
    </row>
    <row r="2303" spans="3:18" x14ac:dyDescent="0.25">
      <c r="C2303" s="264"/>
      <c r="D2303" s="157"/>
      <c r="E2303" s="44"/>
      <c r="F2303" s="146"/>
      <c r="G2303" s="1"/>
      <c r="H2303" s="161"/>
      <c r="I2303" s="37"/>
      <c r="J2303" s="135"/>
      <c r="K2303" s="112"/>
      <c r="L2303" s="37"/>
      <c r="M2303" s="37"/>
      <c r="N2303" s="37"/>
      <c r="O2303" s="130"/>
      <c r="P2303" s="132"/>
      <c r="Q2303" s="262"/>
      <c r="R2303" s="92"/>
    </row>
    <row r="2304" spans="3:18" x14ac:dyDescent="0.25">
      <c r="C2304" s="264"/>
      <c r="D2304" s="157"/>
      <c r="E2304" s="44"/>
      <c r="F2304" s="146"/>
      <c r="G2304" s="1"/>
      <c r="H2304" s="161"/>
      <c r="I2304" s="37"/>
      <c r="J2304" s="135"/>
      <c r="K2304" s="112"/>
      <c r="L2304" s="37"/>
      <c r="M2304" s="37"/>
      <c r="N2304" s="37"/>
      <c r="O2304" s="130"/>
      <c r="P2304" s="132"/>
      <c r="Q2304" s="262"/>
      <c r="R2304" s="92"/>
    </row>
    <row r="2305" spans="3:18" x14ac:dyDescent="0.25">
      <c r="C2305" s="264"/>
      <c r="D2305" s="157"/>
      <c r="E2305" s="44"/>
      <c r="F2305" s="146"/>
      <c r="G2305" s="1"/>
      <c r="H2305" s="161"/>
      <c r="I2305" s="37"/>
      <c r="J2305" s="135"/>
      <c r="K2305" s="112"/>
      <c r="L2305" s="37"/>
      <c r="M2305" s="37"/>
      <c r="N2305" s="37"/>
      <c r="O2305" s="130"/>
      <c r="P2305" s="132"/>
      <c r="Q2305" s="262"/>
      <c r="R2305" s="92"/>
    </row>
    <row r="2306" spans="3:18" x14ac:dyDescent="0.25">
      <c r="C2306" s="264"/>
      <c r="D2306" s="157"/>
      <c r="E2306" s="44"/>
      <c r="F2306" s="146"/>
      <c r="G2306" s="1"/>
      <c r="H2306" s="161"/>
      <c r="I2306" s="37"/>
      <c r="J2306" s="135"/>
      <c r="K2306" s="112"/>
      <c r="L2306" s="37"/>
      <c r="M2306" s="37"/>
      <c r="N2306" s="37"/>
      <c r="O2306" s="130"/>
      <c r="P2306" s="132"/>
      <c r="Q2306" s="262"/>
      <c r="R2306" s="92"/>
    </row>
    <row r="2307" spans="3:18" x14ac:dyDescent="0.25">
      <c r="C2307" s="264"/>
      <c r="D2307" s="157"/>
      <c r="E2307" s="44"/>
      <c r="F2307" s="146"/>
      <c r="G2307" s="1"/>
      <c r="H2307" s="161"/>
      <c r="I2307" s="37"/>
      <c r="J2307" s="135"/>
      <c r="K2307" s="112"/>
      <c r="L2307" s="37"/>
      <c r="M2307" s="37"/>
      <c r="N2307" s="37"/>
      <c r="O2307" s="130"/>
      <c r="P2307" s="132"/>
      <c r="Q2307" s="262"/>
      <c r="R2307" s="92"/>
    </row>
    <row r="2308" spans="3:18" x14ac:dyDescent="0.25">
      <c r="C2308" s="264"/>
      <c r="D2308" s="157"/>
      <c r="E2308" s="44"/>
      <c r="F2308" s="146"/>
      <c r="G2308" s="1"/>
      <c r="H2308" s="161"/>
      <c r="I2308" s="37"/>
      <c r="J2308" s="135"/>
      <c r="K2308" s="112"/>
      <c r="L2308" s="37"/>
      <c r="M2308" s="37"/>
      <c r="N2308" s="37"/>
      <c r="O2308" s="130"/>
      <c r="P2308" s="132"/>
      <c r="Q2308" s="262"/>
      <c r="R2308" s="92"/>
    </row>
    <row r="2309" spans="3:18" x14ac:dyDescent="0.25">
      <c r="C2309" s="264"/>
      <c r="D2309" s="157"/>
      <c r="E2309" s="44"/>
      <c r="F2309" s="146"/>
      <c r="G2309" s="1"/>
      <c r="H2309" s="161"/>
      <c r="I2309" s="37"/>
      <c r="J2309" s="135"/>
      <c r="K2309" s="112"/>
      <c r="L2309" s="37"/>
      <c r="M2309" s="37"/>
      <c r="N2309" s="37"/>
      <c r="O2309" s="130"/>
      <c r="P2309" s="132"/>
      <c r="Q2309" s="262"/>
      <c r="R2309" s="92"/>
    </row>
    <row r="2310" spans="3:18" x14ac:dyDescent="0.25">
      <c r="C2310" s="264"/>
      <c r="D2310" s="157"/>
      <c r="E2310" s="44"/>
      <c r="F2310" s="146"/>
      <c r="G2310" s="1"/>
      <c r="H2310" s="161"/>
      <c r="I2310" s="37"/>
      <c r="J2310" s="135"/>
      <c r="K2310" s="112"/>
      <c r="L2310" s="37"/>
      <c r="M2310" s="37"/>
      <c r="N2310" s="37"/>
      <c r="O2310" s="130"/>
      <c r="P2310" s="132"/>
      <c r="Q2310" s="262"/>
      <c r="R2310" s="92"/>
    </row>
    <row r="2311" spans="3:18" x14ac:dyDescent="0.25">
      <c r="C2311" s="264"/>
      <c r="D2311" s="157"/>
      <c r="E2311" s="44"/>
      <c r="F2311" s="146"/>
      <c r="G2311" s="1"/>
      <c r="H2311" s="161"/>
      <c r="I2311" s="37"/>
      <c r="J2311" s="135"/>
      <c r="K2311" s="112"/>
      <c r="L2311" s="37"/>
      <c r="M2311" s="37"/>
      <c r="N2311" s="37"/>
      <c r="O2311" s="130"/>
      <c r="P2311" s="132"/>
      <c r="Q2311" s="262"/>
      <c r="R2311" s="92"/>
    </row>
    <row r="2312" spans="3:18" x14ac:dyDescent="0.25">
      <c r="C2312" s="264"/>
      <c r="D2312" s="157"/>
      <c r="E2312" s="44"/>
      <c r="F2312" s="146"/>
      <c r="G2312" s="1"/>
      <c r="H2312" s="161"/>
      <c r="I2312" s="37"/>
      <c r="J2312" s="135"/>
      <c r="K2312" s="112"/>
      <c r="L2312" s="37"/>
      <c r="M2312" s="37"/>
      <c r="N2312" s="37"/>
      <c r="O2312" s="130"/>
      <c r="P2312" s="132"/>
      <c r="Q2312" s="262"/>
      <c r="R2312" s="92"/>
    </row>
    <row r="2313" spans="3:18" x14ac:dyDescent="0.25">
      <c r="C2313" s="264"/>
      <c r="D2313" s="157"/>
      <c r="E2313" s="44"/>
      <c r="F2313" s="146"/>
      <c r="G2313" s="1"/>
      <c r="H2313" s="161"/>
      <c r="I2313" s="37"/>
      <c r="J2313" s="135"/>
      <c r="K2313" s="112"/>
      <c r="L2313" s="37"/>
      <c r="M2313" s="37"/>
      <c r="N2313" s="37"/>
      <c r="O2313" s="130"/>
      <c r="P2313" s="132"/>
      <c r="Q2313" s="262"/>
      <c r="R2313" s="92"/>
    </row>
    <row r="2314" spans="3:18" x14ac:dyDescent="0.25">
      <c r="C2314" s="264"/>
      <c r="D2314" s="157"/>
      <c r="E2314" s="44"/>
      <c r="F2314" s="146"/>
      <c r="G2314" s="1"/>
      <c r="H2314" s="161"/>
      <c r="I2314" s="37"/>
      <c r="J2314" s="135"/>
      <c r="K2314" s="112"/>
      <c r="L2314" s="37"/>
      <c r="M2314" s="37"/>
      <c r="N2314" s="37"/>
      <c r="O2314" s="130"/>
      <c r="P2314" s="132"/>
      <c r="Q2314" s="262"/>
      <c r="R2314" s="92"/>
    </row>
    <row r="2315" spans="3:18" x14ac:dyDescent="0.25">
      <c r="C2315" s="264"/>
      <c r="D2315" s="157"/>
      <c r="E2315" s="44"/>
      <c r="F2315" s="146"/>
      <c r="G2315" s="1"/>
      <c r="H2315" s="161"/>
      <c r="I2315" s="37"/>
      <c r="J2315" s="135"/>
      <c r="K2315" s="112"/>
      <c r="L2315" s="37"/>
      <c r="M2315" s="37"/>
      <c r="N2315" s="37"/>
      <c r="O2315" s="130"/>
      <c r="P2315" s="132"/>
      <c r="Q2315" s="262"/>
      <c r="R2315" s="92"/>
    </row>
    <row r="2316" spans="3:18" x14ac:dyDescent="0.25">
      <c r="C2316" s="264"/>
      <c r="D2316" s="157"/>
      <c r="E2316" s="44"/>
      <c r="F2316" s="146"/>
      <c r="G2316" s="1"/>
      <c r="H2316" s="161"/>
      <c r="I2316" s="37"/>
      <c r="J2316" s="135"/>
      <c r="K2316" s="112"/>
      <c r="L2316" s="37"/>
      <c r="M2316" s="37"/>
      <c r="N2316" s="37"/>
      <c r="O2316" s="130"/>
      <c r="P2316" s="132"/>
      <c r="Q2316" s="262"/>
      <c r="R2316" s="92"/>
    </row>
    <row r="2317" spans="3:18" x14ac:dyDescent="0.25">
      <c r="C2317" s="264"/>
      <c r="D2317" s="157"/>
      <c r="E2317" s="44"/>
      <c r="F2317" s="146"/>
      <c r="G2317" s="1"/>
      <c r="H2317" s="161"/>
      <c r="I2317" s="37"/>
      <c r="J2317" s="135"/>
      <c r="K2317" s="112"/>
      <c r="L2317" s="37"/>
      <c r="M2317" s="37"/>
      <c r="N2317" s="37"/>
      <c r="O2317" s="130"/>
      <c r="P2317" s="132"/>
      <c r="Q2317" s="262"/>
      <c r="R2317" s="92"/>
    </row>
    <row r="2318" spans="3:18" x14ac:dyDescent="0.25">
      <c r="C2318" s="264"/>
      <c r="D2318" s="157"/>
      <c r="E2318" s="44"/>
      <c r="F2318" s="146"/>
      <c r="G2318" s="1"/>
      <c r="H2318" s="161"/>
      <c r="I2318" s="37"/>
      <c r="J2318" s="135"/>
      <c r="K2318" s="112"/>
      <c r="L2318" s="37"/>
      <c r="M2318" s="37"/>
      <c r="N2318" s="37"/>
      <c r="O2318" s="130"/>
      <c r="P2318" s="132"/>
      <c r="Q2318" s="262"/>
      <c r="R2318" s="92"/>
    </row>
    <row r="2319" spans="3:18" x14ac:dyDescent="0.25">
      <c r="C2319" s="264"/>
      <c r="D2319" s="157"/>
      <c r="E2319" s="44"/>
      <c r="F2319" s="146"/>
      <c r="G2319" s="1"/>
      <c r="H2319" s="161"/>
      <c r="I2319" s="37"/>
      <c r="J2319" s="135"/>
      <c r="K2319" s="112"/>
      <c r="L2319" s="37"/>
      <c r="M2319" s="37"/>
      <c r="N2319" s="37"/>
      <c r="O2319" s="130"/>
      <c r="P2319" s="132"/>
      <c r="Q2319" s="262"/>
      <c r="R2319" s="92"/>
    </row>
    <row r="2320" spans="3:18" x14ac:dyDescent="0.25">
      <c r="C2320" s="264"/>
      <c r="D2320" s="157"/>
      <c r="E2320" s="44"/>
      <c r="F2320" s="146"/>
      <c r="G2320" s="1"/>
      <c r="H2320" s="161"/>
      <c r="I2320" s="37"/>
      <c r="J2320" s="135"/>
      <c r="K2320" s="112"/>
      <c r="L2320" s="37"/>
      <c r="M2320" s="37"/>
      <c r="N2320" s="37"/>
      <c r="O2320" s="130"/>
      <c r="P2320" s="132"/>
      <c r="Q2320" s="262"/>
      <c r="R2320" s="92"/>
    </row>
    <row r="2321" spans="3:18" x14ac:dyDescent="0.25">
      <c r="C2321" s="264"/>
      <c r="D2321" s="157"/>
      <c r="E2321" s="44"/>
      <c r="F2321" s="146"/>
      <c r="G2321" s="1"/>
      <c r="H2321" s="161"/>
      <c r="I2321" s="37"/>
      <c r="J2321" s="135"/>
      <c r="K2321" s="112"/>
      <c r="L2321" s="37"/>
      <c r="M2321" s="37"/>
      <c r="N2321" s="37"/>
      <c r="O2321" s="130"/>
      <c r="P2321" s="132"/>
      <c r="Q2321" s="262"/>
      <c r="R2321" s="92"/>
    </row>
    <row r="2322" spans="3:18" x14ac:dyDescent="0.25">
      <c r="C2322" s="264"/>
      <c r="D2322" s="157"/>
      <c r="E2322" s="44"/>
      <c r="F2322" s="146"/>
      <c r="G2322" s="1"/>
      <c r="H2322" s="161"/>
      <c r="I2322" s="37"/>
      <c r="J2322" s="135"/>
      <c r="K2322" s="112"/>
      <c r="L2322" s="37"/>
      <c r="M2322" s="37"/>
      <c r="N2322" s="37"/>
      <c r="O2322" s="130"/>
      <c r="P2322" s="132"/>
      <c r="Q2322" s="262"/>
      <c r="R2322" s="92"/>
    </row>
    <row r="2323" spans="3:18" x14ac:dyDescent="0.25">
      <c r="C2323" s="264"/>
      <c r="D2323" s="157"/>
      <c r="E2323" s="44"/>
      <c r="F2323" s="146"/>
      <c r="G2323" s="1"/>
      <c r="H2323" s="161"/>
      <c r="I2323" s="37"/>
      <c r="J2323" s="135"/>
      <c r="K2323" s="112"/>
      <c r="L2323" s="37"/>
      <c r="M2323" s="37"/>
      <c r="N2323" s="37"/>
      <c r="O2323" s="130"/>
      <c r="P2323" s="132"/>
      <c r="Q2323" s="262"/>
      <c r="R2323" s="92"/>
    </row>
    <row r="2324" spans="3:18" x14ac:dyDescent="0.25">
      <c r="C2324" s="264"/>
      <c r="D2324" s="157"/>
      <c r="E2324" s="44"/>
      <c r="F2324" s="146"/>
      <c r="G2324" s="1"/>
      <c r="H2324" s="161"/>
      <c r="I2324" s="37"/>
      <c r="J2324" s="135"/>
      <c r="K2324" s="112"/>
      <c r="L2324" s="37"/>
      <c r="M2324" s="37"/>
      <c r="N2324" s="37"/>
      <c r="O2324" s="130"/>
      <c r="P2324" s="132"/>
      <c r="Q2324" s="262"/>
      <c r="R2324" s="92"/>
    </row>
    <row r="2325" spans="3:18" x14ac:dyDescent="0.25">
      <c r="C2325" s="264"/>
      <c r="D2325" s="157"/>
      <c r="E2325" s="44"/>
      <c r="F2325" s="146"/>
      <c r="G2325" s="1"/>
      <c r="H2325" s="161"/>
      <c r="I2325" s="37"/>
      <c r="J2325" s="135"/>
      <c r="K2325" s="112"/>
      <c r="L2325" s="37"/>
      <c r="M2325" s="37"/>
      <c r="N2325" s="37"/>
      <c r="O2325" s="130"/>
      <c r="P2325" s="132"/>
      <c r="Q2325" s="262"/>
      <c r="R2325" s="92"/>
    </row>
    <row r="2326" spans="3:18" x14ac:dyDescent="0.25">
      <c r="C2326" s="264"/>
      <c r="D2326" s="157"/>
      <c r="E2326" s="44"/>
      <c r="F2326" s="146"/>
      <c r="G2326" s="1"/>
      <c r="H2326" s="161"/>
      <c r="I2326" s="37"/>
      <c r="J2326" s="135"/>
      <c r="K2326" s="112"/>
      <c r="L2326" s="37"/>
      <c r="M2326" s="37"/>
      <c r="N2326" s="37"/>
      <c r="O2326" s="130"/>
      <c r="P2326" s="132"/>
      <c r="Q2326" s="262"/>
      <c r="R2326" s="92"/>
    </row>
    <row r="2327" spans="3:18" x14ac:dyDescent="0.25">
      <c r="C2327" s="264"/>
      <c r="D2327" s="157"/>
      <c r="E2327" s="44"/>
      <c r="F2327" s="146"/>
      <c r="G2327" s="1"/>
      <c r="H2327" s="161"/>
      <c r="I2327" s="37"/>
      <c r="J2327" s="135"/>
      <c r="K2327" s="112"/>
      <c r="L2327" s="37"/>
      <c r="M2327" s="37"/>
      <c r="N2327" s="37"/>
      <c r="O2327" s="130"/>
      <c r="P2327" s="132"/>
      <c r="Q2327" s="262"/>
      <c r="R2327" s="92"/>
    </row>
    <row r="2328" spans="3:18" x14ac:dyDescent="0.25">
      <c r="C2328" s="264"/>
      <c r="D2328" s="157"/>
      <c r="E2328" s="44"/>
      <c r="F2328" s="146"/>
      <c r="G2328" s="1"/>
      <c r="H2328" s="161"/>
      <c r="I2328" s="37"/>
      <c r="J2328" s="135"/>
      <c r="K2328" s="112"/>
      <c r="L2328" s="37"/>
      <c r="M2328" s="37"/>
      <c r="N2328" s="37"/>
      <c r="O2328" s="130"/>
      <c r="P2328" s="132"/>
      <c r="Q2328" s="262"/>
      <c r="R2328" s="92"/>
    </row>
    <row r="2329" spans="3:18" x14ac:dyDescent="0.25">
      <c r="C2329" s="264"/>
      <c r="D2329" s="157"/>
      <c r="E2329" s="44"/>
      <c r="F2329" s="146"/>
      <c r="G2329" s="1"/>
      <c r="H2329" s="161"/>
      <c r="I2329" s="37"/>
      <c r="J2329" s="135"/>
      <c r="K2329" s="112"/>
      <c r="L2329" s="37"/>
      <c r="M2329" s="37"/>
      <c r="N2329" s="37"/>
      <c r="O2329" s="130"/>
      <c r="P2329" s="132"/>
      <c r="Q2329" s="262"/>
      <c r="R2329" s="92"/>
    </row>
    <row r="2330" spans="3:18" x14ac:dyDescent="0.25">
      <c r="C2330" s="264"/>
      <c r="D2330" s="157"/>
      <c r="E2330" s="44"/>
      <c r="F2330" s="146"/>
      <c r="G2330" s="1"/>
      <c r="H2330" s="161"/>
      <c r="I2330" s="37"/>
      <c r="J2330" s="135"/>
      <c r="K2330" s="112"/>
      <c r="L2330" s="37"/>
      <c r="M2330" s="37"/>
      <c r="N2330" s="37"/>
      <c r="O2330" s="130"/>
      <c r="P2330" s="132"/>
      <c r="Q2330" s="262"/>
      <c r="R2330" s="92"/>
    </row>
    <row r="2331" spans="3:18" x14ac:dyDescent="0.25">
      <c r="C2331" s="264"/>
      <c r="D2331" s="157"/>
      <c r="E2331" s="44"/>
      <c r="F2331" s="146"/>
      <c r="G2331" s="1"/>
      <c r="H2331" s="161"/>
      <c r="I2331" s="37"/>
      <c r="J2331" s="135"/>
      <c r="K2331" s="112"/>
      <c r="L2331" s="37"/>
      <c r="M2331" s="37"/>
      <c r="N2331" s="37"/>
      <c r="O2331" s="130"/>
      <c r="P2331" s="132"/>
      <c r="Q2331" s="262"/>
      <c r="R2331" s="92"/>
    </row>
    <row r="2332" spans="3:18" x14ac:dyDescent="0.25">
      <c r="C2332" s="264"/>
      <c r="D2332" s="157"/>
      <c r="E2332" s="44"/>
      <c r="F2332" s="146"/>
      <c r="G2332" s="1"/>
      <c r="H2332" s="161"/>
      <c r="I2332" s="37"/>
      <c r="J2332" s="135"/>
      <c r="K2332" s="112"/>
      <c r="L2332" s="37"/>
      <c r="M2332" s="37"/>
      <c r="N2332" s="37"/>
      <c r="O2332" s="130"/>
      <c r="P2332" s="132"/>
      <c r="Q2332" s="262"/>
      <c r="R2332" s="92"/>
    </row>
    <row r="2333" spans="3:18" x14ac:dyDescent="0.25">
      <c r="C2333" s="264"/>
      <c r="D2333" s="157"/>
      <c r="E2333" s="44"/>
      <c r="F2333" s="146"/>
      <c r="G2333" s="1"/>
      <c r="H2333" s="161"/>
      <c r="I2333" s="37"/>
      <c r="J2333" s="135"/>
      <c r="K2333" s="112"/>
      <c r="L2333" s="37"/>
      <c r="M2333" s="37"/>
      <c r="N2333" s="37"/>
      <c r="O2333" s="130"/>
      <c r="P2333" s="132"/>
      <c r="Q2333" s="262"/>
      <c r="R2333" s="92"/>
    </row>
    <row r="2334" spans="3:18" x14ac:dyDescent="0.25">
      <c r="C2334" s="264"/>
      <c r="D2334" s="157"/>
      <c r="E2334" s="44"/>
      <c r="F2334" s="146"/>
      <c r="G2334" s="1"/>
      <c r="H2334" s="161"/>
      <c r="I2334" s="37"/>
      <c r="J2334" s="135"/>
      <c r="K2334" s="112"/>
      <c r="L2334" s="37"/>
      <c r="M2334" s="37"/>
      <c r="N2334" s="37"/>
      <c r="O2334" s="130"/>
      <c r="P2334" s="132"/>
      <c r="Q2334" s="262"/>
      <c r="R2334" s="92"/>
    </row>
    <row r="2335" spans="3:18" x14ac:dyDescent="0.25">
      <c r="C2335" s="264"/>
      <c r="D2335" s="157"/>
      <c r="E2335" s="44"/>
      <c r="F2335" s="146"/>
      <c r="G2335" s="1"/>
      <c r="H2335" s="161"/>
      <c r="I2335" s="37"/>
      <c r="J2335" s="135"/>
      <c r="K2335" s="112"/>
      <c r="L2335" s="37"/>
      <c r="M2335" s="37"/>
      <c r="N2335" s="37"/>
      <c r="O2335" s="130"/>
      <c r="P2335" s="132"/>
      <c r="Q2335" s="262"/>
      <c r="R2335" s="92"/>
    </row>
    <row r="2336" spans="3:18" x14ac:dyDescent="0.25">
      <c r="C2336" s="264"/>
      <c r="D2336" s="157"/>
      <c r="E2336" s="44"/>
      <c r="F2336" s="146"/>
      <c r="G2336" s="1"/>
      <c r="H2336" s="161"/>
      <c r="I2336" s="37"/>
      <c r="J2336" s="135"/>
      <c r="K2336" s="112"/>
      <c r="L2336" s="37"/>
      <c r="M2336" s="37"/>
      <c r="N2336" s="37"/>
      <c r="O2336" s="130"/>
      <c r="P2336" s="132"/>
      <c r="Q2336" s="262"/>
      <c r="R2336" s="92"/>
    </row>
    <row r="2337" spans="3:18" x14ac:dyDescent="0.25">
      <c r="C2337" s="264"/>
      <c r="D2337" s="157"/>
      <c r="E2337" s="44"/>
      <c r="F2337" s="146"/>
      <c r="G2337" s="1"/>
      <c r="H2337" s="161"/>
      <c r="I2337" s="37"/>
      <c r="J2337" s="135"/>
      <c r="K2337" s="112"/>
      <c r="L2337" s="37"/>
      <c r="M2337" s="37"/>
      <c r="N2337" s="37"/>
      <c r="O2337" s="130"/>
      <c r="P2337" s="132"/>
      <c r="Q2337" s="262"/>
      <c r="R2337" s="92"/>
    </row>
    <row r="2338" spans="3:18" x14ac:dyDescent="0.25">
      <c r="C2338" s="264"/>
      <c r="D2338" s="157"/>
      <c r="E2338" s="44"/>
      <c r="F2338" s="146"/>
      <c r="G2338" s="1"/>
      <c r="H2338" s="161"/>
      <c r="I2338" s="37"/>
      <c r="J2338" s="135"/>
      <c r="K2338" s="112"/>
      <c r="L2338" s="37"/>
      <c r="M2338" s="37"/>
      <c r="N2338" s="37"/>
      <c r="O2338" s="130"/>
      <c r="P2338" s="132"/>
      <c r="Q2338" s="262"/>
      <c r="R2338" s="92"/>
    </row>
    <row r="2339" spans="3:18" x14ac:dyDescent="0.25">
      <c r="C2339" s="264"/>
      <c r="D2339" s="157"/>
      <c r="E2339" s="44"/>
      <c r="F2339" s="146"/>
      <c r="G2339" s="1"/>
      <c r="H2339" s="161"/>
      <c r="I2339" s="37"/>
      <c r="J2339" s="135"/>
      <c r="K2339" s="112"/>
      <c r="L2339" s="37"/>
      <c r="M2339" s="37"/>
      <c r="N2339" s="37"/>
      <c r="O2339" s="130"/>
      <c r="P2339" s="132"/>
      <c r="Q2339" s="262"/>
      <c r="R2339" s="92"/>
    </row>
    <row r="2340" spans="3:18" x14ac:dyDescent="0.25">
      <c r="C2340" s="264"/>
      <c r="D2340" s="157"/>
      <c r="E2340" s="44"/>
      <c r="F2340" s="146"/>
      <c r="G2340" s="1"/>
      <c r="H2340" s="161"/>
      <c r="I2340" s="37"/>
      <c r="J2340" s="135"/>
      <c r="K2340" s="112"/>
      <c r="L2340" s="37"/>
      <c r="M2340" s="37"/>
      <c r="N2340" s="37"/>
      <c r="O2340" s="130"/>
      <c r="P2340" s="132"/>
      <c r="Q2340" s="262"/>
      <c r="R2340" s="92"/>
    </row>
    <row r="2341" spans="3:18" x14ac:dyDescent="0.25">
      <c r="C2341" s="264"/>
      <c r="D2341" s="157"/>
      <c r="E2341" s="44"/>
      <c r="F2341" s="146"/>
      <c r="G2341" s="1"/>
      <c r="H2341" s="161"/>
      <c r="I2341" s="37"/>
      <c r="J2341" s="135"/>
      <c r="K2341" s="112"/>
      <c r="L2341" s="37"/>
      <c r="M2341" s="37"/>
      <c r="N2341" s="37"/>
      <c r="O2341" s="130"/>
      <c r="P2341" s="132"/>
      <c r="Q2341" s="262"/>
      <c r="R2341" s="92"/>
    </row>
    <row r="2342" spans="3:18" x14ac:dyDescent="0.25">
      <c r="C2342" s="264"/>
      <c r="D2342" s="157"/>
      <c r="E2342" s="44"/>
      <c r="F2342" s="146"/>
      <c r="G2342" s="1"/>
      <c r="H2342" s="161"/>
      <c r="I2342" s="37"/>
      <c r="J2342" s="135"/>
      <c r="K2342" s="112"/>
      <c r="L2342" s="37"/>
      <c r="M2342" s="37"/>
      <c r="N2342" s="37"/>
      <c r="O2342" s="130"/>
      <c r="P2342" s="132"/>
      <c r="Q2342" s="262"/>
      <c r="R2342" s="92"/>
    </row>
    <row r="2343" spans="3:18" x14ac:dyDescent="0.25">
      <c r="C2343" s="264"/>
      <c r="D2343" s="157"/>
      <c r="E2343" s="44"/>
      <c r="F2343" s="146"/>
      <c r="G2343" s="1"/>
      <c r="H2343" s="161"/>
      <c r="I2343" s="37"/>
      <c r="J2343" s="135"/>
      <c r="K2343" s="112"/>
      <c r="L2343" s="37"/>
      <c r="M2343" s="37"/>
      <c r="N2343" s="37"/>
      <c r="O2343" s="130"/>
      <c r="P2343" s="132"/>
      <c r="Q2343" s="262"/>
      <c r="R2343" s="92"/>
    </row>
    <row r="2344" spans="3:18" x14ac:dyDescent="0.25">
      <c r="C2344" s="264"/>
      <c r="D2344" s="157"/>
      <c r="E2344" s="44"/>
      <c r="F2344" s="146"/>
      <c r="G2344" s="1"/>
      <c r="H2344" s="161"/>
      <c r="I2344" s="37"/>
      <c r="J2344" s="135"/>
      <c r="K2344" s="112"/>
      <c r="L2344" s="37"/>
      <c r="M2344" s="37"/>
      <c r="N2344" s="37"/>
      <c r="O2344" s="130"/>
      <c r="P2344" s="132"/>
      <c r="Q2344" s="262"/>
      <c r="R2344" s="92"/>
    </row>
    <row r="2345" spans="3:18" x14ac:dyDescent="0.25">
      <c r="C2345" s="264"/>
      <c r="D2345" s="157"/>
      <c r="E2345" s="44"/>
      <c r="F2345" s="146"/>
      <c r="G2345" s="1"/>
      <c r="H2345" s="161"/>
      <c r="I2345" s="37"/>
      <c r="J2345" s="135"/>
      <c r="K2345" s="112"/>
      <c r="L2345" s="37"/>
      <c r="M2345" s="37"/>
      <c r="N2345" s="37"/>
      <c r="O2345" s="130"/>
      <c r="P2345" s="132"/>
      <c r="Q2345" s="262"/>
      <c r="R2345" s="92"/>
    </row>
    <row r="2346" spans="3:18" x14ac:dyDescent="0.25">
      <c r="C2346" s="264"/>
      <c r="D2346" s="157"/>
      <c r="E2346" s="44"/>
      <c r="F2346" s="146"/>
      <c r="G2346" s="1"/>
      <c r="H2346" s="161"/>
      <c r="I2346" s="37"/>
      <c r="J2346" s="135"/>
      <c r="K2346" s="112"/>
      <c r="L2346" s="37"/>
      <c r="M2346" s="37"/>
      <c r="N2346" s="37"/>
      <c r="O2346" s="130"/>
      <c r="P2346" s="132"/>
      <c r="Q2346" s="262"/>
      <c r="R2346" s="92"/>
    </row>
    <row r="2347" spans="3:18" x14ac:dyDescent="0.25">
      <c r="C2347" s="264"/>
      <c r="D2347" s="157"/>
      <c r="E2347" s="44"/>
      <c r="F2347" s="146"/>
      <c r="G2347" s="1"/>
      <c r="H2347" s="161"/>
      <c r="I2347" s="37"/>
      <c r="J2347" s="135"/>
      <c r="K2347" s="112"/>
      <c r="L2347" s="37"/>
      <c r="M2347" s="37"/>
      <c r="N2347" s="37"/>
      <c r="O2347" s="130"/>
      <c r="P2347" s="132"/>
      <c r="Q2347" s="262"/>
      <c r="R2347" s="92"/>
    </row>
    <row r="2348" spans="3:18" x14ac:dyDescent="0.25">
      <c r="C2348" s="264"/>
      <c r="D2348" s="157"/>
      <c r="E2348" s="44"/>
      <c r="F2348" s="146"/>
      <c r="G2348" s="1"/>
      <c r="H2348" s="161"/>
      <c r="I2348" s="37"/>
      <c r="J2348" s="135"/>
      <c r="K2348" s="112"/>
      <c r="L2348" s="37"/>
      <c r="M2348" s="37"/>
      <c r="N2348" s="37"/>
      <c r="O2348" s="130"/>
      <c r="P2348" s="132"/>
      <c r="Q2348" s="262"/>
      <c r="R2348" s="92"/>
    </row>
    <row r="2349" spans="3:18" x14ac:dyDescent="0.25">
      <c r="C2349" s="264"/>
      <c r="D2349" s="157"/>
      <c r="E2349" s="44"/>
      <c r="F2349" s="146"/>
      <c r="G2349" s="1"/>
      <c r="H2349" s="161"/>
      <c r="I2349" s="37"/>
      <c r="J2349" s="135"/>
      <c r="K2349" s="112"/>
      <c r="L2349" s="37"/>
      <c r="M2349" s="37"/>
      <c r="N2349" s="37"/>
      <c r="O2349" s="130"/>
      <c r="P2349" s="132"/>
      <c r="Q2349" s="262"/>
      <c r="R2349" s="92"/>
    </row>
    <row r="2350" spans="3:18" x14ac:dyDescent="0.25">
      <c r="C2350" s="264"/>
      <c r="D2350" s="157"/>
      <c r="E2350" s="44"/>
      <c r="F2350" s="146"/>
      <c r="G2350" s="1"/>
      <c r="H2350" s="161"/>
      <c r="I2350" s="37"/>
      <c r="J2350" s="135"/>
      <c r="K2350" s="112"/>
      <c r="L2350" s="37"/>
      <c r="M2350" s="37"/>
      <c r="N2350" s="37"/>
      <c r="O2350" s="130"/>
      <c r="P2350" s="132"/>
      <c r="Q2350" s="262"/>
      <c r="R2350" s="92"/>
    </row>
    <row r="2351" spans="3:18" x14ac:dyDescent="0.25">
      <c r="C2351" s="264"/>
      <c r="D2351" s="157"/>
      <c r="E2351" s="44"/>
      <c r="F2351" s="146"/>
      <c r="G2351" s="1"/>
      <c r="H2351" s="161"/>
      <c r="I2351" s="37"/>
      <c r="J2351" s="135"/>
      <c r="K2351" s="112"/>
      <c r="L2351" s="37"/>
      <c r="M2351" s="37"/>
      <c r="N2351" s="37"/>
      <c r="O2351" s="130"/>
      <c r="P2351" s="132"/>
      <c r="Q2351" s="262"/>
      <c r="R2351" s="92"/>
    </row>
    <row r="2352" spans="3:18" x14ac:dyDescent="0.25">
      <c r="C2352" s="264"/>
      <c r="D2352" s="157"/>
      <c r="E2352" s="44"/>
      <c r="F2352" s="146"/>
      <c r="G2352" s="1"/>
      <c r="H2352" s="161"/>
      <c r="I2352" s="37"/>
      <c r="J2352" s="135"/>
      <c r="K2352" s="112"/>
      <c r="L2352" s="37"/>
      <c r="M2352" s="37"/>
      <c r="N2352" s="37"/>
      <c r="O2352" s="130"/>
      <c r="P2352" s="132"/>
      <c r="Q2352" s="262"/>
      <c r="R2352" s="92"/>
    </row>
    <row r="2353" spans="3:18" x14ac:dyDescent="0.25">
      <c r="C2353" s="264"/>
      <c r="D2353" s="157"/>
      <c r="E2353" s="44"/>
      <c r="F2353" s="146"/>
      <c r="G2353" s="1"/>
      <c r="H2353" s="161"/>
      <c r="I2353" s="37"/>
      <c r="J2353" s="135"/>
      <c r="K2353" s="112"/>
      <c r="L2353" s="37"/>
      <c r="M2353" s="37"/>
      <c r="N2353" s="37"/>
      <c r="O2353" s="130"/>
      <c r="P2353" s="132"/>
      <c r="Q2353" s="262"/>
      <c r="R2353" s="92"/>
    </row>
    <row r="2354" spans="3:18" x14ac:dyDescent="0.25">
      <c r="C2354" s="264"/>
      <c r="D2354" s="157"/>
      <c r="E2354" s="44"/>
      <c r="F2354" s="146"/>
      <c r="G2354" s="1"/>
      <c r="H2354" s="161"/>
      <c r="I2354" s="37"/>
      <c r="J2354" s="135"/>
      <c r="K2354" s="112"/>
      <c r="L2354" s="37"/>
      <c r="M2354" s="37"/>
      <c r="N2354" s="37"/>
      <c r="O2354" s="130"/>
      <c r="P2354" s="132"/>
      <c r="Q2354" s="262"/>
      <c r="R2354" s="92"/>
    </row>
    <row r="2355" spans="3:18" x14ac:dyDescent="0.25">
      <c r="C2355" s="264"/>
      <c r="D2355" s="157"/>
      <c r="E2355" s="44"/>
      <c r="F2355" s="146"/>
      <c r="G2355" s="1"/>
      <c r="H2355" s="161"/>
      <c r="I2355" s="37"/>
      <c r="J2355" s="135"/>
      <c r="K2355" s="112"/>
      <c r="L2355" s="37"/>
      <c r="M2355" s="37"/>
      <c r="N2355" s="37"/>
      <c r="O2355" s="130"/>
      <c r="P2355" s="132"/>
      <c r="Q2355" s="262"/>
      <c r="R2355" s="92"/>
    </row>
    <row r="2356" spans="3:18" x14ac:dyDescent="0.25">
      <c r="C2356" s="264"/>
      <c r="D2356" s="157"/>
      <c r="E2356" s="44"/>
      <c r="F2356" s="146"/>
      <c r="G2356" s="1"/>
      <c r="H2356" s="161"/>
      <c r="I2356" s="37"/>
      <c r="J2356" s="135"/>
      <c r="K2356" s="112"/>
      <c r="L2356" s="37"/>
      <c r="M2356" s="37"/>
      <c r="N2356" s="37"/>
      <c r="O2356" s="130"/>
      <c r="P2356" s="132"/>
      <c r="Q2356" s="262"/>
      <c r="R2356" s="92"/>
    </row>
    <row r="2357" spans="3:18" x14ac:dyDescent="0.25">
      <c r="C2357" s="264"/>
      <c r="D2357" s="157"/>
      <c r="E2357" s="44"/>
      <c r="F2357" s="146"/>
      <c r="G2357" s="1"/>
      <c r="H2357" s="161"/>
      <c r="I2357" s="37"/>
      <c r="J2357" s="135"/>
      <c r="K2357" s="112"/>
      <c r="L2357" s="37"/>
      <c r="M2357" s="37"/>
      <c r="N2357" s="37"/>
      <c r="O2357" s="130"/>
      <c r="P2357" s="132"/>
      <c r="Q2357" s="262"/>
      <c r="R2357" s="92"/>
    </row>
    <row r="2358" spans="3:18" x14ac:dyDescent="0.25">
      <c r="C2358" s="264"/>
      <c r="D2358" s="157"/>
      <c r="E2358" s="44"/>
      <c r="F2358" s="146"/>
      <c r="G2358" s="1"/>
      <c r="H2358" s="161"/>
      <c r="I2358" s="37"/>
      <c r="J2358" s="135"/>
      <c r="K2358" s="112"/>
      <c r="L2358" s="37"/>
      <c r="M2358" s="37"/>
      <c r="N2358" s="37"/>
      <c r="O2358" s="130"/>
      <c r="P2358" s="132"/>
      <c r="Q2358" s="262"/>
      <c r="R2358" s="92"/>
    </row>
    <row r="2359" spans="3:18" x14ac:dyDescent="0.25">
      <c r="C2359" s="264"/>
      <c r="D2359" s="157"/>
      <c r="E2359" s="44"/>
      <c r="F2359" s="146"/>
      <c r="G2359" s="1"/>
      <c r="H2359" s="161"/>
      <c r="I2359" s="37"/>
      <c r="J2359" s="135"/>
      <c r="K2359" s="112"/>
      <c r="L2359" s="37"/>
      <c r="M2359" s="37"/>
      <c r="N2359" s="37"/>
      <c r="O2359" s="130"/>
      <c r="P2359" s="132"/>
      <c r="Q2359" s="262"/>
      <c r="R2359" s="92"/>
    </row>
    <row r="2360" spans="3:18" x14ac:dyDescent="0.25">
      <c r="C2360" s="264"/>
      <c r="D2360" s="157"/>
      <c r="E2360" s="44"/>
      <c r="F2360" s="146"/>
      <c r="G2360" s="1"/>
      <c r="H2360" s="161"/>
      <c r="I2360" s="37"/>
      <c r="J2360" s="135"/>
      <c r="K2360" s="112"/>
      <c r="L2360" s="37"/>
      <c r="M2360" s="37"/>
      <c r="N2360" s="37"/>
      <c r="O2360" s="130"/>
      <c r="P2360" s="132"/>
      <c r="Q2360" s="262"/>
      <c r="R2360" s="92"/>
    </row>
    <row r="2361" spans="3:18" x14ac:dyDescent="0.25">
      <c r="C2361" s="264"/>
      <c r="D2361" s="157"/>
      <c r="E2361" s="44"/>
      <c r="F2361" s="146"/>
      <c r="G2361" s="1"/>
      <c r="H2361" s="161"/>
      <c r="I2361" s="37"/>
      <c r="J2361" s="135"/>
      <c r="K2361" s="112"/>
      <c r="L2361" s="37"/>
      <c r="M2361" s="37"/>
      <c r="N2361" s="37"/>
      <c r="O2361" s="130"/>
      <c r="P2361" s="132"/>
      <c r="Q2361" s="262"/>
      <c r="R2361" s="92"/>
    </row>
    <row r="2362" spans="3:18" x14ac:dyDescent="0.25">
      <c r="C2362" s="264"/>
      <c r="D2362" s="157"/>
      <c r="E2362" s="44"/>
      <c r="F2362" s="146"/>
      <c r="G2362" s="1"/>
      <c r="H2362" s="161"/>
      <c r="I2362" s="37"/>
      <c r="J2362" s="135"/>
      <c r="K2362" s="112"/>
      <c r="L2362" s="37"/>
      <c r="M2362" s="37"/>
      <c r="N2362" s="37"/>
      <c r="O2362" s="130"/>
      <c r="P2362" s="132"/>
      <c r="Q2362" s="262"/>
      <c r="R2362" s="92"/>
    </row>
    <row r="2363" spans="3:18" x14ac:dyDescent="0.25">
      <c r="C2363" s="264"/>
      <c r="D2363" s="157"/>
      <c r="E2363" s="44"/>
      <c r="F2363" s="146"/>
      <c r="G2363" s="1"/>
      <c r="H2363" s="161"/>
      <c r="I2363" s="37"/>
      <c r="J2363" s="135"/>
      <c r="K2363" s="112"/>
      <c r="L2363" s="37"/>
      <c r="M2363" s="37"/>
      <c r="N2363" s="37"/>
      <c r="O2363" s="130"/>
      <c r="P2363" s="132"/>
      <c r="Q2363" s="262"/>
      <c r="R2363" s="92"/>
    </row>
    <row r="2364" spans="3:18" x14ac:dyDescent="0.25">
      <c r="C2364" s="264"/>
      <c r="D2364" s="157"/>
      <c r="E2364" s="44"/>
      <c r="F2364" s="146"/>
      <c r="G2364" s="1"/>
      <c r="H2364" s="161"/>
      <c r="I2364" s="37"/>
      <c r="J2364" s="135"/>
      <c r="K2364" s="112"/>
      <c r="L2364" s="37"/>
      <c r="M2364" s="37"/>
      <c r="N2364" s="37"/>
      <c r="O2364" s="130"/>
      <c r="P2364" s="132"/>
      <c r="Q2364" s="262"/>
      <c r="R2364" s="92"/>
    </row>
    <row r="2365" spans="3:18" x14ac:dyDescent="0.25">
      <c r="C2365" s="264"/>
      <c r="D2365" s="157"/>
      <c r="E2365" s="44"/>
      <c r="F2365" s="146"/>
      <c r="G2365" s="1"/>
      <c r="H2365" s="161"/>
      <c r="I2365" s="37"/>
      <c r="J2365" s="135"/>
      <c r="K2365" s="112"/>
      <c r="L2365" s="37"/>
      <c r="M2365" s="37"/>
      <c r="N2365" s="37"/>
      <c r="O2365" s="130"/>
      <c r="P2365" s="132"/>
      <c r="Q2365" s="262"/>
      <c r="R2365" s="92"/>
    </row>
    <row r="2366" spans="3:18" x14ac:dyDescent="0.25">
      <c r="C2366" s="264"/>
      <c r="D2366" s="157"/>
      <c r="E2366" s="44"/>
      <c r="F2366" s="146"/>
      <c r="G2366" s="1"/>
      <c r="H2366" s="161"/>
      <c r="I2366" s="37"/>
      <c r="J2366" s="135"/>
      <c r="K2366" s="112"/>
      <c r="L2366" s="37"/>
      <c r="M2366" s="37"/>
      <c r="N2366" s="37"/>
      <c r="O2366" s="130"/>
      <c r="P2366" s="132"/>
      <c r="Q2366" s="262"/>
      <c r="R2366" s="92"/>
    </row>
    <row r="2367" spans="3:18" x14ac:dyDescent="0.25">
      <c r="C2367" s="264"/>
      <c r="D2367" s="157"/>
      <c r="E2367" s="44"/>
      <c r="F2367" s="146"/>
      <c r="G2367" s="1"/>
      <c r="H2367" s="161"/>
      <c r="I2367" s="37"/>
      <c r="J2367" s="135"/>
      <c r="K2367" s="112"/>
      <c r="L2367" s="37"/>
      <c r="M2367" s="37"/>
      <c r="N2367" s="37"/>
      <c r="O2367" s="130"/>
      <c r="P2367" s="132"/>
      <c r="Q2367" s="262"/>
      <c r="R2367" s="92"/>
    </row>
    <row r="2368" spans="3:18" x14ac:dyDescent="0.25">
      <c r="C2368" s="264"/>
      <c r="D2368" s="157"/>
      <c r="E2368" s="44"/>
      <c r="F2368" s="146"/>
      <c r="G2368" s="1"/>
      <c r="H2368" s="161"/>
      <c r="I2368" s="37"/>
      <c r="J2368" s="135"/>
      <c r="K2368" s="112"/>
      <c r="L2368" s="37"/>
      <c r="M2368" s="37"/>
      <c r="N2368" s="37"/>
      <c r="O2368" s="130"/>
      <c r="P2368" s="132"/>
      <c r="Q2368" s="262"/>
      <c r="R2368" s="92"/>
    </row>
    <row r="2369" spans="3:18" x14ac:dyDescent="0.25">
      <c r="C2369" s="264"/>
      <c r="D2369" s="157"/>
      <c r="E2369" s="44"/>
      <c r="F2369" s="146"/>
      <c r="G2369" s="1"/>
      <c r="H2369" s="161"/>
      <c r="I2369" s="37"/>
      <c r="J2369" s="135"/>
      <c r="K2369" s="112"/>
      <c r="L2369" s="37"/>
      <c r="M2369" s="37"/>
      <c r="N2369" s="37"/>
      <c r="O2369" s="130"/>
      <c r="P2369" s="132"/>
      <c r="Q2369" s="262"/>
      <c r="R2369" s="92"/>
    </row>
    <row r="2370" spans="3:18" x14ac:dyDescent="0.25">
      <c r="C2370" s="264"/>
      <c r="D2370" s="157"/>
      <c r="E2370" s="44"/>
      <c r="F2370" s="146"/>
      <c r="G2370" s="1"/>
      <c r="H2370" s="161"/>
      <c r="I2370" s="37"/>
      <c r="J2370" s="135"/>
      <c r="K2370" s="112"/>
      <c r="L2370" s="37"/>
      <c r="M2370" s="37"/>
      <c r="N2370" s="37"/>
      <c r="O2370" s="130"/>
      <c r="P2370" s="132"/>
      <c r="Q2370" s="262"/>
      <c r="R2370" s="92"/>
    </row>
    <row r="2371" spans="3:18" x14ac:dyDescent="0.25">
      <c r="C2371" s="264"/>
      <c r="D2371" s="157"/>
      <c r="E2371" s="44"/>
      <c r="F2371" s="146"/>
      <c r="G2371" s="1"/>
      <c r="H2371" s="161"/>
      <c r="I2371" s="37"/>
      <c r="J2371" s="135"/>
      <c r="K2371" s="112"/>
      <c r="L2371" s="37"/>
      <c r="M2371" s="37"/>
      <c r="N2371" s="37"/>
      <c r="O2371" s="130"/>
      <c r="P2371" s="132"/>
      <c r="Q2371" s="262"/>
      <c r="R2371" s="92"/>
    </row>
    <row r="2372" spans="3:18" x14ac:dyDescent="0.25">
      <c r="C2372" s="264"/>
      <c r="D2372" s="157"/>
      <c r="E2372" s="44"/>
      <c r="F2372" s="146"/>
      <c r="G2372" s="1"/>
      <c r="H2372" s="161"/>
      <c r="I2372" s="37"/>
      <c r="J2372" s="135"/>
      <c r="K2372" s="112"/>
      <c r="L2372" s="37"/>
      <c r="M2372" s="37"/>
      <c r="N2372" s="37"/>
      <c r="O2372" s="130"/>
      <c r="P2372" s="132"/>
      <c r="Q2372" s="262"/>
      <c r="R2372" s="92"/>
    </row>
    <row r="2373" spans="3:18" x14ac:dyDescent="0.25">
      <c r="C2373" s="264"/>
      <c r="D2373" s="157"/>
      <c r="E2373" s="44"/>
      <c r="F2373" s="146"/>
      <c r="G2373" s="1"/>
      <c r="H2373" s="161"/>
      <c r="I2373" s="37"/>
      <c r="J2373" s="135"/>
      <c r="K2373" s="112"/>
      <c r="L2373" s="37"/>
      <c r="M2373" s="37"/>
      <c r="N2373" s="37"/>
      <c r="O2373" s="130"/>
      <c r="P2373" s="132"/>
      <c r="Q2373" s="262"/>
      <c r="R2373" s="92"/>
    </row>
    <row r="2374" spans="3:18" x14ac:dyDescent="0.25">
      <c r="C2374" s="264"/>
      <c r="D2374" s="157"/>
      <c r="E2374" s="44"/>
      <c r="F2374" s="146"/>
      <c r="G2374" s="1"/>
      <c r="H2374" s="161"/>
      <c r="I2374" s="37"/>
      <c r="J2374" s="135"/>
      <c r="K2374" s="112"/>
      <c r="L2374" s="37"/>
      <c r="M2374" s="37"/>
      <c r="N2374" s="37"/>
      <c r="O2374" s="130"/>
      <c r="P2374" s="132"/>
      <c r="Q2374" s="262"/>
      <c r="R2374" s="92"/>
    </row>
    <row r="2375" spans="3:18" x14ac:dyDescent="0.25">
      <c r="C2375" s="264"/>
      <c r="D2375" s="157"/>
      <c r="E2375" s="44"/>
      <c r="F2375" s="146"/>
      <c r="G2375" s="1"/>
      <c r="H2375" s="161"/>
      <c r="I2375" s="37"/>
      <c r="J2375" s="135"/>
      <c r="K2375" s="112"/>
      <c r="L2375" s="37"/>
      <c r="M2375" s="37"/>
      <c r="N2375" s="37"/>
      <c r="O2375" s="130"/>
      <c r="P2375" s="132"/>
      <c r="Q2375" s="262"/>
      <c r="R2375" s="92"/>
    </row>
    <row r="2376" spans="3:18" x14ac:dyDescent="0.25">
      <c r="C2376" s="264"/>
      <c r="D2376" s="157"/>
      <c r="E2376" s="44"/>
      <c r="F2376" s="146"/>
      <c r="G2376" s="1"/>
      <c r="H2376" s="161"/>
      <c r="I2376" s="37"/>
      <c r="J2376" s="135"/>
      <c r="K2376" s="112"/>
      <c r="L2376" s="37"/>
      <c r="M2376" s="37"/>
      <c r="N2376" s="37"/>
      <c r="O2376" s="130"/>
      <c r="P2376" s="132"/>
      <c r="Q2376" s="262"/>
      <c r="R2376" s="92"/>
    </row>
    <row r="2377" spans="3:18" x14ac:dyDescent="0.25">
      <c r="C2377" s="264"/>
      <c r="D2377" s="157"/>
      <c r="E2377" s="44"/>
      <c r="F2377" s="146"/>
      <c r="G2377" s="1"/>
      <c r="H2377" s="161"/>
      <c r="I2377" s="37"/>
      <c r="J2377" s="135"/>
      <c r="K2377" s="112"/>
      <c r="L2377" s="37"/>
      <c r="M2377" s="37"/>
      <c r="N2377" s="37"/>
      <c r="O2377" s="130"/>
      <c r="P2377" s="132"/>
      <c r="Q2377" s="262"/>
      <c r="R2377" s="92"/>
    </row>
    <row r="2378" spans="3:18" x14ac:dyDescent="0.25">
      <c r="C2378" s="264"/>
      <c r="D2378" s="157"/>
      <c r="E2378" s="44"/>
      <c r="F2378" s="146"/>
      <c r="G2378" s="1"/>
      <c r="H2378" s="161"/>
      <c r="I2378" s="37"/>
      <c r="J2378" s="135"/>
      <c r="K2378" s="112"/>
      <c r="L2378" s="37"/>
      <c r="M2378" s="37"/>
      <c r="N2378" s="37"/>
      <c r="O2378" s="130"/>
      <c r="P2378" s="132"/>
      <c r="Q2378" s="262"/>
      <c r="R2378" s="92"/>
    </row>
    <row r="2379" spans="3:18" x14ac:dyDescent="0.25">
      <c r="C2379" s="264"/>
      <c r="D2379" s="157"/>
      <c r="E2379" s="44"/>
      <c r="F2379" s="146"/>
      <c r="G2379" s="1"/>
      <c r="H2379" s="161"/>
      <c r="I2379" s="37"/>
      <c r="J2379" s="135"/>
      <c r="K2379" s="112"/>
      <c r="L2379" s="37"/>
      <c r="M2379" s="37"/>
      <c r="N2379" s="37"/>
      <c r="O2379" s="130"/>
      <c r="P2379" s="132"/>
      <c r="Q2379" s="262"/>
      <c r="R2379" s="92"/>
    </row>
    <row r="2380" spans="3:18" x14ac:dyDescent="0.25">
      <c r="C2380" s="264"/>
      <c r="D2380" s="157"/>
      <c r="E2380" s="44"/>
      <c r="F2380" s="146"/>
      <c r="G2380" s="1"/>
      <c r="H2380" s="161"/>
      <c r="I2380" s="37"/>
      <c r="J2380" s="135"/>
      <c r="K2380" s="112"/>
      <c r="L2380" s="37"/>
      <c r="M2380" s="37"/>
      <c r="N2380" s="37"/>
      <c r="O2380" s="130"/>
      <c r="P2380" s="132"/>
      <c r="Q2380" s="262"/>
      <c r="R2380" s="92"/>
    </row>
    <row r="2381" spans="3:18" x14ac:dyDescent="0.25">
      <c r="C2381" s="264"/>
      <c r="D2381" s="157"/>
      <c r="E2381" s="44"/>
      <c r="F2381" s="146"/>
      <c r="G2381" s="1"/>
      <c r="H2381" s="161"/>
      <c r="I2381" s="37"/>
      <c r="J2381" s="135"/>
      <c r="K2381" s="112"/>
      <c r="L2381" s="37"/>
      <c r="M2381" s="37"/>
      <c r="N2381" s="37"/>
      <c r="O2381" s="130"/>
      <c r="P2381" s="132"/>
      <c r="Q2381" s="262"/>
      <c r="R2381" s="92"/>
    </row>
    <row r="2382" spans="3:18" x14ac:dyDescent="0.25">
      <c r="C2382" s="264"/>
      <c r="D2382" s="157"/>
      <c r="E2382" s="44"/>
      <c r="F2382" s="146"/>
      <c r="G2382" s="1"/>
      <c r="H2382" s="161"/>
      <c r="I2382" s="37"/>
      <c r="J2382" s="135"/>
      <c r="K2382" s="112"/>
      <c r="L2382" s="37"/>
      <c r="M2382" s="37"/>
      <c r="N2382" s="37"/>
      <c r="O2382" s="130"/>
      <c r="P2382" s="132"/>
      <c r="Q2382" s="262"/>
      <c r="R2382" s="92"/>
    </row>
    <row r="2383" spans="3:18" x14ac:dyDescent="0.25">
      <c r="C2383" s="264"/>
      <c r="D2383" s="157"/>
      <c r="E2383" s="44"/>
      <c r="F2383" s="146"/>
      <c r="G2383" s="1"/>
      <c r="H2383" s="161"/>
      <c r="I2383" s="37"/>
      <c r="J2383" s="135"/>
      <c r="K2383" s="112"/>
      <c r="L2383" s="37"/>
      <c r="M2383" s="37"/>
      <c r="N2383" s="37"/>
      <c r="O2383" s="130"/>
      <c r="P2383" s="132"/>
      <c r="Q2383" s="262"/>
      <c r="R2383" s="92"/>
    </row>
    <row r="2384" spans="3:18" x14ac:dyDescent="0.25">
      <c r="C2384" s="264"/>
      <c r="D2384" s="157"/>
      <c r="E2384" s="44"/>
      <c r="F2384" s="146"/>
      <c r="G2384" s="1"/>
      <c r="H2384" s="161"/>
      <c r="I2384" s="37"/>
      <c r="J2384" s="135"/>
      <c r="K2384" s="112"/>
      <c r="L2384" s="37"/>
      <c r="M2384" s="37"/>
      <c r="N2384" s="37"/>
      <c r="O2384" s="130"/>
      <c r="P2384" s="132"/>
      <c r="Q2384" s="262"/>
      <c r="R2384" s="92"/>
    </row>
    <row r="2385" spans="3:18" x14ac:dyDescent="0.25">
      <c r="C2385" s="264"/>
      <c r="D2385" s="157"/>
      <c r="E2385" s="44"/>
      <c r="F2385" s="146"/>
      <c r="G2385" s="1"/>
      <c r="H2385" s="161"/>
      <c r="I2385" s="37"/>
      <c r="J2385" s="135"/>
      <c r="K2385" s="112"/>
      <c r="L2385" s="37"/>
      <c r="M2385" s="37"/>
      <c r="N2385" s="37"/>
      <c r="O2385" s="130"/>
      <c r="P2385" s="132"/>
      <c r="Q2385" s="262"/>
      <c r="R2385" s="92"/>
    </row>
    <row r="2386" spans="3:18" x14ac:dyDescent="0.25">
      <c r="C2386" s="264"/>
      <c r="D2386" s="157"/>
      <c r="E2386" s="44"/>
      <c r="F2386" s="146"/>
      <c r="G2386" s="1"/>
      <c r="H2386" s="161"/>
      <c r="I2386" s="37"/>
      <c r="J2386" s="135"/>
      <c r="K2386" s="112"/>
      <c r="L2386" s="37"/>
      <c r="M2386" s="37"/>
      <c r="N2386" s="37"/>
      <c r="O2386" s="130"/>
      <c r="P2386" s="132"/>
      <c r="Q2386" s="262"/>
      <c r="R2386" s="92"/>
    </row>
    <row r="2387" spans="3:18" x14ac:dyDescent="0.25">
      <c r="C2387" s="264"/>
      <c r="D2387" s="157"/>
      <c r="E2387" s="44"/>
      <c r="F2387" s="146"/>
      <c r="G2387" s="1"/>
      <c r="H2387" s="161"/>
      <c r="I2387" s="37"/>
      <c r="J2387" s="135"/>
      <c r="K2387" s="112"/>
      <c r="L2387" s="37"/>
      <c r="M2387" s="37"/>
      <c r="N2387" s="37"/>
      <c r="O2387" s="130"/>
      <c r="P2387" s="132"/>
      <c r="Q2387" s="262"/>
      <c r="R2387" s="92"/>
    </row>
    <row r="2388" spans="3:18" x14ac:dyDescent="0.25">
      <c r="C2388" s="264"/>
      <c r="D2388" s="157"/>
      <c r="E2388" s="44"/>
      <c r="F2388" s="146"/>
      <c r="G2388" s="1"/>
      <c r="H2388" s="161"/>
      <c r="I2388" s="37"/>
      <c r="J2388" s="135"/>
      <c r="K2388" s="112"/>
      <c r="L2388" s="37"/>
      <c r="M2388" s="37"/>
      <c r="N2388" s="37"/>
      <c r="O2388" s="130"/>
      <c r="P2388" s="132"/>
      <c r="Q2388" s="262"/>
      <c r="R2388" s="92"/>
    </row>
    <row r="2389" spans="3:18" x14ac:dyDescent="0.25">
      <c r="C2389" s="264"/>
      <c r="D2389" s="157"/>
      <c r="E2389" s="44"/>
      <c r="F2389" s="146"/>
      <c r="G2389" s="1"/>
      <c r="H2389" s="161"/>
      <c r="I2389" s="37"/>
      <c r="J2389" s="135"/>
      <c r="K2389" s="112"/>
      <c r="L2389" s="37"/>
      <c r="M2389" s="37"/>
      <c r="N2389" s="37"/>
      <c r="O2389" s="130"/>
      <c r="P2389" s="132"/>
      <c r="Q2389" s="262"/>
      <c r="R2389" s="92"/>
    </row>
    <row r="2390" spans="3:18" x14ac:dyDescent="0.25">
      <c r="C2390" s="264"/>
      <c r="D2390" s="157"/>
      <c r="E2390" s="44"/>
      <c r="F2390" s="146"/>
      <c r="G2390" s="1"/>
      <c r="H2390" s="161"/>
      <c r="I2390" s="37"/>
      <c r="J2390" s="135"/>
      <c r="K2390" s="112"/>
      <c r="L2390" s="37"/>
      <c r="M2390" s="37"/>
      <c r="N2390" s="37"/>
      <c r="O2390" s="130"/>
      <c r="P2390" s="132"/>
      <c r="Q2390" s="262"/>
      <c r="R2390" s="92"/>
    </row>
    <row r="2391" spans="3:18" x14ac:dyDescent="0.25">
      <c r="C2391" s="264"/>
      <c r="D2391" s="157"/>
      <c r="E2391" s="44"/>
      <c r="F2391" s="146"/>
      <c r="G2391" s="1"/>
      <c r="H2391" s="161"/>
      <c r="I2391" s="37"/>
      <c r="J2391" s="135"/>
      <c r="K2391" s="112"/>
      <c r="L2391" s="37"/>
      <c r="M2391" s="37"/>
      <c r="N2391" s="37"/>
      <c r="O2391" s="130"/>
      <c r="P2391" s="132"/>
      <c r="Q2391" s="262"/>
      <c r="R2391" s="92"/>
    </row>
    <row r="2392" spans="3:18" x14ac:dyDescent="0.25">
      <c r="C2392" s="264"/>
      <c r="D2392" s="157"/>
      <c r="E2392" s="44"/>
      <c r="F2392" s="146"/>
      <c r="G2392" s="1"/>
      <c r="H2392" s="161"/>
      <c r="I2392" s="37"/>
      <c r="J2392" s="135"/>
      <c r="K2392" s="112"/>
      <c r="L2392" s="37"/>
      <c r="M2392" s="37"/>
      <c r="N2392" s="37"/>
      <c r="O2392" s="130"/>
      <c r="P2392" s="132"/>
      <c r="Q2392" s="262"/>
      <c r="R2392" s="92"/>
    </row>
    <row r="2393" spans="3:18" x14ac:dyDescent="0.25">
      <c r="C2393" s="264"/>
      <c r="D2393" s="157"/>
      <c r="E2393" s="44"/>
      <c r="F2393" s="146"/>
      <c r="G2393" s="1"/>
      <c r="H2393" s="161"/>
      <c r="I2393" s="37"/>
      <c r="J2393" s="135"/>
      <c r="K2393" s="112"/>
      <c r="L2393" s="37"/>
      <c r="M2393" s="37"/>
      <c r="N2393" s="37"/>
      <c r="O2393" s="130"/>
      <c r="P2393" s="132"/>
      <c r="Q2393" s="262"/>
      <c r="R2393" s="92"/>
    </row>
    <row r="2394" spans="3:18" x14ac:dyDescent="0.25">
      <c r="C2394" s="264"/>
      <c r="D2394" s="157"/>
      <c r="E2394" s="44"/>
      <c r="F2394" s="146"/>
      <c r="G2394" s="1"/>
      <c r="H2394" s="161"/>
      <c r="I2394" s="37"/>
      <c r="J2394" s="135"/>
      <c r="K2394" s="112"/>
      <c r="L2394" s="37"/>
      <c r="M2394" s="37"/>
      <c r="N2394" s="37"/>
      <c r="O2394" s="130"/>
      <c r="P2394" s="132"/>
      <c r="Q2394" s="262"/>
      <c r="R2394" s="92"/>
    </row>
    <row r="2395" spans="3:18" x14ac:dyDescent="0.25">
      <c r="C2395" s="264"/>
      <c r="D2395" s="157"/>
      <c r="E2395" s="44"/>
      <c r="F2395" s="146"/>
      <c r="G2395" s="1"/>
      <c r="H2395" s="161"/>
      <c r="I2395" s="37"/>
      <c r="J2395" s="135"/>
      <c r="K2395" s="112"/>
      <c r="L2395" s="37"/>
      <c r="M2395" s="37"/>
      <c r="N2395" s="37"/>
      <c r="O2395" s="130"/>
      <c r="P2395" s="132"/>
      <c r="Q2395" s="262"/>
      <c r="R2395" s="92"/>
    </row>
    <row r="2396" spans="3:18" x14ac:dyDescent="0.25">
      <c r="C2396" s="264"/>
      <c r="D2396" s="157"/>
      <c r="E2396" s="44"/>
      <c r="F2396" s="146"/>
      <c r="G2396" s="1"/>
      <c r="H2396" s="161"/>
      <c r="I2396" s="37"/>
      <c r="J2396" s="135"/>
      <c r="K2396" s="112"/>
      <c r="L2396" s="37"/>
      <c r="M2396" s="37"/>
      <c r="N2396" s="37"/>
      <c r="O2396" s="130"/>
      <c r="P2396" s="132"/>
      <c r="Q2396" s="262"/>
      <c r="R2396" s="92"/>
    </row>
    <row r="2397" spans="3:18" x14ac:dyDescent="0.25">
      <c r="C2397" s="264"/>
      <c r="D2397" s="157"/>
      <c r="E2397" s="44"/>
      <c r="F2397" s="146"/>
      <c r="G2397" s="1"/>
      <c r="H2397" s="161"/>
      <c r="I2397" s="37"/>
      <c r="J2397" s="135"/>
      <c r="K2397" s="112"/>
      <c r="L2397" s="37"/>
      <c r="M2397" s="37"/>
      <c r="N2397" s="37"/>
      <c r="O2397" s="130"/>
      <c r="P2397" s="132"/>
      <c r="Q2397" s="262"/>
      <c r="R2397" s="92"/>
    </row>
    <row r="2398" spans="3:18" x14ac:dyDescent="0.25">
      <c r="C2398" s="264"/>
      <c r="D2398" s="157"/>
      <c r="E2398" s="44"/>
      <c r="F2398" s="146"/>
      <c r="G2398" s="1"/>
      <c r="H2398" s="161"/>
      <c r="I2398" s="37"/>
      <c r="J2398" s="135"/>
      <c r="K2398" s="112"/>
      <c r="L2398" s="37"/>
      <c r="M2398" s="37"/>
      <c r="N2398" s="37"/>
      <c r="O2398" s="130"/>
      <c r="P2398" s="132"/>
      <c r="Q2398" s="262"/>
      <c r="R2398" s="92"/>
    </row>
    <row r="2399" spans="3:18" x14ac:dyDescent="0.25">
      <c r="C2399" s="264"/>
      <c r="D2399" s="157"/>
      <c r="E2399" s="44"/>
      <c r="F2399" s="146"/>
      <c r="G2399" s="1"/>
      <c r="H2399" s="161"/>
      <c r="I2399" s="37"/>
      <c r="J2399" s="135"/>
      <c r="K2399" s="112"/>
      <c r="L2399" s="37"/>
      <c r="M2399" s="37"/>
      <c r="N2399" s="37"/>
      <c r="O2399" s="130"/>
      <c r="P2399" s="132"/>
      <c r="Q2399" s="262"/>
      <c r="R2399" s="92"/>
    </row>
    <row r="2400" spans="3:18" x14ac:dyDescent="0.25">
      <c r="C2400" s="264"/>
      <c r="D2400" s="157"/>
      <c r="E2400" s="44"/>
      <c r="F2400" s="146"/>
      <c r="G2400" s="1"/>
      <c r="H2400" s="161"/>
      <c r="I2400" s="37"/>
      <c r="J2400" s="135"/>
      <c r="K2400" s="112"/>
      <c r="L2400" s="37"/>
      <c r="M2400" s="37"/>
      <c r="N2400" s="37"/>
      <c r="O2400" s="130"/>
      <c r="P2400" s="132"/>
      <c r="Q2400" s="262"/>
      <c r="R2400" s="92"/>
    </row>
    <row r="2401" spans="3:18" x14ac:dyDescent="0.25">
      <c r="C2401" s="264"/>
      <c r="D2401" s="157"/>
      <c r="E2401" s="44"/>
      <c r="F2401" s="146"/>
      <c r="G2401" s="1"/>
      <c r="H2401" s="161"/>
      <c r="I2401" s="37"/>
      <c r="J2401" s="135"/>
      <c r="K2401" s="112"/>
      <c r="L2401" s="37"/>
      <c r="M2401" s="37"/>
      <c r="N2401" s="37"/>
      <c r="O2401" s="130"/>
      <c r="P2401" s="132"/>
      <c r="Q2401" s="262"/>
      <c r="R2401" s="92"/>
    </row>
    <row r="2402" spans="3:18" x14ac:dyDescent="0.25">
      <c r="C2402" s="264"/>
      <c r="D2402" s="157"/>
      <c r="E2402" s="44"/>
      <c r="F2402" s="146"/>
      <c r="G2402" s="1"/>
      <c r="H2402" s="161"/>
      <c r="I2402" s="37"/>
      <c r="J2402" s="135"/>
      <c r="K2402" s="112"/>
      <c r="L2402" s="37"/>
      <c r="M2402" s="37"/>
      <c r="N2402" s="37"/>
      <c r="O2402" s="130"/>
      <c r="P2402" s="132"/>
      <c r="Q2402" s="262"/>
      <c r="R2402" s="92"/>
    </row>
    <row r="2403" spans="3:18" x14ac:dyDescent="0.25">
      <c r="C2403" s="264"/>
      <c r="D2403" s="157"/>
      <c r="E2403" s="44"/>
      <c r="F2403" s="146"/>
      <c r="G2403" s="1"/>
      <c r="H2403" s="161"/>
      <c r="I2403" s="37"/>
      <c r="J2403" s="135"/>
      <c r="K2403" s="112"/>
      <c r="L2403" s="37"/>
      <c r="M2403" s="37"/>
      <c r="N2403" s="37"/>
      <c r="O2403" s="130"/>
      <c r="P2403" s="132"/>
      <c r="Q2403" s="262"/>
      <c r="R2403" s="92"/>
    </row>
    <row r="2404" spans="3:18" x14ac:dyDescent="0.25">
      <c r="C2404" s="264"/>
      <c r="D2404" s="157"/>
      <c r="E2404" s="44"/>
      <c r="F2404" s="146"/>
      <c r="G2404" s="1"/>
      <c r="H2404" s="161"/>
      <c r="I2404" s="37"/>
      <c r="J2404" s="135"/>
      <c r="K2404" s="112"/>
      <c r="L2404" s="37"/>
      <c r="M2404" s="37"/>
      <c r="N2404" s="37"/>
      <c r="O2404" s="130"/>
      <c r="P2404" s="132"/>
      <c r="Q2404" s="262"/>
      <c r="R2404" s="92"/>
    </row>
    <row r="2405" spans="3:18" x14ac:dyDescent="0.25">
      <c r="C2405" s="264"/>
      <c r="D2405" s="157"/>
      <c r="E2405" s="44"/>
      <c r="F2405" s="146"/>
      <c r="G2405" s="1"/>
      <c r="H2405" s="161"/>
      <c r="I2405" s="37"/>
      <c r="J2405" s="135"/>
      <c r="K2405" s="112"/>
      <c r="L2405" s="37"/>
      <c r="M2405" s="37"/>
      <c r="N2405" s="37"/>
      <c r="O2405" s="130"/>
      <c r="P2405" s="132"/>
      <c r="Q2405" s="262"/>
      <c r="R2405" s="92"/>
    </row>
    <row r="2406" spans="3:18" x14ac:dyDescent="0.25">
      <c r="C2406" s="264"/>
      <c r="D2406" s="157"/>
      <c r="E2406" s="44"/>
      <c r="F2406" s="146"/>
      <c r="G2406" s="1"/>
      <c r="H2406" s="161"/>
      <c r="I2406" s="37"/>
      <c r="J2406" s="135"/>
      <c r="K2406" s="112"/>
      <c r="L2406" s="37"/>
      <c r="M2406" s="37"/>
      <c r="N2406" s="37"/>
      <c r="O2406" s="130"/>
      <c r="P2406" s="132"/>
      <c r="Q2406" s="262"/>
      <c r="R2406" s="92"/>
    </row>
    <row r="2407" spans="3:18" x14ac:dyDescent="0.25">
      <c r="C2407" s="264"/>
      <c r="D2407" s="157"/>
      <c r="E2407" s="44"/>
      <c r="F2407" s="146"/>
      <c r="G2407" s="1"/>
      <c r="H2407" s="161"/>
      <c r="I2407" s="37"/>
      <c r="J2407" s="135"/>
      <c r="K2407" s="112"/>
      <c r="L2407" s="37"/>
      <c r="M2407" s="37"/>
      <c r="N2407" s="37"/>
      <c r="O2407" s="130"/>
      <c r="P2407" s="132"/>
      <c r="Q2407" s="262"/>
      <c r="R2407" s="92"/>
    </row>
    <row r="2408" spans="3:18" x14ac:dyDescent="0.25">
      <c r="C2408" s="264"/>
      <c r="D2408" s="157"/>
      <c r="E2408" s="44"/>
      <c r="F2408" s="146"/>
      <c r="G2408" s="1"/>
      <c r="H2408" s="161"/>
      <c r="I2408" s="37"/>
      <c r="J2408" s="135"/>
      <c r="K2408" s="112"/>
      <c r="L2408" s="37"/>
      <c r="M2408" s="37"/>
      <c r="N2408" s="37"/>
      <c r="O2408" s="130"/>
      <c r="P2408" s="132"/>
      <c r="Q2408" s="262"/>
      <c r="R2408" s="92"/>
    </row>
    <row r="2409" spans="3:18" x14ac:dyDescent="0.25">
      <c r="C2409" s="264"/>
      <c r="D2409" s="157"/>
      <c r="E2409" s="44"/>
      <c r="F2409" s="146"/>
      <c r="G2409" s="1"/>
      <c r="H2409" s="161"/>
      <c r="I2409" s="37"/>
      <c r="J2409" s="135"/>
      <c r="K2409" s="112"/>
      <c r="L2409" s="37"/>
      <c r="M2409" s="37"/>
      <c r="N2409" s="37"/>
      <c r="O2409" s="130"/>
      <c r="P2409" s="132"/>
      <c r="Q2409" s="262"/>
      <c r="R2409" s="92"/>
    </row>
    <row r="2410" spans="3:18" x14ac:dyDescent="0.25">
      <c r="C2410" s="264"/>
      <c r="D2410" s="157"/>
      <c r="E2410" s="44"/>
      <c r="F2410" s="146"/>
      <c r="G2410" s="1"/>
      <c r="H2410" s="161"/>
      <c r="I2410" s="37"/>
      <c r="J2410" s="135"/>
      <c r="K2410" s="112"/>
      <c r="L2410" s="37"/>
      <c r="M2410" s="37"/>
      <c r="N2410" s="37"/>
      <c r="O2410" s="130"/>
      <c r="P2410" s="132"/>
      <c r="Q2410" s="262"/>
      <c r="R2410" s="92"/>
    </row>
    <row r="2411" spans="3:18" x14ac:dyDescent="0.25">
      <c r="C2411" s="264"/>
      <c r="D2411" s="157"/>
      <c r="E2411" s="44"/>
      <c r="F2411" s="146"/>
      <c r="G2411" s="1"/>
      <c r="H2411" s="161"/>
      <c r="I2411" s="37"/>
      <c r="J2411" s="135"/>
      <c r="K2411" s="112"/>
      <c r="L2411" s="37"/>
      <c r="M2411" s="37"/>
      <c r="N2411" s="37"/>
      <c r="O2411" s="130"/>
      <c r="P2411" s="132"/>
      <c r="Q2411" s="262"/>
      <c r="R2411" s="92"/>
    </row>
    <row r="2412" spans="3:18" x14ac:dyDescent="0.25">
      <c r="C2412" s="264"/>
      <c r="D2412" s="157"/>
      <c r="E2412" s="44"/>
      <c r="F2412" s="146"/>
      <c r="G2412" s="1"/>
      <c r="H2412" s="161"/>
      <c r="I2412" s="37"/>
      <c r="J2412" s="135"/>
      <c r="K2412" s="112"/>
      <c r="L2412" s="37"/>
      <c r="M2412" s="37"/>
      <c r="N2412" s="37"/>
      <c r="O2412" s="130"/>
      <c r="P2412" s="132"/>
      <c r="Q2412" s="262"/>
      <c r="R2412" s="92"/>
    </row>
    <row r="2413" spans="3:18" x14ac:dyDescent="0.25">
      <c r="C2413" s="264"/>
      <c r="D2413" s="157"/>
      <c r="E2413" s="44"/>
      <c r="F2413" s="146"/>
      <c r="G2413" s="1"/>
      <c r="H2413" s="161"/>
      <c r="I2413" s="37"/>
      <c r="J2413" s="135"/>
      <c r="K2413" s="112"/>
      <c r="L2413" s="37"/>
      <c r="M2413" s="37"/>
      <c r="N2413" s="37"/>
      <c r="O2413" s="130"/>
      <c r="P2413" s="132"/>
      <c r="Q2413" s="262"/>
      <c r="R2413" s="92"/>
    </row>
    <row r="2414" spans="3:18" x14ac:dyDescent="0.25">
      <c r="C2414" s="264"/>
      <c r="D2414" s="157"/>
      <c r="E2414" s="44"/>
      <c r="F2414" s="146"/>
      <c r="G2414" s="1"/>
      <c r="H2414" s="161"/>
      <c r="I2414" s="37"/>
      <c r="J2414" s="135"/>
      <c r="K2414" s="112"/>
      <c r="L2414" s="37"/>
      <c r="M2414" s="37"/>
      <c r="N2414" s="37"/>
      <c r="O2414" s="130"/>
      <c r="P2414" s="132"/>
      <c r="Q2414" s="262"/>
      <c r="R2414" s="92"/>
    </row>
    <row r="2415" spans="3:18" x14ac:dyDescent="0.25">
      <c r="C2415" s="264"/>
      <c r="D2415" s="157"/>
      <c r="E2415" s="44"/>
      <c r="F2415" s="146"/>
      <c r="G2415" s="1"/>
      <c r="H2415" s="161"/>
      <c r="I2415" s="37"/>
      <c r="J2415" s="135"/>
      <c r="K2415" s="112"/>
      <c r="L2415" s="37"/>
      <c r="M2415" s="37"/>
      <c r="N2415" s="37"/>
      <c r="O2415" s="130"/>
      <c r="P2415" s="132"/>
      <c r="Q2415" s="262"/>
      <c r="R2415" s="92"/>
    </row>
    <row r="2416" spans="3:18" x14ac:dyDescent="0.25">
      <c r="C2416" s="264"/>
      <c r="D2416" s="157"/>
      <c r="E2416" s="44"/>
      <c r="F2416" s="146"/>
      <c r="G2416" s="1"/>
      <c r="H2416" s="161"/>
      <c r="I2416" s="37"/>
      <c r="J2416" s="135"/>
      <c r="K2416" s="112"/>
      <c r="L2416" s="37"/>
      <c r="M2416" s="37"/>
      <c r="N2416" s="37"/>
      <c r="O2416" s="130"/>
      <c r="P2416" s="132"/>
      <c r="Q2416" s="262"/>
      <c r="R2416" s="92"/>
    </row>
    <row r="2417" spans="3:18" x14ac:dyDescent="0.25">
      <c r="C2417" s="264"/>
      <c r="D2417" s="157"/>
      <c r="E2417" s="44"/>
      <c r="F2417" s="146"/>
      <c r="G2417" s="1"/>
      <c r="H2417" s="161"/>
      <c r="I2417" s="37"/>
      <c r="J2417" s="135"/>
      <c r="K2417" s="112"/>
      <c r="L2417" s="37"/>
      <c r="M2417" s="37"/>
      <c r="N2417" s="37"/>
      <c r="O2417" s="130"/>
      <c r="P2417" s="132"/>
      <c r="Q2417" s="262"/>
      <c r="R2417" s="92"/>
    </row>
    <row r="2418" spans="3:18" x14ac:dyDescent="0.25">
      <c r="C2418" s="264"/>
      <c r="D2418" s="157"/>
      <c r="E2418" s="44"/>
      <c r="F2418" s="146"/>
      <c r="G2418" s="1"/>
      <c r="H2418" s="161"/>
      <c r="I2418" s="37"/>
      <c r="J2418" s="135"/>
      <c r="K2418" s="112"/>
      <c r="L2418" s="37"/>
      <c r="M2418" s="37"/>
      <c r="N2418" s="37"/>
      <c r="O2418" s="130"/>
      <c r="P2418" s="132"/>
      <c r="Q2418" s="262"/>
      <c r="R2418" s="92"/>
    </row>
    <row r="2419" spans="3:18" x14ac:dyDescent="0.25">
      <c r="C2419" s="264"/>
      <c r="D2419" s="157"/>
      <c r="E2419" s="44"/>
      <c r="F2419" s="146"/>
      <c r="G2419" s="1"/>
      <c r="H2419" s="161"/>
      <c r="I2419" s="37"/>
      <c r="J2419" s="135"/>
      <c r="K2419" s="112"/>
      <c r="L2419" s="37"/>
      <c r="M2419" s="37"/>
      <c r="N2419" s="37"/>
      <c r="O2419" s="130"/>
      <c r="P2419" s="132"/>
      <c r="Q2419" s="262"/>
      <c r="R2419" s="92"/>
    </row>
    <row r="2420" spans="3:18" x14ac:dyDescent="0.25">
      <c r="C2420" s="264"/>
      <c r="D2420" s="157"/>
      <c r="E2420" s="44"/>
      <c r="F2420" s="146"/>
      <c r="G2420" s="1"/>
      <c r="H2420" s="161"/>
      <c r="I2420" s="37"/>
      <c r="J2420" s="135"/>
      <c r="K2420" s="112"/>
      <c r="L2420" s="37"/>
      <c r="M2420" s="37"/>
      <c r="N2420" s="37"/>
      <c r="O2420" s="130"/>
      <c r="P2420" s="132"/>
      <c r="Q2420" s="262"/>
      <c r="R2420" s="92"/>
    </row>
    <row r="2421" spans="3:18" x14ac:dyDescent="0.25">
      <c r="C2421" s="264"/>
      <c r="D2421" s="157"/>
      <c r="E2421" s="44"/>
      <c r="F2421" s="146"/>
      <c r="G2421" s="1"/>
      <c r="H2421" s="161"/>
      <c r="I2421" s="37"/>
      <c r="J2421" s="135"/>
      <c r="K2421" s="112"/>
      <c r="L2421" s="37"/>
      <c r="M2421" s="37"/>
      <c r="N2421" s="37"/>
      <c r="O2421" s="130"/>
      <c r="P2421" s="132"/>
      <c r="Q2421" s="262"/>
      <c r="R2421" s="92"/>
    </row>
    <row r="2422" spans="3:18" x14ac:dyDescent="0.25">
      <c r="C2422" s="264"/>
      <c r="D2422" s="157"/>
      <c r="E2422" s="44"/>
      <c r="F2422" s="146"/>
      <c r="G2422" s="1"/>
      <c r="H2422" s="161"/>
      <c r="I2422" s="37"/>
      <c r="J2422" s="135"/>
      <c r="K2422" s="112"/>
      <c r="L2422" s="37"/>
      <c r="M2422" s="37"/>
      <c r="N2422" s="37"/>
      <c r="O2422" s="130"/>
      <c r="P2422" s="132"/>
      <c r="Q2422" s="262"/>
      <c r="R2422" s="92"/>
    </row>
    <row r="2423" spans="3:18" x14ac:dyDescent="0.25">
      <c r="C2423" s="264"/>
      <c r="D2423" s="157"/>
      <c r="E2423" s="44"/>
      <c r="F2423" s="146"/>
      <c r="G2423" s="1"/>
      <c r="H2423" s="161"/>
      <c r="I2423" s="37"/>
      <c r="J2423" s="135"/>
      <c r="K2423" s="112"/>
      <c r="L2423" s="37"/>
      <c r="M2423" s="37"/>
      <c r="N2423" s="37"/>
      <c r="O2423" s="130"/>
      <c r="P2423" s="132"/>
      <c r="Q2423" s="262"/>
      <c r="R2423" s="92"/>
    </row>
    <row r="2424" spans="3:18" x14ac:dyDescent="0.25">
      <c r="C2424" s="264"/>
      <c r="D2424" s="157"/>
      <c r="E2424" s="44"/>
      <c r="F2424" s="146"/>
      <c r="G2424" s="1"/>
      <c r="H2424" s="161"/>
      <c r="I2424" s="37"/>
      <c r="J2424" s="135"/>
      <c r="K2424" s="112"/>
      <c r="L2424" s="37"/>
      <c r="M2424" s="37"/>
      <c r="N2424" s="37"/>
      <c r="O2424" s="130"/>
      <c r="P2424" s="132"/>
      <c r="Q2424" s="262"/>
      <c r="R2424" s="92"/>
    </row>
    <row r="2425" spans="3:18" x14ac:dyDescent="0.25">
      <c r="C2425" s="264"/>
      <c r="D2425" s="157"/>
      <c r="E2425" s="44"/>
      <c r="F2425" s="146"/>
      <c r="G2425" s="1"/>
      <c r="H2425" s="161"/>
      <c r="I2425" s="37"/>
      <c r="J2425" s="135"/>
      <c r="K2425" s="112"/>
      <c r="L2425" s="37"/>
      <c r="M2425" s="37"/>
      <c r="N2425" s="37"/>
      <c r="O2425" s="130"/>
      <c r="P2425" s="132"/>
      <c r="Q2425" s="262"/>
      <c r="R2425" s="92"/>
    </row>
    <row r="2426" spans="3:18" x14ac:dyDescent="0.25">
      <c r="C2426" s="264"/>
      <c r="D2426" s="157"/>
      <c r="E2426" s="44"/>
      <c r="F2426" s="146"/>
      <c r="G2426" s="1"/>
      <c r="H2426" s="161"/>
      <c r="I2426" s="37"/>
      <c r="J2426" s="135"/>
      <c r="K2426" s="112"/>
      <c r="L2426" s="37"/>
      <c r="M2426" s="37"/>
      <c r="N2426" s="37"/>
      <c r="O2426" s="130"/>
      <c r="P2426" s="132"/>
      <c r="Q2426" s="262"/>
      <c r="R2426" s="92"/>
    </row>
    <row r="2427" spans="3:18" x14ac:dyDescent="0.25">
      <c r="C2427" s="264"/>
      <c r="D2427" s="157"/>
      <c r="E2427" s="44"/>
      <c r="F2427" s="146"/>
      <c r="G2427" s="1"/>
      <c r="H2427" s="161"/>
      <c r="I2427" s="37"/>
      <c r="J2427" s="135"/>
      <c r="K2427" s="112"/>
      <c r="L2427" s="37"/>
      <c r="M2427" s="37"/>
      <c r="N2427" s="37"/>
      <c r="O2427" s="130"/>
      <c r="P2427" s="132"/>
      <c r="Q2427" s="262"/>
      <c r="R2427" s="92"/>
    </row>
    <row r="2428" spans="3:18" x14ac:dyDescent="0.25">
      <c r="C2428" s="264"/>
      <c r="D2428" s="157"/>
      <c r="E2428" s="44"/>
      <c r="F2428" s="146"/>
      <c r="G2428" s="1"/>
      <c r="H2428" s="161"/>
      <c r="I2428" s="37"/>
      <c r="J2428" s="135"/>
      <c r="K2428" s="112"/>
      <c r="L2428" s="37"/>
      <c r="M2428" s="37"/>
      <c r="N2428" s="37"/>
      <c r="O2428" s="130"/>
      <c r="P2428" s="132"/>
      <c r="Q2428" s="262"/>
      <c r="R2428" s="92"/>
    </row>
    <row r="2429" spans="3:18" x14ac:dyDescent="0.25">
      <c r="C2429" s="264"/>
      <c r="D2429" s="157"/>
      <c r="E2429" s="44"/>
      <c r="F2429" s="146"/>
      <c r="G2429" s="1"/>
      <c r="H2429" s="161"/>
      <c r="I2429" s="37"/>
      <c r="J2429" s="135"/>
      <c r="K2429" s="112"/>
      <c r="L2429" s="37"/>
      <c r="M2429" s="37"/>
      <c r="N2429" s="37"/>
      <c r="O2429" s="130"/>
      <c r="P2429" s="132"/>
      <c r="Q2429" s="262"/>
      <c r="R2429" s="92"/>
    </row>
    <row r="2430" spans="3:18" x14ac:dyDescent="0.25">
      <c r="C2430" s="264"/>
      <c r="D2430" s="157"/>
      <c r="E2430" s="44"/>
      <c r="F2430" s="146"/>
      <c r="G2430" s="1"/>
      <c r="H2430" s="161"/>
      <c r="I2430" s="37"/>
      <c r="J2430" s="135"/>
      <c r="K2430" s="112"/>
      <c r="L2430" s="37"/>
      <c r="M2430" s="37"/>
      <c r="N2430" s="37"/>
      <c r="O2430" s="130"/>
      <c r="P2430" s="132"/>
      <c r="Q2430" s="262"/>
      <c r="R2430" s="92"/>
    </row>
    <row r="2431" spans="3:18" x14ac:dyDescent="0.25">
      <c r="C2431" s="264"/>
      <c r="D2431" s="157"/>
      <c r="E2431" s="44"/>
      <c r="F2431" s="146"/>
      <c r="G2431" s="1"/>
      <c r="H2431" s="161"/>
      <c r="I2431" s="37"/>
      <c r="J2431" s="135"/>
      <c r="K2431" s="112"/>
      <c r="L2431" s="37"/>
      <c r="M2431" s="37"/>
      <c r="N2431" s="37"/>
      <c r="O2431" s="130"/>
      <c r="P2431" s="132"/>
      <c r="Q2431" s="262"/>
      <c r="R2431" s="92"/>
    </row>
    <row r="2432" spans="3:18" x14ac:dyDescent="0.25">
      <c r="C2432" s="264"/>
      <c r="D2432" s="157"/>
      <c r="E2432" s="44"/>
      <c r="F2432" s="146"/>
      <c r="G2432" s="1"/>
      <c r="H2432" s="161"/>
      <c r="I2432" s="37"/>
      <c r="J2432" s="135"/>
      <c r="K2432" s="112"/>
      <c r="L2432" s="37"/>
      <c r="M2432" s="37"/>
      <c r="N2432" s="37"/>
      <c r="O2432" s="130"/>
      <c r="P2432" s="132"/>
      <c r="Q2432" s="262"/>
      <c r="R2432" s="92"/>
    </row>
    <row r="2433" spans="3:18" x14ac:dyDescent="0.25">
      <c r="C2433" s="264"/>
      <c r="D2433" s="157"/>
      <c r="E2433" s="44"/>
      <c r="F2433" s="146"/>
      <c r="G2433" s="1"/>
      <c r="H2433" s="161"/>
      <c r="I2433" s="37"/>
      <c r="J2433" s="135"/>
      <c r="K2433" s="112"/>
      <c r="L2433" s="37"/>
      <c r="M2433" s="37"/>
      <c r="N2433" s="37"/>
      <c r="O2433" s="130"/>
      <c r="P2433" s="132"/>
      <c r="Q2433" s="262"/>
      <c r="R2433" s="92"/>
    </row>
    <row r="2434" spans="3:18" x14ac:dyDescent="0.25">
      <c r="C2434" s="264"/>
      <c r="D2434" s="157"/>
      <c r="E2434" s="44"/>
      <c r="F2434" s="146"/>
      <c r="G2434" s="1"/>
      <c r="H2434" s="161"/>
      <c r="I2434" s="37"/>
      <c r="J2434" s="135"/>
      <c r="K2434" s="112"/>
      <c r="L2434" s="37"/>
      <c r="M2434" s="37"/>
      <c r="N2434" s="37"/>
      <c r="O2434" s="130"/>
      <c r="P2434" s="132"/>
      <c r="Q2434" s="262"/>
      <c r="R2434" s="92"/>
    </row>
    <row r="2435" spans="3:18" x14ac:dyDescent="0.25">
      <c r="C2435" s="264"/>
      <c r="D2435" s="157"/>
      <c r="E2435" s="44"/>
      <c r="F2435" s="146"/>
      <c r="G2435" s="1"/>
      <c r="H2435" s="161"/>
      <c r="I2435" s="37"/>
      <c r="J2435" s="135"/>
      <c r="K2435" s="112"/>
      <c r="L2435" s="37"/>
      <c r="M2435" s="37"/>
      <c r="N2435" s="37"/>
      <c r="O2435" s="130"/>
      <c r="P2435" s="132"/>
      <c r="Q2435" s="262"/>
      <c r="R2435" s="92"/>
    </row>
    <row r="2436" spans="3:18" x14ac:dyDescent="0.25">
      <c r="C2436" s="264"/>
      <c r="D2436" s="157"/>
      <c r="E2436" s="44"/>
      <c r="F2436" s="146"/>
      <c r="G2436" s="1"/>
      <c r="H2436" s="161"/>
      <c r="I2436" s="37"/>
      <c r="J2436" s="135"/>
      <c r="K2436" s="112"/>
      <c r="L2436" s="37"/>
      <c r="M2436" s="37"/>
      <c r="N2436" s="37"/>
      <c r="O2436" s="130"/>
      <c r="P2436" s="132"/>
      <c r="Q2436" s="262"/>
      <c r="R2436" s="92"/>
    </row>
    <row r="2437" spans="3:18" x14ac:dyDescent="0.25">
      <c r="C2437" s="264"/>
      <c r="D2437" s="157"/>
      <c r="E2437" s="44"/>
      <c r="F2437" s="146"/>
      <c r="G2437" s="1"/>
      <c r="H2437" s="161"/>
      <c r="I2437" s="37"/>
      <c r="J2437" s="135"/>
      <c r="K2437" s="112"/>
      <c r="L2437" s="37"/>
      <c r="M2437" s="37"/>
      <c r="N2437" s="37"/>
      <c r="O2437" s="130"/>
      <c r="P2437" s="132"/>
      <c r="Q2437" s="262"/>
      <c r="R2437" s="92"/>
    </row>
    <row r="2438" spans="3:18" x14ac:dyDescent="0.25">
      <c r="C2438" s="264"/>
      <c r="D2438" s="157"/>
      <c r="E2438" s="44"/>
      <c r="F2438" s="146"/>
      <c r="G2438" s="1"/>
      <c r="H2438" s="161"/>
      <c r="I2438" s="37"/>
      <c r="J2438" s="135"/>
      <c r="K2438" s="112"/>
      <c r="L2438" s="37"/>
      <c r="M2438" s="37"/>
      <c r="N2438" s="37"/>
      <c r="O2438" s="130"/>
      <c r="P2438" s="132"/>
      <c r="Q2438" s="262"/>
      <c r="R2438" s="92"/>
    </row>
    <row r="2439" spans="3:18" x14ac:dyDescent="0.25">
      <c r="C2439" s="264"/>
      <c r="D2439" s="157"/>
      <c r="E2439" s="44"/>
      <c r="F2439" s="146"/>
      <c r="G2439" s="1"/>
      <c r="H2439" s="161"/>
      <c r="I2439" s="37"/>
      <c r="J2439" s="135"/>
      <c r="K2439" s="112"/>
      <c r="L2439" s="37"/>
      <c r="M2439" s="37"/>
      <c r="N2439" s="37"/>
      <c r="O2439" s="130"/>
      <c r="P2439" s="132"/>
      <c r="Q2439" s="262"/>
      <c r="R2439" s="92"/>
    </row>
    <row r="2440" spans="3:18" x14ac:dyDescent="0.25">
      <c r="C2440" s="264"/>
      <c r="D2440" s="157"/>
      <c r="E2440" s="44"/>
      <c r="F2440" s="146"/>
      <c r="G2440" s="1"/>
      <c r="H2440" s="161"/>
      <c r="I2440" s="37"/>
      <c r="J2440" s="135"/>
      <c r="K2440" s="112"/>
      <c r="L2440" s="37"/>
      <c r="M2440" s="37"/>
      <c r="N2440" s="37"/>
      <c r="O2440" s="130"/>
      <c r="P2440" s="132"/>
      <c r="Q2440" s="262"/>
      <c r="R2440" s="92"/>
    </row>
    <row r="2441" spans="3:18" x14ac:dyDescent="0.25">
      <c r="C2441" s="264"/>
      <c r="D2441" s="157"/>
      <c r="E2441" s="44"/>
      <c r="F2441" s="146"/>
      <c r="G2441" s="1"/>
      <c r="H2441" s="161"/>
      <c r="I2441" s="37"/>
      <c r="J2441" s="135"/>
      <c r="K2441" s="112"/>
      <c r="L2441" s="37"/>
      <c r="M2441" s="37"/>
      <c r="N2441" s="37"/>
      <c r="O2441" s="130"/>
      <c r="P2441" s="132"/>
      <c r="Q2441" s="262"/>
      <c r="R2441" s="92"/>
    </row>
    <row r="2442" spans="3:18" x14ac:dyDescent="0.25">
      <c r="C2442" s="264"/>
      <c r="D2442" s="157"/>
      <c r="E2442" s="44"/>
      <c r="F2442" s="146"/>
      <c r="G2442" s="1"/>
      <c r="H2442" s="161"/>
      <c r="I2442" s="37"/>
      <c r="J2442" s="135"/>
      <c r="K2442" s="112"/>
      <c r="L2442" s="37"/>
      <c r="M2442" s="37"/>
      <c r="N2442" s="37"/>
      <c r="O2442" s="130"/>
      <c r="P2442" s="132"/>
      <c r="Q2442" s="262"/>
      <c r="R2442" s="92"/>
    </row>
    <row r="2443" spans="3:18" x14ac:dyDescent="0.25">
      <c r="C2443" s="264"/>
      <c r="D2443" s="157"/>
      <c r="E2443" s="44"/>
      <c r="F2443" s="146"/>
      <c r="G2443" s="1"/>
      <c r="H2443" s="161"/>
      <c r="I2443" s="37"/>
      <c r="J2443" s="135"/>
      <c r="K2443" s="112"/>
      <c r="L2443" s="37"/>
      <c r="M2443" s="37"/>
      <c r="N2443" s="37"/>
      <c r="O2443" s="130"/>
      <c r="P2443" s="132"/>
      <c r="Q2443" s="262"/>
      <c r="R2443" s="92"/>
    </row>
    <row r="2444" spans="3:18" x14ac:dyDescent="0.25">
      <c r="C2444" s="264"/>
      <c r="D2444" s="157"/>
      <c r="E2444" s="44"/>
      <c r="F2444" s="146"/>
      <c r="G2444" s="1"/>
      <c r="H2444" s="161"/>
      <c r="I2444" s="37"/>
      <c r="J2444" s="135"/>
      <c r="K2444" s="112"/>
      <c r="L2444" s="37"/>
      <c r="M2444" s="37"/>
      <c r="N2444" s="37"/>
      <c r="O2444" s="130"/>
      <c r="P2444" s="132"/>
      <c r="Q2444" s="262"/>
      <c r="R2444" s="92"/>
    </row>
    <row r="2445" spans="3:18" x14ac:dyDescent="0.25">
      <c r="C2445" s="264"/>
      <c r="D2445" s="157"/>
      <c r="E2445" s="44"/>
      <c r="F2445" s="146"/>
      <c r="G2445" s="1"/>
      <c r="H2445" s="161"/>
      <c r="I2445" s="37"/>
      <c r="J2445" s="135"/>
      <c r="K2445" s="112"/>
      <c r="L2445" s="37"/>
      <c r="M2445" s="37"/>
      <c r="N2445" s="37"/>
      <c r="O2445" s="130"/>
      <c r="P2445" s="132"/>
      <c r="Q2445" s="262"/>
      <c r="R2445" s="92"/>
    </row>
    <row r="2446" spans="3:18" x14ac:dyDescent="0.25">
      <c r="C2446" s="264"/>
      <c r="D2446" s="157"/>
      <c r="E2446" s="44"/>
      <c r="F2446" s="146"/>
      <c r="G2446" s="1"/>
      <c r="H2446" s="161"/>
      <c r="I2446" s="37"/>
      <c r="J2446" s="135"/>
      <c r="K2446" s="112"/>
      <c r="L2446" s="37"/>
      <c r="M2446" s="37"/>
      <c r="N2446" s="37"/>
      <c r="O2446" s="130"/>
      <c r="P2446" s="132"/>
      <c r="Q2446" s="262"/>
      <c r="R2446" s="92"/>
    </row>
    <row r="2447" spans="3:18" x14ac:dyDescent="0.25">
      <c r="C2447" s="264"/>
      <c r="D2447" s="157"/>
      <c r="E2447" s="44"/>
      <c r="F2447" s="146"/>
      <c r="G2447" s="1"/>
      <c r="H2447" s="161"/>
      <c r="I2447" s="37"/>
      <c r="J2447" s="135"/>
      <c r="K2447" s="112"/>
      <c r="L2447" s="37"/>
      <c r="M2447" s="37"/>
      <c r="N2447" s="37"/>
      <c r="O2447" s="130"/>
      <c r="P2447" s="132"/>
      <c r="Q2447" s="262"/>
      <c r="R2447" s="92"/>
    </row>
    <row r="2448" spans="3:18" x14ac:dyDescent="0.25">
      <c r="C2448" s="264"/>
      <c r="D2448" s="157"/>
      <c r="E2448" s="44"/>
      <c r="F2448" s="146"/>
      <c r="G2448" s="1"/>
      <c r="H2448" s="161"/>
      <c r="I2448" s="37"/>
      <c r="J2448" s="135"/>
      <c r="K2448" s="112"/>
      <c r="L2448" s="37"/>
      <c r="M2448" s="37"/>
      <c r="N2448" s="37"/>
      <c r="O2448" s="130"/>
      <c r="P2448" s="132"/>
      <c r="Q2448" s="262"/>
      <c r="R2448" s="92"/>
    </row>
    <row r="2449" spans="3:18" x14ac:dyDescent="0.25">
      <c r="C2449" s="264"/>
      <c r="D2449" s="157"/>
      <c r="E2449" s="44"/>
      <c r="F2449" s="146"/>
      <c r="G2449" s="1"/>
      <c r="H2449" s="161"/>
      <c r="I2449" s="37"/>
      <c r="J2449" s="135"/>
      <c r="K2449" s="112"/>
      <c r="L2449" s="37"/>
      <c r="M2449" s="37"/>
      <c r="N2449" s="37"/>
      <c r="O2449" s="130"/>
      <c r="P2449" s="132"/>
      <c r="Q2449" s="262"/>
      <c r="R2449" s="92"/>
    </row>
    <row r="2450" spans="3:18" x14ac:dyDescent="0.25">
      <c r="C2450" s="264"/>
      <c r="D2450" s="157"/>
      <c r="E2450" s="44"/>
      <c r="F2450" s="146"/>
      <c r="G2450" s="1"/>
      <c r="H2450" s="161"/>
      <c r="I2450" s="37"/>
      <c r="J2450" s="135"/>
      <c r="K2450" s="112"/>
      <c r="L2450" s="37"/>
      <c r="M2450" s="37"/>
      <c r="N2450" s="37"/>
      <c r="O2450" s="130"/>
      <c r="P2450" s="132"/>
      <c r="Q2450" s="262"/>
      <c r="R2450" s="92"/>
    </row>
    <row r="2451" spans="3:18" x14ac:dyDescent="0.25">
      <c r="C2451" s="264"/>
      <c r="D2451" s="157"/>
      <c r="E2451" s="44"/>
      <c r="F2451" s="146"/>
      <c r="G2451" s="1"/>
      <c r="H2451" s="161"/>
      <c r="I2451" s="37"/>
      <c r="J2451" s="135"/>
      <c r="K2451" s="112"/>
      <c r="L2451" s="37"/>
      <c r="M2451" s="37"/>
      <c r="N2451" s="37"/>
      <c r="O2451" s="130"/>
      <c r="P2451" s="132"/>
      <c r="Q2451" s="262"/>
      <c r="R2451" s="92"/>
    </row>
    <row r="2452" spans="3:18" x14ac:dyDescent="0.25">
      <c r="C2452" s="264"/>
      <c r="D2452" s="157"/>
      <c r="E2452" s="44"/>
      <c r="F2452" s="146"/>
      <c r="G2452" s="1"/>
      <c r="H2452" s="161"/>
      <c r="I2452" s="37"/>
      <c r="J2452" s="135"/>
      <c r="K2452" s="112"/>
      <c r="L2452" s="37"/>
      <c r="M2452" s="37"/>
      <c r="N2452" s="37"/>
      <c r="O2452" s="130"/>
      <c r="P2452" s="132"/>
      <c r="Q2452" s="262"/>
      <c r="R2452" s="92"/>
    </row>
    <row r="2453" spans="3:18" x14ac:dyDescent="0.25">
      <c r="C2453" s="264"/>
      <c r="D2453" s="157"/>
      <c r="E2453" s="44"/>
      <c r="F2453" s="146"/>
      <c r="G2453" s="1"/>
      <c r="H2453" s="161"/>
      <c r="I2453" s="37"/>
      <c r="J2453" s="135"/>
      <c r="K2453" s="112"/>
      <c r="L2453" s="37"/>
      <c r="M2453" s="37"/>
      <c r="N2453" s="37"/>
      <c r="O2453" s="130"/>
      <c r="P2453" s="132"/>
      <c r="Q2453" s="262"/>
      <c r="R2453" s="92"/>
    </row>
    <row r="2454" spans="3:18" x14ac:dyDescent="0.25">
      <c r="C2454" s="264"/>
      <c r="D2454" s="157"/>
      <c r="E2454" s="44"/>
      <c r="F2454" s="146"/>
      <c r="G2454" s="1"/>
      <c r="H2454" s="161"/>
      <c r="I2454" s="37"/>
      <c r="J2454" s="135"/>
      <c r="K2454" s="112"/>
      <c r="L2454" s="37"/>
      <c r="M2454" s="37"/>
      <c r="N2454" s="37"/>
      <c r="O2454" s="130"/>
      <c r="P2454" s="132"/>
      <c r="Q2454" s="262"/>
      <c r="R2454" s="92"/>
    </row>
    <row r="2455" spans="3:18" x14ac:dyDescent="0.25">
      <c r="C2455" s="264"/>
      <c r="D2455" s="157"/>
      <c r="E2455" s="44"/>
      <c r="F2455" s="146"/>
      <c r="G2455" s="1"/>
      <c r="H2455" s="161"/>
      <c r="I2455" s="37"/>
      <c r="J2455" s="135"/>
      <c r="K2455" s="112"/>
      <c r="L2455" s="37"/>
      <c r="M2455" s="37"/>
      <c r="N2455" s="37"/>
      <c r="O2455" s="130"/>
      <c r="P2455" s="132"/>
      <c r="Q2455" s="262"/>
      <c r="R2455" s="92"/>
    </row>
    <row r="2456" spans="3:18" x14ac:dyDescent="0.25">
      <c r="C2456" s="264"/>
      <c r="D2456" s="157"/>
      <c r="E2456" s="44"/>
      <c r="F2456" s="146"/>
      <c r="G2456" s="1"/>
      <c r="H2456" s="161"/>
      <c r="I2456" s="37"/>
      <c r="J2456" s="135"/>
      <c r="K2456" s="112"/>
      <c r="L2456" s="37"/>
      <c r="M2456" s="37"/>
      <c r="N2456" s="37"/>
      <c r="O2456" s="130"/>
      <c r="P2456" s="132"/>
      <c r="Q2456" s="262"/>
      <c r="R2456" s="92"/>
    </row>
    <row r="2457" spans="3:18" x14ac:dyDescent="0.25">
      <c r="C2457" s="264"/>
      <c r="D2457" s="157"/>
      <c r="E2457" s="44"/>
      <c r="F2457" s="146"/>
      <c r="G2457" s="1"/>
      <c r="H2457" s="161"/>
      <c r="I2457" s="37"/>
      <c r="J2457" s="135"/>
      <c r="K2457" s="112"/>
      <c r="L2457" s="37"/>
      <c r="M2457" s="37"/>
      <c r="N2457" s="37"/>
      <c r="O2457" s="130"/>
      <c r="P2457" s="132"/>
      <c r="Q2457" s="262"/>
      <c r="R2457" s="92"/>
    </row>
    <row r="2458" spans="3:18" x14ac:dyDescent="0.25">
      <c r="C2458" s="264"/>
      <c r="D2458" s="157"/>
      <c r="E2458" s="44"/>
      <c r="F2458" s="146"/>
      <c r="G2458" s="1"/>
      <c r="H2458" s="161"/>
      <c r="I2458" s="37"/>
      <c r="J2458" s="135"/>
      <c r="K2458" s="112"/>
      <c r="L2458" s="37"/>
      <c r="M2458" s="37"/>
      <c r="N2458" s="37"/>
      <c r="O2458" s="130"/>
      <c r="P2458" s="132"/>
      <c r="Q2458" s="262"/>
      <c r="R2458" s="92"/>
    </row>
    <row r="2459" spans="3:18" x14ac:dyDescent="0.25">
      <c r="C2459" s="264"/>
      <c r="D2459" s="157"/>
      <c r="E2459" s="44"/>
      <c r="F2459" s="146"/>
      <c r="G2459" s="1"/>
      <c r="H2459" s="161"/>
      <c r="I2459" s="37"/>
      <c r="J2459" s="135"/>
      <c r="K2459" s="112"/>
      <c r="L2459" s="37"/>
      <c r="M2459" s="37"/>
      <c r="N2459" s="37"/>
      <c r="O2459" s="130"/>
      <c r="P2459" s="132"/>
      <c r="Q2459" s="262"/>
      <c r="R2459" s="92"/>
    </row>
    <row r="2460" spans="3:18" x14ac:dyDescent="0.25">
      <c r="C2460" s="264"/>
      <c r="D2460" s="157"/>
      <c r="E2460" s="44"/>
      <c r="F2460" s="146"/>
      <c r="G2460" s="1"/>
      <c r="H2460" s="161"/>
      <c r="I2460" s="37"/>
      <c r="J2460" s="135"/>
      <c r="K2460" s="112"/>
      <c r="L2460" s="37"/>
      <c r="M2460" s="37"/>
      <c r="N2460" s="37"/>
      <c r="O2460" s="130"/>
      <c r="P2460" s="132"/>
      <c r="Q2460" s="262"/>
      <c r="R2460" s="92"/>
    </row>
    <row r="2461" spans="3:18" x14ac:dyDescent="0.25">
      <c r="C2461" s="264"/>
      <c r="D2461" s="157"/>
      <c r="E2461" s="44"/>
      <c r="F2461" s="146"/>
      <c r="G2461" s="1"/>
      <c r="H2461" s="161"/>
      <c r="I2461" s="37"/>
      <c r="J2461" s="135"/>
      <c r="K2461" s="112"/>
      <c r="L2461" s="37"/>
      <c r="M2461" s="37"/>
      <c r="N2461" s="37"/>
      <c r="O2461" s="130"/>
      <c r="P2461" s="132"/>
      <c r="Q2461" s="262"/>
      <c r="R2461" s="92"/>
    </row>
    <row r="2462" spans="3:18" x14ac:dyDescent="0.25">
      <c r="C2462" s="264"/>
      <c r="D2462" s="157"/>
      <c r="E2462" s="44"/>
      <c r="F2462" s="146"/>
      <c r="G2462" s="1"/>
      <c r="H2462" s="161"/>
      <c r="I2462" s="37"/>
      <c r="J2462" s="135"/>
      <c r="K2462" s="112"/>
      <c r="L2462" s="37"/>
      <c r="M2462" s="37"/>
      <c r="N2462" s="37"/>
      <c r="O2462" s="130"/>
      <c r="P2462" s="132"/>
      <c r="Q2462" s="262"/>
      <c r="R2462" s="92"/>
    </row>
    <row r="2463" spans="3:18" x14ac:dyDescent="0.25">
      <c r="C2463" s="264"/>
      <c r="D2463" s="157"/>
      <c r="E2463" s="44"/>
      <c r="F2463" s="146"/>
      <c r="G2463" s="1"/>
      <c r="H2463" s="161"/>
      <c r="I2463" s="37"/>
      <c r="J2463" s="135"/>
      <c r="K2463" s="112"/>
      <c r="L2463" s="37"/>
      <c r="M2463" s="37"/>
      <c r="N2463" s="37"/>
      <c r="O2463" s="130"/>
      <c r="P2463" s="132"/>
      <c r="Q2463" s="262"/>
      <c r="R2463" s="92"/>
    </row>
    <row r="2464" spans="3:18" x14ac:dyDescent="0.25">
      <c r="C2464" s="264"/>
      <c r="D2464" s="157"/>
      <c r="E2464" s="44"/>
      <c r="F2464" s="146"/>
      <c r="G2464" s="1"/>
      <c r="H2464" s="161"/>
      <c r="I2464" s="37"/>
      <c r="J2464" s="135"/>
      <c r="K2464" s="112"/>
      <c r="L2464" s="37"/>
      <c r="M2464" s="37"/>
      <c r="N2464" s="37"/>
      <c r="O2464" s="130"/>
      <c r="P2464" s="132"/>
      <c r="Q2464" s="262"/>
      <c r="R2464" s="92"/>
    </row>
    <row r="2465" spans="3:18" x14ac:dyDescent="0.25">
      <c r="C2465" s="264"/>
      <c r="D2465" s="157"/>
      <c r="E2465" s="44"/>
      <c r="F2465" s="146"/>
      <c r="G2465" s="1"/>
      <c r="H2465" s="161"/>
      <c r="I2465" s="37"/>
      <c r="J2465" s="135"/>
      <c r="K2465" s="112"/>
      <c r="L2465" s="37"/>
      <c r="M2465" s="37"/>
      <c r="N2465" s="37"/>
      <c r="O2465" s="130"/>
      <c r="P2465" s="132"/>
      <c r="Q2465" s="262"/>
      <c r="R2465" s="92"/>
    </row>
    <row r="2466" spans="3:18" x14ac:dyDescent="0.25">
      <c r="C2466" s="264"/>
      <c r="D2466" s="157"/>
      <c r="E2466" s="44"/>
      <c r="F2466" s="146"/>
      <c r="G2466" s="1"/>
      <c r="H2466" s="161"/>
      <c r="I2466" s="37"/>
      <c r="J2466" s="135"/>
      <c r="K2466" s="112"/>
      <c r="L2466" s="37"/>
      <c r="M2466" s="37"/>
      <c r="N2466" s="37"/>
      <c r="O2466" s="130"/>
      <c r="P2466" s="132"/>
      <c r="Q2466" s="262"/>
      <c r="R2466" s="92"/>
    </row>
    <row r="2467" spans="3:18" x14ac:dyDescent="0.25">
      <c r="C2467" s="264"/>
      <c r="D2467" s="157"/>
      <c r="E2467" s="44"/>
      <c r="F2467" s="146"/>
      <c r="G2467" s="1"/>
      <c r="H2467" s="161"/>
      <c r="I2467" s="37"/>
      <c r="J2467" s="135"/>
      <c r="K2467" s="112"/>
      <c r="L2467" s="37"/>
      <c r="M2467" s="37"/>
      <c r="N2467" s="37"/>
      <c r="O2467" s="130"/>
      <c r="P2467" s="132"/>
      <c r="Q2467" s="262"/>
      <c r="R2467" s="92"/>
    </row>
    <row r="2468" spans="3:18" x14ac:dyDescent="0.25">
      <c r="C2468" s="264"/>
      <c r="D2468" s="157"/>
      <c r="E2468" s="44"/>
      <c r="F2468" s="146"/>
      <c r="G2468" s="1"/>
      <c r="H2468" s="161"/>
      <c r="I2468" s="37"/>
      <c r="J2468" s="135"/>
      <c r="K2468" s="112"/>
      <c r="L2468" s="37"/>
      <c r="M2468" s="37"/>
      <c r="N2468" s="37"/>
      <c r="O2468" s="130"/>
      <c r="P2468" s="132"/>
      <c r="Q2468" s="262"/>
      <c r="R2468" s="92"/>
    </row>
    <row r="2469" spans="3:18" x14ac:dyDescent="0.25">
      <c r="C2469" s="264"/>
      <c r="D2469" s="157"/>
      <c r="E2469" s="44"/>
      <c r="F2469" s="146"/>
      <c r="G2469" s="1"/>
      <c r="H2469" s="161"/>
      <c r="I2469" s="37"/>
      <c r="J2469" s="135"/>
      <c r="K2469" s="112"/>
      <c r="L2469" s="37"/>
      <c r="M2469" s="37"/>
      <c r="N2469" s="37"/>
      <c r="O2469" s="130"/>
      <c r="P2469" s="132"/>
      <c r="Q2469" s="262"/>
      <c r="R2469" s="92"/>
    </row>
    <row r="2470" spans="3:18" x14ac:dyDescent="0.25">
      <c r="C2470" s="264"/>
      <c r="D2470" s="157"/>
      <c r="E2470" s="44"/>
      <c r="F2470" s="146"/>
      <c r="G2470" s="1"/>
      <c r="H2470" s="161"/>
      <c r="I2470" s="37"/>
      <c r="J2470" s="135"/>
      <c r="K2470" s="112"/>
      <c r="L2470" s="37"/>
      <c r="M2470" s="37"/>
      <c r="N2470" s="37"/>
      <c r="O2470" s="130"/>
      <c r="P2470" s="132"/>
      <c r="Q2470" s="262"/>
      <c r="R2470" s="92"/>
    </row>
    <row r="2471" spans="3:18" x14ac:dyDescent="0.25">
      <c r="C2471" s="264"/>
      <c r="D2471" s="157"/>
      <c r="E2471" s="44"/>
      <c r="F2471" s="146"/>
      <c r="G2471" s="1"/>
      <c r="H2471" s="161"/>
      <c r="I2471" s="37"/>
      <c r="J2471" s="135"/>
      <c r="K2471" s="112"/>
      <c r="L2471" s="37"/>
      <c r="M2471" s="37"/>
      <c r="N2471" s="37"/>
      <c r="O2471" s="130"/>
      <c r="P2471" s="132"/>
      <c r="Q2471" s="262"/>
      <c r="R2471" s="92"/>
    </row>
    <row r="2472" spans="3:18" x14ac:dyDescent="0.25">
      <c r="C2472" s="264"/>
      <c r="D2472" s="157"/>
      <c r="E2472" s="44"/>
      <c r="F2472" s="146"/>
      <c r="G2472" s="1"/>
      <c r="H2472" s="161"/>
      <c r="I2472" s="37"/>
      <c r="J2472" s="135"/>
      <c r="K2472" s="112"/>
      <c r="L2472" s="37"/>
      <c r="M2472" s="37"/>
      <c r="N2472" s="37"/>
      <c r="O2472" s="130"/>
      <c r="P2472" s="132"/>
      <c r="Q2472" s="262"/>
      <c r="R2472" s="92"/>
    </row>
    <row r="2473" spans="3:18" x14ac:dyDescent="0.25">
      <c r="C2473" s="264"/>
      <c r="D2473" s="157"/>
      <c r="E2473" s="44"/>
      <c r="F2473" s="146"/>
      <c r="G2473" s="1"/>
      <c r="H2473" s="161"/>
      <c r="I2473" s="37"/>
      <c r="J2473" s="135"/>
      <c r="K2473" s="112"/>
      <c r="L2473" s="37"/>
      <c r="M2473" s="37"/>
      <c r="N2473" s="37"/>
      <c r="O2473" s="130"/>
      <c r="P2473" s="132"/>
      <c r="Q2473" s="262"/>
      <c r="R2473" s="92"/>
    </row>
    <row r="2474" spans="3:18" x14ac:dyDescent="0.25">
      <c r="C2474" s="264"/>
      <c r="D2474" s="157"/>
      <c r="E2474" s="44"/>
      <c r="F2474" s="146"/>
      <c r="G2474" s="1"/>
      <c r="H2474" s="161"/>
      <c r="I2474" s="37"/>
      <c r="J2474" s="135"/>
      <c r="K2474" s="112"/>
      <c r="L2474" s="37"/>
      <c r="M2474" s="37"/>
      <c r="N2474" s="37"/>
      <c r="O2474" s="130"/>
      <c r="P2474" s="132"/>
      <c r="Q2474" s="262"/>
      <c r="R2474" s="92"/>
    </row>
    <row r="2475" spans="3:18" x14ac:dyDescent="0.25">
      <c r="C2475" s="264"/>
      <c r="D2475" s="157"/>
      <c r="E2475" s="44"/>
      <c r="F2475" s="146"/>
      <c r="G2475" s="1"/>
      <c r="H2475" s="161"/>
      <c r="I2475" s="37"/>
      <c r="J2475" s="135"/>
      <c r="K2475" s="112"/>
      <c r="L2475" s="37"/>
      <c r="M2475" s="37"/>
      <c r="N2475" s="37"/>
      <c r="O2475" s="130"/>
      <c r="P2475" s="132"/>
      <c r="Q2475" s="262"/>
      <c r="R2475" s="92"/>
    </row>
    <row r="2476" spans="3:18" x14ac:dyDescent="0.25">
      <c r="C2476" s="264"/>
      <c r="D2476" s="157"/>
      <c r="E2476" s="44"/>
      <c r="F2476" s="146"/>
      <c r="G2476" s="1"/>
      <c r="H2476" s="161"/>
      <c r="I2476" s="37"/>
      <c r="J2476" s="135"/>
      <c r="K2476" s="112"/>
      <c r="L2476" s="37"/>
      <c r="M2476" s="37"/>
      <c r="N2476" s="37"/>
      <c r="O2476" s="130"/>
      <c r="P2476" s="132"/>
      <c r="Q2476" s="262"/>
      <c r="R2476" s="92"/>
    </row>
    <row r="2477" spans="3:18" x14ac:dyDescent="0.25">
      <c r="C2477" s="264"/>
      <c r="D2477" s="157"/>
      <c r="E2477" s="44"/>
      <c r="F2477" s="146"/>
      <c r="G2477" s="1"/>
      <c r="H2477" s="161"/>
      <c r="I2477" s="37"/>
      <c r="J2477" s="135"/>
      <c r="K2477" s="112"/>
      <c r="L2477" s="37"/>
      <c r="M2477" s="37"/>
      <c r="N2477" s="37"/>
      <c r="O2477" s="130"/>
      <c r="P2477" s="132"/>
      <c r="Q2477" s="262"/>
      <c r="R2477" s="92"/>
    </row>
    <row r="2478" spans="3:18" x14ac:dyDescent="0.25">
      <c r="C2478" s="264"/>
      <c r="D2478" s="157"/>
      <c r="E2478" s="44"/>
      <c r="F2478" s="146"/>
      <c r="G2478" s="1"/>
      <c r="H2478" s="161"/>
      <c r="I2478" s="37"/>
      <c r="J2478" s="135"/>
      <c r="K2478" s="112"/>
      <c r="L2478" s="37"/>
      <c r="M2478" s="37"/>
      <c r="N2478" s="37"/>
      <c r="O2478" s="130"/>
      <c r="P2478" s="132"/>
      <c r="Q2478" s="262"/>
      <c r="R2478" s="92"/>
    </row>
    <row r="2479" spans="3:18" x14ac:dyDescent="0.25">
      <c r="C2479" s="264"/>
      <c r="D2479" s="157"/>
      <c r="E2479" s="44"/>
      <c r="F2479" s="146"/>
      <c r="G2479" s="1"/>
      <c r="H2479" s="161"/>
      <c r="I2479" s="37"/>
      <c r="J2479" s="135"/>
      <c r="K2479" s="112"/>
      <c r="L2479" s="37"/>
      <c r="M2479" s="37"/>
      <c r="N2479" s="37"/>
      <c r="O2479" s="130"/>
      <c r="P2479" s="132"/>
      <c r="Q2479" s="262"/>
      <c r="R2479" s="92"/>
    </row>
    <row r="2480" spans="3:18" x14ac:dyDescent="0.25">
      <c r="C2480" s="264"/>
      <c r="D2480" s="157"/>
      <c r="E2480" s="44"/>
      <c r="F2480" s="146"/>
      <c r="G2480" s="1"/>
      <c r="H2480" s="161"/>
      <c r="I2480" s="37"/>
      <c r="J2480" s="135"/>
      <c r="K2480" s="112"/>
      <c r="L2480" s="37"/>
      <c r="M2480" s="37"/>
      <c r="N2480" s="37"/>
      <c r="O2480" s="130"/>
      <c r="P2480" s="132"/>
      <c r="Q2480" s="262"/>
      <c r="R2480" s="92"/>
    </row>
    <row r="2481" spans="3:18" x14ac:dyDescent="0.25">
      <c r="C2481" s="264"/>
      <c r="D2481" s="157"/>
      <c r="E2481" s="44"/>
      <c r="F2481" s="146"/>
      <c r="G2481" s="1"/>
      <c r="H2481" s="161"/>
      <c r="I2481" s="37"/>
      <c r="J2481" s="135"/>
      <c r="K2481" s="112"/>
      <c r="L2481" s="37"/>
      <c r="M2481" s="37"/>
      <c r="N2481" s="37"/>
      <c r="O2481" s="130"/>
      <c r="P2481" s="132"/>
      <c r="Q2481" s="262"/>
      <c r="R2481" s="92"/>
    </row>
    <row r="2482" spans="3:18" x14ac:dyDescent="0.25">
      <c r="C2482" s="264"/>
      <c r="D2482" s="157"/>
      <c r="E2482" s="44"/>
      <c r="F2482" s="146"/>
      <c r="G2482" s="1"/>
      <c r="H2482" s="161"/>
      <c r="I2482" s="37"/>
      <c r="J2482" s="135"/>
      <c r="K2482" s="112"/>
      <c r="L2482" s="37"/>
      <c r="M2482" s="37"/>
      <c r="N2482" s="37"/>
      <c r="O2482" s="130"/>
      <c r="P2482" s="132"/>
      <c r="Q2482" s="262"/>
      <c r="R2482" s="92"/>
    </row>
    <row r="2483" spans="3:18" x14ac:dyDescent="0.25">
      <c r="C2483" s="264"/>
      <c r="D2483" s="157"/>
      <c r="E2483" s="44"/>
      <c r="F2483" s="146"/>
      <c r="G2483" s="1"/>
      <c r="H2483" s="161"/>
      <c r="I2483" s="37"/>
      <c r="J2483" s="135"/>
      <c r="K2483" s="112"/>
      <c r="L2483" s="37"/>
      <c r="M2483" s="37"/>
      <c r="N2483" s="37"/>
      <c r="O2483" s="130"/>
      <c r="P2483" s="132"/>
      <c r="Q2483" s="262"/>
      <c r="R2483" s="92"/>
    </row>
    <row r="2484" spans="3:18" x14ac:dyDescent="0.25">
      <c r="C2484" s="264"/>
      <c r="D2484" s="157"/>
      <c r="E2484" s="44"/>
      <c r="F2484" s="146"/>
      <c r="G2484" s="1"/>
      <c r="H2484" s="161"/>
      <c r="I2484" s="37"/>
      <c r="J2484" s="135"/>
      <c r="K2484" s="112"/>
      <c r="L2484" s="37"/>
      <c r="M2484" s="37"/>
      <c r="N2484" s="37"/>
      <c r="O2484" s="130"/>
      <c r="P2484" s="132"/>
      <c r="Q2484" s="262"/>
      <c r="R2484" s="92"/>
    </row>
    <row r="2485" spans="3:18" x14ac:dyDescent="0.25">
      <c r="C2485" s="264"/>
      <c r="D2485" s="157"/>
      <c r="E2485" s="44"/>
      <c r="F2485" s="146"/>
      <c r="G2485" s="1"/>
      <c r="H2485" s="161"/>
      <c r="I2485" s="37"/>
      <c r="J2485" s="135"/>
      <c r="K2485" s="112"/>
      <c r="L2485" s="37"/>
      <c r="M2485" s="37"/>
      <c r="N2485" s="37"/>
      <c r="O2485" s="130"/>
      <c r="P2485" s="132"/>
      <c r="Q2485" s="262"/>
      <c r="R2485" s="92"/>
    </row>
    <row r="2486" spans="3:18" x14ac:dyDescent="0.25">
      <c r="C2486" s="264"/>
      <c r="D2486" s="157"/>
      <c r="E2486" s="44"/>
      <c r="F2486" s="146"/>
      <c r="G2486" s="1"/>
      <c r="H2486" s="161"/>
      <c r="I2486" s="37"/>
      <c r="J2486" s="135"/>
      <c r="K2486" s="112"/>
      <c r="L2486" s="37"/>
      <c r="M2486" s="37"/>
      <c r="N2486" s="37"/>
      <c r="O2486" s="130"/>
      <c r="P2486" s="132"/>
      <c r="Q2486" s="262"/>
      <c r="R2486" s="92"/>
    </row>
    <row r="2487" spans="3:18" x14ac:dyDescent="0.25">
      <c r="C2487" s="264"/>
      <c r="D2487" s="157"/>
      <c r="E2487" s="44"/>
      <c r="F2487" s="146"/>
      <c r="G2487" s="1"/>
      <c r="H2487" s="161"/>
      <c r="I2487" s="37"/>
      <c r="J2487" s="135"/>
      <c r="K2487" s="112"/>
      <c r="L2487" s="37"/>
      <c r="M2487" s="37"/>
      <c r="N2487" s="37"/>
      <c r="O2487" s="130"/>
      <c r="P2487" s="132"/>
      <c r="Q2487" s="262"/>
      <c r="R2487" s="92"/>
    </row>
    <row r="2488" spans="3:18" x14ac:dyDescent="0.25">
      <c r="C2488" s="264"/>
      <c r="D2488" s="157"/>
      <c r="E2488" s="44"/>
      <c r="F2488" s="146"/>
      <c r="G2488" s="1"/>
      <c r="H2488" s="161"/>
      <c r="I2488" s="37"/>
      <c r="J2488" s="135"/>
      <c r="K2488" s="112"/>
      <c r="L2488" s="37"/>
      <c r="M2488" s="37"/>
      <c r="N2488" s="37"/>
      <c r="O2488" s="130"/>
      <c r="P2488" s="132"/>
      <c r="Q2488" s="262"/>
      <c r="R2488" s="92"/>
    </row>
    <row r="2489" spans="3:18" x14ac:dyDescent="0.25">
      <c r="C2489" s="264"/>
      <c r="D2489" s="157"/>
      <c r="E2489" s="44"/>
      <c r="F2489" s="146"/>
      <c r="G2489" s="1"/>
      <c r="H2489" s="161"/>
      <c r="I2489" s="37"/>
      <c r="J2489" s="135"/>
      <c r="K2489" s="112"/>
      <c r="L2489" s="37"/>
      <c r="M2489" s="37"/>
      <c r="N2489" s="37"/>
      <c r="O2489" s="130"/>
      <c r="P2489" s="132"/>
      <c r="Q2489" s="262"/>
      <c r="R2489" s="92"/>
    </row>
    <row r="2490" spans="3:18" x14ac:dyDescent="0.25">
      <c r="C2490" s="264"/>
      <c r="D2490" s="157"/>
      <c r="E2490" s="44"/>
      <c r="F2490" s="146"/>
      <c r="G2490" s="1"/>
      <c r="H2490" s="161"/>
      <c r="I2490" s="37"/>
      <c r="J2490" s="135"/>
      <c r="K2490" s="112"/>
      <c r="L2490" s="37"/>
      <c r="M2490" s="37"/>
      <c r="N2490" s="37"/>
      <c r="O2490" s="130"/>
      <c r="P2490" s="132"/>
      <c r="Q2490" s="262"/>
      <c r="R2490" s="92"/>
    </row>
    <row r="2491" spans="3:18" x14ac:dyDescent="0.25">
      <c r="C2491" s="264"/>
      <c r="D2491" s="157"/>
      <c r="E2491" s="44"/>
      <c r="F2491" s="146"/>
      <c r="G2491" s="1"/>
      <c r="H2491" s="161"/>
      <c r="I2491" s="37"/>
      <c r="J2491" s="135"/>
      <c r="K2491" s="112"/>
      <c r="L2491" s="37"/>
      <c r="M2491" s="37"/>
      <c r="N2491" s="37"/>
      <c r="O2491" s="130"/>
      <c r="P2491" s="132"/>
      <c r="Q2491" s="262"/>
      <c r="R2491" s="92"/>
    </row>
    <row r="2492" spans="3:18" x14ac:dyDescent="0.25">
      <c r="C2492" s="264"/>
      <c r="D2492" s="157"/>
      <c r="E2492" s="44"/>
      <c r="F2492" s="146"/>
      <c r="G2492" s="1"/>
      <c r="H2492" s="161"/>
      <c r="I2492" s="37"/>
      <c r="J2492" s="135"/>
      <c r="K2492" s="112"/>
      <c r="L2492" s="37"/>
      <c r="M2492" s="37"/>
      <c r="N2492" s="37"/>
      <c r="O2492" s="130"/>
      <c r="P2492" s="132"/>
      <c r="Q2492" s="262"/>
      <c r="R2492" s="92"/>
    </row>
    <row r="2493" spans="3:18" x14ac:dyDescent="0.25">
      <c r="C2493" s="264"/>
      <c r="D2493" s="157"/>
      <c r="E2493" s="44"/>
      <c r="F2493" s="146"/>
      <c r="G2493" s="1"/>
      <c r="H2493" s="161"/>
      <c r="I2493" s="37"/>
      <c r="J2493" s="135"/>
      <c r="K2493" s="112"/>
      <c r="L2493" s="37"/>
      <c r="M2493" s="37"/>
      <c r="N2493" s="37"/>
      <c r="O2493" s="130"/>
      <c r="P2493" s="132"/>
      <c r="Q2493" s="262"/>
      <c r="R2493" s="92"/>
    </row>
    <row r="2494" spans="3:18" x14ac:dyDescent="0.25">
      <c r="C2494" s="264"/>
      <c r="D2494" s="157"/>
      <c r="E2494" s="44"/>
      <c r="F2494" s="146"/>
      <c r="G2494" s="1"/>
      <c r="H2494" s="161"/>
      <c r="I2494" s="37"/>
      <c r="J2494" s="135"/>
      <c r="K2494" s="112"/>
      <c r="L2494" s="37"/>
      <c r="M2494" s="37"/>
      <c r="N2494" s="37"/>
      <c r="O2494" s="130"/>
      <c r="P2494" s="132"/>
      <c r="Q2494" s="262"/>
      <c r="R2494" s="92"/>
    </row>
    <row r="2495" spans="3:18" x14ac:dyDescent="0.25">
      <c r="C2495" s="264"/>
      <c r="D2495" s="157"/>
      <c r="E2495" s="44"/>
      <c r="F2495" s="146"/>
      <c r="G2495" s="1"/>
      <c r="H2495" s="161"/>
      <c r="I2495" s="37"/>
      <c r="J2495" s="135"/>
      <c r="K2495" s="112"/>
      <c r="L2495" s="37"/>
      <c r="M2495" s="37"/>
      <c r="N2495" s="37"/>
      <c r="O2495" s="130"/>
      <c r="P2495" s="132"/>
      <c r="Q2495" s="262"/>
      <c r="R2495" s="92"/>
    </row>
    <row r="2496" spans="3:18" x14ac:dyDescent="0.25">
      <c r="C2496" s="264"/>
      <c r="D2496" s="157"/>
      <c r="E2496" s="44"/>
      <c r="F2496" s="146"/>
      <c r="G2496" s="1"/>
      <c r="H2496" s="161"/>
      <c r="I2496" s="37"/>
      <c r="J2496" s="135"/>
      <c r="K2496" s="112"/>
      <c r="L2496" s="37"/>
      <c r="M2496" s="37"/>
      <c r="N2496" s="37"/>
      <c r="O2496" s="130"/>
      <c r="P2496" s="132"/>
      <c r="Q2496" s="262"/>
      <c r="R2496" s="92"/>
    </row>
    <row r="2497" spans="3:18" x14ac:dyDescent="0.25">
      <c r="C2497" s="264"/>
      <c r="D2497" s="157"/>
      <c r="E2497" s="44"/>
      <c r="F2497" s="146"/>
      <c r="G2497" s="1"/>
      <c r="H2497" s="161"/>
      <c r="I2497" s="37"/>
      <c r="J2497" s="135"/>
      <c r="K2497" s="112"/>
      <c r="L2497" s="37"/>
      <c r="M2497" s="37"/>
      <c r="N2497" s="37"/>
      <c r="O2497" s="130"/>
      <c r="P2497" s="132"/>
      <c r="Q2497" s="262"/>
      <c r="R2497" s="92"/>
    </row>
    <row r="2498" spans="3:18" x14ac:dyDescent="0.25">
      <c r="C2498" s="264"/>
      <c r="D2498" s="157"/>
      <c r="E2498" s="44"/>
      <c r="F2498" s="146"/>
      <c r="G2498" s="1"/>
      <c r="H2498" s="161"/>
      <c r="I2498" s="37"/>
      <c r="J2498" s="135"/>
      <c r="K2498" s="112"/>
      <c r="L2498" s="37"/>
      <c r="M2498" s="37"/>
      <c r="N2498" s="37"/>
      <c r="O2498" s="130"/>
      <c r="P2498" s="132"/>
      <c r="Q2498" s="262"/>
      <c r="R2498" s="92"/>
    </row>
    <row r="2499" spans="3:18" x14ac:dyDescent="0.25">
      <c r="C2499" s="264"/>
      <c r="D2499" s="157"/>
      <c r="E2499" s="44"/>
      <c r="F2499" s="146"/>
      <c r="G2499" s="1"/>
      <c r="H2499" s="161"/>
      <c r="I2499" s="37"/>
      <c r="J2499" s="135"/>
      <c r="K2499" s="112"/>
      <c r="L2499" s="37"/>
      <c r="M2499" s="37"/>
      <c r="N2499" s="37"/>
      <c r="O2499" s="130"/>
      <c r="P2499" s="132"/>
      <c r="Q2499" s="262"/>
      <c r="R2499" s="92"/>
    </row>
    <row r="2500" spans="3:18" x14ac:dyDescent="0.25">
      <c r="C2500" s="264"/>
      <c r="D2500" s="157"/>
      <c r="E2500" s="44"/>
      <c r="F2500" s="146"/>
      <c r="G2500" s="1"/>
      <c r="H2500" s="161"/>
      <c r="I2500" s="37"/>
      <c r="J2500" s="135"/>
      <c r="K2500" s="112"/>
      <c r="L2500" s="37"/>
      <c r="M2500" s="37"/>
      <c r="N2500" s="37"/>
      <c r="O2500" s="130"/>
      <c r="P2500" s="132"/>
      <c r="Q2500" s="262"/>
      <c r="R2500" s="92"/>
    </row>
    <row r="2501" spans="3:18" x14ac:dyDescent="0.25">
      <c r="C2501" s="264"/>
      <c r="D2501" s="157"/>
      <c r="E2501" s="44"/>
      <c r="F2501" s="146"/>
      <c r="G2501" s="1"/>
      <c r="H2501" s="161"/>
      <c r="I2501" s="37"/>
      <c r="J2501" s="135"/>
      <c r="K2501" s="112"/>
      <c r="L2501" s="37"/>
      <c r="M2501" s="37"/>
      <c r="N2501" s="37"/>
      <c r="O2501" s="130"/>
      <c r="P2501" s="132"/>
      <c r="Q2501" s="262"/>
      <c r="R2501" s="92"/>
    </row>
    <row r="2502" spans="3:18" x14ac:dyDescent="0.25">
      <c r="C2502" s="264"/>
      <c r="D2502" s="157"/>
      <c r="E2502" s="44"/>
      <c r="F2502" s="146"/>
      <c r="G2502" s="1"/>
      <c r="H2502" s="161"/>
      <c r="I2502" s="37"/>
      <c r="J2502" s="135"/>
      <c r="K2502" s="112"/>
      <c r="L2502" s="37"/>
      <c r="M2502" s="37"/>
      <c r="N2502" s="37"/>
      <c r="O2502" s="130"/>
      <c r="P2502" s="132"/>
      <c r="Q2502" s="262"/>
      <c r="R2502" s="92"/>
    </row>
    <row r="2503" spans="3:18" x14ac:dyDescent="0.25">
      <c r="C2503" s="264"/>
      <c r="D2503" s="157"/>
      <c r="E2503" s="44"/>
      <c r="F2503" s="146"/>
      <c r="G2503" s="1"/>
      <c r="H2503" s="161"/>
      <c r="I2503" s="37"/>
      <c r="J2503" s="135"/>
      <c r="K2503" s="112"/>
      <c r="L2503" s="37"/>
      <c r="M2503" s="37"/>
      <c r="N2503" s="37"/>
      <c r="O2503" s="130"/>
      <c r="P2503" s="132"/>
      <c r="Q2503" s="262"/>
      <c r="R2503" s="92"/>
    </row>
    <row r="2504" spans="3:18" x14ac:dyDescent="0.25">
      <c r="C2504" s="264"/>
      <c r="D2504" s="157"/>
      <c r="E2504" s="44"/>
      <c r="F2504" s="146"/>
      <c r="G2504" s="1"/>
      <c r="H2504" s="161"/>
      <c r="I2504" s="37"/>
      <c r="J2504" s="135"/>
      <c r="K2504" s="112"/>
      <c r="L2504" s="37"/>
      <c r="M2504" s="37"/>
      <c r="N2504" s="37"/>
      <c r="O2504" s="130"/>
      <c r="P2504" s="132"/>
      <c r="Q2504" s="262"/>
      <c r="R2504" s="92"/>
    </row>
    <row r="2505" spans="3:18" x14ac:dyDescent="0.25">
      <c r="C2505" s="264"/>
      <c r="D2505" s="157"/>
      <c r="E2505" s="44"/>
      <c r="F2505" s="146"/>
      <c r="G2505" s="1"/>
      <c r="H2505" s="161"/>
      <c r="I2505" s="37"/>
      <c r="J2505" s="135"/>
      <c r="K2505" s="112"/>
      <c r="L2505" s="37"/>
      <c r="M2505" s="37"/>
      <c r="N2505" s="37"/>
      <c r="O2505" s="130"/>
      <c r="P2505" s="132"/>
      <c r="Q2505" s="262"/>
      <c r="R2505" s="92"/>
    </row>
    <row r="2506" spans="3:18" x14ac:dyDescent="0.25">
      <c r="C2506" s="264"/>
      <c r="D2506" s="157"/>
      <c r="E2506" s="44"/>
      <c r="F2506" s="146"/>
      <c r="G2506" s="1"/>
      <c r="H2506" s="161"/>
      <c r="I2506" s="37"/>
      <c r="J2506" s="135"/>
      <c r="K2506" s="112"/>
      <c r="L2506" s="37"/>
      <c r="M2506" s="37"/>
      <c r="N2506" s="37"/>
      <c r="O2506" s="130"/>
      <c r="P2506" s="132"/>
      <c r="Q2506" s="262"/>
      <c r="R2506" s="92"/>
    </row>
    <row r="2507" spans="3:18" x14ac:dyDescent="0.25">
      <c r="C2507" s="264"/>
      <c r="D2507" s="157"/>
      <c r="E2507" s="44"/>
      <c r="F2507" s="146"/>
      <c r="G2507" s="1"/>
      <c r="H2507" s="161"/>
      <c r="I2507" s="37"/>
      <c r="J2507" s="135"/>
      <c r="K2507" s="112"/>
      <c r="L2507" s="37"/>
      <c r="M2507" s="37"/>
      <c r="N2507" s="37"/>
      <c r="O2507" s="130"/>
      <c r="P2507" s="132"/>
      <c r="Q2507" s="262"/>
      <c r="R2507" s="92"/>
    </row>
    <row r="2508" spans="3:18" x14ac:dyDescent="0.25">
      <c r="C2508" s="264"/>
      <c r="D2508" s="157"/>
      <c r="E2508" s="44"/>
      <c r="F2508" s="146"/>
      <c r="G2508" s="1"/>
      <c r="H2508" s="161"/>
      <c r="I2508" s="37"/>
      <c r="J2508" s="135"/>
      <c r="K2508" s="112"/>
      <c r="L2508" s="37"/>
      <c r="M2508" s="37"/>
      <c r="N2508" s="37"/>
      <c r="O2508" s="130"/>
      <c r="P2508" s="132"/>
      <c r="Q2508" s="262"/>
      <c r="R2508" s="92"/>
    </row>
    <row r="2509" spans="3:18" x14ac:dyDescent="0.25">
      <c r="C2509" s="264"/>
      <c r="D2509" s="157"/>
      <c r="E2509" s="44"/>
      <c r="F2509" s="146"/>
      <c r="G2509" s="1"/>
      <c r="H2509" s="161"/>
      <c r="I2509" s="37"/>
      <c r="J2509" s="135"/>
      <c r="K2509" s="112"/>
      <c r="L2509" s="37"/>
      <c r="M2509" s="37"/>
      <c r="N2509" s="37"/>
      <c r="O2509" s="130"/>
      <c r="P2509" s="132"/>
      <c r="Q2509" s="262"/>
      <c r="R2509" s="92"/>
    </row>
    <row r="2510" spans="3:18" x14ac:dyDescent="0.25">
      <c r="C2510" s="264"/>
      <c r="D2510" s="157"/>
      <c r="E2510" s="44"/>
      <c r="F2510" s="146"/>
      <c r="G2510" s="1"/>
      <c r="H2510" s="161"/>
      <c r="I2510" s="37"/>
      <c r="J2510" s="135"/>
      <c r="K2510" s="112"/>
      <c r="L2510" s="37"/>
      <c r="M2510" s="37"/>
      <c r="N2510" s="37"/>
      <c r="O2510" s="130"/>
      <c r="P2510" s="132"/>
      <c r="Q2510" s="262"/>
      <c r="R2510" s="92"/>
    </row>
    <row r="2511" spans="3:18" x14ac:dyDescent="0.25">
      <c r="C2511" s="264"/>
      <c r="D2511" s="157"/>
      <c r="E2511" s="44"/>
      <c r="F2511" s="146"/>
      <c r="G2511" s="1"/>
      <c r="H2511" s="161"/>
      <c r="I2511" s="37"/>
      <c r="J2511" s="135"/>
      <c r="K2511" s="112"/>
      <c r="L2511" s="37"/>
      <c r="M2511" s="37"/>
      <c r="N2511" s="37"/>
      <c r="O2511" s="130"/>
      <c r="P2511" s="132"/>
      <c r="Q2511" s="262"/>
      <c r="R2511" s="92"/>
    </row>
    <row r="2512" spans="3:18" x14ac:dyDescent="0.25">
      <c r="C2512" s="264"/>
      <c r="D2512" s="157"/>
      <c r="E2512" s="44"/>
      <c r="F2512" s="146"/>
      <c r="G2512" s="1"/>
      <c r="H2512" s="161"/>
      <c r="I2512" s="37"/>
      <c r="J2512" s="135"/>
      <c r="K2512" s="112"/>
      <c r="L2512" s="37"/>
      <c r="M2512" s="37"/>
      <c r="N2512" s="37"/>
      <c r="O2512" s="130"/>
      <c r="P2512" s="132"/>
      <c r="Q2512" s="262"/>
      <c r="R2512" s="92"/>
    </row>
    <row r="2513" spans="3:18" x14ac:dyDescent="0.25">
      <c r="C2513" s="264"/>
      <c r="D2513" s="157"/>
      <c r="E2513" s="44"/>
      <c r="F2513" s="146"/>
      <c r="G2513" s="1"/>
      <c r="H2513" s="161"/>
      <c r="I2513" s="37"/>
      <c r="J2513" s="135"/>
      <c r="K2513" s="112"/>
      <c r="L2513" s="37"/>
      <c r="M2513" s="37"/>
      <c r="N2513" s="37"/>
      <c r="O2513" s="130"/>
      <c r="P2513" s="132"/>
      <c r="Q2513" s="262"/>
      <c r="R2513" s="92"/>
    </row>
    <row r="2514" spans="3:18" x14ac:dyDescent="0.25">
      <c r="C2514" s="264"/>
      <c r="D2514" s="157"/>
      <c r="E2514" s="44"/>
      <c r="F2514" s="146"/>
      <c r="G2514" s="1"/>
      <c r="H2514" s="161"/>
      <c r="I2514" s="37"/>
      <c r="J2514" s="135"/>
      <c r="K2514" s="112"/>
      <c r="L2514" s="37"/>
      <c r="M2514" s="37"/>
      <c r="N2514" s="37"/>
      <c r="O2514" s="130"/>
      <c r="P2514" s="132"/>
      <c r="Q2514" s="262"/>
      <c r="R2514" s="92"/>
    </row>
    <row r="2515" spans="3:18" x14ac:dyDescent="0.25">
      <c r="C2515" s="264"/>
      <c r="D2515" s="157"/>
      <c r="E2515" s="44"/>
      <c r="F2515" s="146"/>
      <c r="G2515" s="1"/>
      <c r="H2515" s="161"/>
      <c r="I2515" s="37"/>
      <c r="J2515" s="135"/>
      <c r="K2515" s="112"/>
      <c r="L2515" s="37"/>
      <c r="M2515" s="37"/>
      <c r="N2515" s="37"/>
      <c r="O2515" s="130"/>
      <c r="P2515" s="132"/>
      <c r="Q2515" s="262"/>
      <c r="R2515" s="92"/>
    </row>
    <row r="2516" spans="3:18" x14ac:dyDescent="0.25">
      <c r="C2516" s="264"/>
      <c r="D2516" s="157"/>
      <c r="E2516" s="44"/>
      <c r="F2516" s="146"/>
      <c r="G2516" s="1"/>
      <c r="H2516" s="161"/>
      <c r="I2516" s="37"/>
      <c r="J2516" s="135"/>
      <c r="K2516" s="112"/>
      <c r="L2516" s="37"/>
      <c r="M2516" s="37"/>
      <c r="N2516" s="37"/>
      <c r="O2516" s="130"/>
      <c r="P2516" s="132"/>
      <c r="Q2516" s="262"/>
      <c r="R2516" s="92"/>
    </row>
    <row r="2517" spans="3:18" x14ac:dyDescent="0.25">
      <c r="C2517" s="264"/>
      <c r="D2517" s="157"/>
      <c r="E2517" s="44"/>
      <c r="F2517" s="146"/>
      <c r="G2517" s="1"/>
      <c r="H2517" s="161"/>
      <c r="I2517" s="37"/>
      <c r="J2517" s="135"/>
      <c r="K2517" s="112"/>
      <c r="L2517" s="37"/>
      <c r="M2517" s="37"/>
      <c r="N2517" s="37"/>
      <c r="O2517" s="130"/>
      <c r="P2517" s="132"/>
      <c r="Q2517" s="262"/>
      <c r="R2517" s="92"/>
    </row>
    <row r="2518" spans="3:18" x14ac:dyDescent="0.25">
      <c r="C2518" s="264"/>
      <c r="D2518" s="157"/>
      <c r="E2518" s="44"/>
      <c r="F2518" s="146"/>
      <c r="G2518" s="1"/>
      <c r="H2518" s="161"/>
      <c r="I2518" s="37"/>
      <c r="J2518" s="135"/>
      <c r="K2518" s="112"/>
      <c r="L2518" s="37"/>
      <c r="M2518" s="37"/>
      <c r="N2518" s="37"/>
      <c r="O2518" s="130"/>
      <c r="P2518" s="132"/>
      <c r="Q2518" s="262"/>
      <c r="R2518" s="92"/>
    </row>
    <row r="2519" spans="3:18" x14ac:dyDescent="0.25">
      <c r="C2519" s="264"/>
      <c r="D2519" s="157"/>
      <c r="E2519" s="44"/>
      <c r="F2519" s="146"/>
      <c r="G2519" s="1"/>
      <c r="H2519" s="161"/>
      <c r="I2519" s="37"/>
      <c r="J2519" s="135"/>
      <c r="K2519" s="112"/>
      <c r="L2519" s="37"/>
      <c r="M2519" s="37"/>
      <c r="N2519" s="37"/>
      <c r="O2519" s="130"/>
      <c r="P2519" s="132"/>
      <c r="Q2519" s="262"/>
      <c r="R2519" s="92"/>
    </row>
    <row r="2520" spans="3:18" x14ac:dyDescent="0.25">
      <c r="C2520" s="264"/>
      <c r="D2520" s="157"/>
      <c r="E2520" s="44"/>
      <c r="F2520" s="146"/>
      <c r="G2520" s="1"/>
      <c r="H2520" s="161"/>
      <c r="I2520" s="37"/>
      <c r="J2520" s="135"/>
      <c r="K2520" s="112"/>
      <c r="L2520" s="37"/>
      <c r="M2520" s="37"/>
      <c r="N2520" s="37"/>
      <c r="O2520" s="130"/>
      <c r="P2520" s="132"/>
      <c r="Q2520" s="262"/>
      <c r="R2520" s="92"/>
    </row>
    <row r="2521" spans="3:18" x14ac:dyDescent="0.25">
      <c r="C2521" s="264"/>
      <c r="D2521" s="157"/>
      <c r="E2521" s="44"/>
      <c r="F2521" s="146"/>
      <c r="G2521" s="1"/>
      <c r="H2521" s="161"/>
      <c r="I2521" s="37"/>
      <c r="J2521" s="135"/>
      <c r="K2521" s="112"/>
      <c r="L2521" s="37"/>
      <c r="M2521" s="37"/>
      <c r="N2521" s="37"/>
      <c r="O2521" s="130"/>
      <c r="P2521" s="132"/>
      <c r="Q2521" s="262"/>
      <c r="R2521" s="92"/>
    </row>
    <row r="2522" spans="3:18" x14ac:dyDescent="0.25">
      <c r="C2522" s="264"/>
      <c r="D2522" s="157"/>
      <c r="E2522" s="44"/>
      <c r="F2522" s="146"/>
      <c r="G2522" s="1"/>
      <c r="H2522" s="161"/>
      <c r="I2522" s="37"/>
      <c r="J2522" s="135"/>
      <c r="K2522" s="112"/>
      <c r="L2522" s="37"/>
      <c r="M2522" s="37"/>
      <c r="N2522" s="37"/>
      <c r="O2522" s="130"/>
      <c r="P2522" s="132"/>
      <c r="Q2522" s="262"/>
      <c r="R2522" s="92"/>
    </row>
    <row r="2523" spans="3:18" x14ac:dyDescent="0.25">
      <c r="C2523" s="264"/>
      <c r="D2523" s="157"/>
      <c r="E2523" s="44"/>
      <c r="F2523" s="146"/>
      <c r="G2523" s="1"/>
      <c r="H2523" s="161"/>
      <c r="I2523" s="37"/>
      <c r="J2523" s="135"/>
      <c r="K2523" s="112"/>
      <c r="L2523" s="37"/>
      <c r="M2523" s="37"/>
      <c r="N2523" s="37"/>
      <c r="O2523" s="130"/>
      <c r="P2523" s="132"/>
      <c r="Q2523" s="262"/>
      <c r="R2523" s="92"/>
    </row>
    <row r="2524" spans="3:18" x14ac:dyDescent="0.25">
      <c r="C2524" s="264"/>
      <c r="D2524" s="157"/>
      <c r="E2524" s="44"/>
      <c r="F2524" s="146"/>
      <c r="G2524" s="1"/>
      <c r="H2524" s="161"/>
      <c r="I2524" s="37"/>
      <c r="J2524" s="135"/>
      <c r="K2524" s="112"/>
      <c r="L2524" s="37"/>
      <c r="M2524" s="37"/>
      <c r="N2524" s="37"/>
      <c r="O2524" s="130"/>
      <c r="P2524" s="132"/>
      <c r="Q2524" s="262"/>
      <c r="R2524" s="92"/>
    </row>
    <row r="2525" spans="3:18" x14ac:dyDescent="0.25">
      <c r="C2525" s="264"/>
      <c r="D2525" s="157"/>
      <c r="E2525" s="44"/>
      <c r="F2525" s="146"/>
      <c r="G2525" s="1"/>
      <c r="H2525" s="161"/>
      <c r="I2525" s="37"/>
      <c r="J2525" s="135"/>
      <c r="K2525" s="112"/>
      <c r="L2525" s="37"/>
      <c r="M2525" s="37"/>
      <c r="N2525" s="37"/>
      <c r="O2525" s="130"/>
      <c r="P2525" s="132"/>
      <c r="Q2525" s="262"/>
      <c r="R2525" s="92"/>
    </row>
    <row r="2526" spans="3:18" x14ac:dyDescent="0.25">
      <c r="C2526" s="264"/>
      <c r="D2526" s="157"/>
      <c r="E2526" s="44"/>
      <c r="F2526" s="146"/>
      <c r="G2526" s="1"/>
      <c r="H2526" s="161"/>
      <c r="I2526" s="37"/>
      <c r="J2526" s="135"/>
      <c r="K2526" s="112"/>
      <c r="L2526" s="37"/>
      <c r="M2526" s="37"/>
      <c r="N2526" s="37"/>
      <c r="O2526" s="130"/>
      <c r="P2526" s="132"/>
      <c r="Q2526" s="262"/>
      <c r="R2526" s="92"/>
    </row>
    <row r="2527" spans="3:18" x14ac:dyDescent="0.25">
      <c r="C2527" s="264"/>
      <c r="D2527" s="157"/>
      <c r="E2527" s="44"/>
      <c r="F2527" s="146"/>
      <c r="G2527" s="1"/>
      <c r="H2527" s="161"/>
      <c r="I2527" s="37"/>
      <c r="J2527" s="135"/>
      <c r="K2527" s="112"/>
      <c r="L2527" s="37"/>
      <c r="M2527" s="37"/>
      <c r="N2527" s="37"/>
      <c r="O2527" s="130"/>
      <c r="P2527" s="132"/>
      <c r="Q2527" s="262"/>
      <c r="R2527" s="92"/>
    </row>
    <row r="2528" spans="3:18" x14ac:dyDescent="0.25">
      <c r="C2528" s="264"/>
      <c r="D2528" s="157"/>
      <c r="E2528" s="44"/>
      <c r="F2528" s="146"/>
      <c r="G2528" s="1"/>
      <c r="H2528" s="161"/>
      <c r="I2528" s="37"/>
      <c r="J2528" s="135"/>
      <c r="K2528" s="112"/>
      <c r="L2528" s="37"/>
      <c r="M2528" s="37"/>
      <c r="N2528" s="37"/>
      <c r="O2528" s="130"/>
      <c r="P2528" s="132"/>
      <c r="Q2528" s="262"/>
      <c r="R2528" s="92"/>
    </row>
    <row r="2529" spans="3:18" x14ac:dyDescent="0.25">
      <c r="C2529" s="264"/>
      <c r="D2529" s="157"/>
      <c r="E2529" s="44"/>
      <c r="F2529" s="146"/>
      <c r="G2529" s="1"/>
      <c r="H2529" s="161"/>
      <c r="I2529" s="37"/>
      <c r="J2529" s="135"/>
      <c r="K2529" s="112"/>
      <c r="L2529" s="37"/>
      <c r="M2529" s="37"/>
      <c r="N2529" s="37"/>
      <c r="O2529" s="130"/>
      <c r="P2529" s="132"/>
      <c r="Q2529" s="262"/>
      <c r="R2529" s="92"/>
    </row>
    <row r="2530" spans="3:18" x14ac:dyDescent="0.25">
      <c r="C2530" s="264"/>
      <c r="D2530" s="157"/>
      <c r="E2530" s="44"/>
      <c r="F2530" s="146"/>
      <c r="G2530" s="1"/>
      <c r="H2530" s="161"/>
      <c r="I2530" s="37"/>
      <c r="J2530" s="135"/>
      <c r="K2530" s="112"/>
      <c r="L2530" s="37"/>
      <c r="M2530" s="37"/>
      <c r="N2530" s="37"/>
      <c r="O2530" s="130"/>
      <c r="P2530" s="132"/>
      <c r="Q2530" s="262"/>
      <c r="R2530" s="92"/>
    </row>
    <row r="2531" spans="3:18" x14ac:dyDescent="0.25">
      <c r="C2531" s="264"/>
      <c r="D2531" s="157"/>
      <c r="E2531" s="44"/>
      <c r="F2531" s="146"/>
      <c r="G2531" s="1"/>
      <c r="H2531" s="161"/>
      <c r="I2531" s="37"/>
      <c r="J2531" s="135"/>
      <c r="K2531" s="112"/>
      <c r="L2531" s="37"/>
      <c r="M2531" s="37"/>
      <c r="N2531" s="37"/>
      <c r="O2531" s="130"/>
      <c r="P2531" s="132"/>
      <c r="Q2531" s="262"/>
      <c r="R2531" s="92"/>
    </row>
    <row r="2532" spans="3:18" x14ac:dyDescent="0.25">
      <c r="C2532" s="264"/>
      <c r="D2532" s="157"/>
      <c r="E2532" s="44"/>
      <c r="F2532" s="146"/>
      <c r="G2532" s="1"/>
      <c r="H2532" s="161"/>
      <c r="I2532" s="37"/>
      <c r="J2532" s="135"/>
      <c r="K2532" s="112"/>
      <c r="L2532" s="37"/>
      <c r="M2532" s="37"/>
      <c r="N2532" s="37"/>
      <c r="O2532" s="130"/>
      <c r="P2532" s="132"/>
      <c r="Q2532" s="262"/>
      <c r="R2532" s="92"/>
    </row>
    <row r="2533" spans="3:18" x14ac:dyDescent="0.25">
      <c r="C2533" s="264"/>
      <c r="D2533" s="157"/>
      <c r="E2533" s="44"/>
      <c r="F2533" s="146"/>
      <c r="G2533" s="1"/>
      <c r="H2533" s="161"/>
      <c r="I2533" s="37"/>
      <c r="J2533" s="135"/>
      <c r="K2533" s="112"/>
      <c r="L2533" s="37"/>
      <c r="M2533" s="37"/>
      <c r="N2533" s="37"/>
      <c r="O2533" s="130"/>
      <c r="P2533" s="132"/>
      <c r="Q2533" s="262"/>
      <c r="R2533" s="92"/>
    </row>
    <row r="2534" spans="3:18" x14ac:dyDescent="0.25">
      <c r="C2534" s="264"/>
      <c r="D2534" s="157"/>
      <c r="E2534" s="44"/>
      <c r="F2534" s="146"/>
      <c r="G2534" s="1"/>
      <c r="H2534" s="161"/>
      <c r="I2534" s="37"/>
      <c r="J2534" s="135"/>
      <c r="K2534" s="112"/>
      <c r="L2534" s="37"/>
      <c r="M2534" s="37"/>
      <c r="N2534" s="37"/>
      <c r="O2534" s="130"/>
      <c r="P2534" s="132"/>
      <c r="Q2534" s="262"/>
      <c r="R2534" s="92"/>
    </row>
    <row r="2535" spans="3:18" x14ac:dyDescent="0.25">
      <c r="C2535" s="264"/>
      <c r="D2535" s="157"/>
      <c r="E2535" s="44"/>
      <c r="F2535" s="146"/>
      <c r="G2535" s="1"/>
      <c r="H2535" s="161"/>
      <c r="I2535" s="37"/>
      <c r="J2535" s="135"/>
      <c r="K2535" s="112"/>
      <c r="L2535" s="37"/>
      <c r="M2535" s="37"/>
      <c r="N2535" s="37"/>
      <c r="O2535" s="130"/>
      <c r="P2535" s="132"/>
      <c r="Q2535" s="262"/>
      <c r="R2535" s="92"/>
    </row>
    <row r="2536" spans="3:18" x14ac:dyDescent="0.25">
      <c r="C2536" s="264"/>
      <c r="D2536" s="157"/>
      <c r="E2536" s="44"/>
      <c r="F2536" s="146"/>
      <c r="G2536" s="1"/>
      <c r="H2536" s="161"/>
      <c r="I2536" s="37"/>
      <c r="J2536" s="135"/>
      <c r="K2536" s="112"/>
      <c r="L2536" s="37"/>
      <c r="M2536" s="37"/>
      <c r="N2536" s="37"/>
      <c r="O2536" s="130"/>
      <c r="P2536" s="132"/>
      <c r="Q2536" s="262"/>
      <c r="R2536" s="92"/>
    </row>
    <row r="2537" spans="3:18" x14ac:dyDescent="0.25">
      <c r="C2537" s="264"/>
      <c r="D2537" s="157"/>
      <c r="E2537" s="44"/>
      <c r="F2537" s="146"/>
      <c r="G2537" s="1"/>
      <c r="H2537" s="161"/>
      <c r="I2537" s="37"/>
      <c r="J2537" s="135"/>
      <c r="K2537" s="112"/>
      <c r="L2537" s="37"/>
      <c r="M2537" s="37"/>
      <c r="N2537" s="37"/>
      <c r="O2537" s="130"/>
      <c r="P2537" s="132"/>
      <c r="Q2537" s="262"/>
      <c r="R2537" s="92"/>
    </row>
    <row r="2538" spans="3:18" x14ac:dyDescent="0.25">
      <c r="C2538" s="264"/>
      <c r="D2538" s="157"/>
      <c r="E2538" s="44"/>
      <c r="F2538" s="146"/>
      <c r="G2538" s="1"/>
      <c r="H2538" s="161"/>
      <c r="I2538" s="37"/>
      <c r="J2538" s="135"/>
      <c r="K2538" s="112"/>
      <c r="L2538" s="37"/>
      <c r="M2538" s="37"/>
      <c r="N2538" s="37"/>
      <c r="O2538" s="130"/>
      <c r="P2538" s="132"/>
      <c r="Q2538" s="262"/>
      <c r="R2538" s="92"/>
    </row>
    <row r="2539" spans="3:18" x14ac:dyDescent="0.25">
      <c r="C2539" s="264"/>
      <c r="D2539" s="157"/>
      <c r="E2539" s="44"/>
      <c r="F2539" s="146"/>
      <c r="G2539" s="1"/>
      <c r="H2539" s="161"/>
      <c r="I2539" s="37"/>
      <c r="J2539" s="135"/>
      <c r="K2539" s="112"/>
      <c r="L2539" s="37"/>
      <c r="M2539" s="37"/>
      <c r="N2539" s="37"/>
      <c r="O2539" s="130"/>
      <c r="P2539" s="132"/>
      <c r="Q2539" s="262"/>
      <c r="R2539" s="92"/>
    </row>
    <row r="2540" spans="3:18" x14ac:dyDescent="0.25">
      <c r="C2540" s="264"/>
      <c r="D2540" s="157"/>
      <c r="E2540" s="44"/>
      <c r="F2540" s="146"/>
      <c r="G2540" s="1"/>
      <c r="H2540" s="161"/>
      <c r="I2540" s="37"/>
      <c r="J2540" s="135"/>
      <c r="K2540" s="112"/>
      <c r="L2540" s="37"/>
      <c r="M2540" s="37"/>
      <c r="N2540" s="37"/>
      <c r="O2540" s="130"/>
      <c r="P2540" s="132"/>
      <c r="Q2540" s="262"/>
      <c r="R2540" s="92"/>
    </row>
    <row r="2541" spans="3:18" x14ac:dyDescent="0.25">
      <c r="C2541" s="264"/>
      <c r="D2541" s="157"/>
      <c r="E2541" s="44"/>
      <c r="F2541" s="146"/>
      <c r="G2541" s="1"/>
      <c r="H2541" s="161"/>
      <c r="I2541" s="37"/>
      <c r="J2541" s="135"/>
      <c r="K2541" s="112"/>
      <c r="L2541" s="37"/>
      <c r="M2541" s="37"/>
      <c r="N2541" s="37"/>
      <c r="O2541" s="130"/>
      <c r="P2541" s="132"/>
      <c r="Q2541" s="262"/>
      <c r="R2541" s="92"/>
    </row>
    <row r="2542" spans="3:18" x14ac:dyDescent="0.25">
      <c r="C2542" s="264"/>
      <c r="D2542" s="157"/>
      <c r="E2542" s="44"/>
      <c r="F2542" s="146"/>
      <c r="G2542" s="1"/>
      <c r="H2542" s="161"/>
      <c r="I2542" s="37"/>
      <c r="J2542" s="135"/>
      <c r="K2542" s="112"/>
      <c r="L2542" s="37"/>
      <c r="M2542" s="37"/>
      <c r="N2542" s="37"/>
      <c r="O2542" s="130"/>
      <c r="P2542" s="132"/>
      <c r="Q2542" s="262"/>
      <c r="R2542" s="92"/>
    </row>
    <row r="2543" spans="3:18" x14ac:dyDescent="0.25">
      <c r="C2543" s="264"/>
      <c r="D2543" s="157"/>
      <c r="E2543" s="44"/>
      <c r="F2543" s="146"/>
      <c r="G2543" s="1"/>
      <c r="H2543" s="161"/>
      <c r="I2543" s="37"/>
      <c r="J2543" s="135"/>
      <c r="K2543" s="112"/>
      <c r="L2543" s="37"/>
      <c r="M2543" s="37"/>
      <c r="N2543" s="37"/>
      <c r="O2543" s="130"/>
      <c r="P2543" s="132"/>
      <c r="Q2543" s="262"/>
      <c r="R2543" s="92"/>
    </row>
    <row r="2544" spans="3:18" x14ac:dyDescent="0.25">
      <c r="C2544" s="264"/>
      <c r="D2544" s="157"/>
      <c r="E2544" s="44"/>
      <c r="F2544" s="146"/>
      <c r="G2544" s="1"/>
      <c r="H2544" s="161"/>
      <c r="I2544" s="37"/>
      <c r="J2544" s="135"/>
      <c r="K2544" s="112"/>
      <c r="L2544" s="37"/>
      <c r="M2544" s="37"/>
      <c r="N2544" s="37"/>
      <c r="O2544" s="130"/>
      <c r="P2544" s="132"/>
      <c r="Q2544" s="262"/>
      <c r="R2544" s="92"/>
    </row>
    <row r="2545" spans="3:18" x14ac:dyDescent="0.25">
      <c r="C2545" s="264"/>
      <c r="D2545" s="157"/>
      <c r="E2545" s="44"/>
      <c r="F2545" s="146"/>
      <c r="G2545" s="1"/>
      <c r="H2545" s="161"/>
      <c r="I2545" s="37"/>
      <c r="J2545" s="135"/>
      <c r="K2545" s="112"/>
      <c r="L2545" s="37"/>
      <c r="M2545" s="37"/>
      <c r="N2545" s="37"/>
      <c r="O2545" s="130"/>
      <c r="P2545" s="132"/>
      <c r="Q2545" s="262"/>
      <c r="R2545" s="92"/>
    </row>
    <row r="2546" spans="3:18" x14ac:dyDescent="0.25">
      <c r="C2546" s="264"/>
      <c r="D2546" s="157"/>
      <c r="E2546" s="44"/>
      <c r="F2546" s="146"/>
      <c r="G2546" s="1"/>
      <c r="H2546" s="161"/>
      <c r="I2546" s="37"/>
      <c r="J2546" s="135"/>
      <c r="K2546" s="112"/>
      <c r="L2546" s="37"/>
      <c r="M2546" s="37"/>
      <c r="N2546" s="37"/>
      <c r="O2546" s="130"/>
      <c r="P2546" s="132"/>
      <c r="Q2546" s="262"/>
      <c r="R2546" s="92"/>
    </row>
    <row r="2547" spans="3:18" x14ac:dyDescent="0.25">
      <c r="C2547" s="264"/>
      <c r="D2547" s="157"/>
      <c r="E2547" s="44"/>
      <c r="F2547" s="146"/>
      <c r="G2547" s="1"/>
      <c r="H2547" s="161"/>
      <c r="I2547" s="37"/>
      <c r="J2547" s="135"/>
      <c r="K2547" s="112"/>
      <c r="L2547" s="37"/>
      <c r="M2547" s="37"/>
      <c r="N2547" s="37"/>
      <c r="O2547" s="130"/>
      <c r="P2547" s="132"/>
      <c r="Q2547" s="262"/>
      <c r="R2547" s="92"/>
    </row>
    <row r="2548" spans="3:18" x14ac:dyDescent="0.25">
      <c r="C2548" s="264"/>
      <c r="D2548" s="157"/>
      <c r="E2548" s="44"/>
      <c r="F2548" s="146"/>
      <c r="G2548" s="1"/>
      <c r="H2548" s="161"/>
      <c r="I2548" s="37"/>
      <c r="J2548" s="135"/>
      <c r="K2548" s="112"/>
      <c r="L2548" s="37"/>
      <c r="M2548" s="37"/>
      <c r="N2548" s="37"/>
      <c r="O2548" s="130"/>
      <c r="P2548" s="132"/>
      <c r="Q2548" s="262"/>
      <c r="R2548" s="92"/>
    </row>
    <row r="2549" spans="3:18" x14ac:dyDescent="0.25">
      <c r="C2549" s="264"/>
      <c r="D2549" s="157"/>
      <c r="E2549" s="44"/>
      <c r="F2549" s="146"/>
      <c r="G2549" s="1"/>
      <c r="H2549" s="161"/>
      <c r="I2549" s="37"/>
      <c r="J2549" s="135"/>
      <c r="K2549" s="112"/>
      <c r="L2549" s="37"/>
      <c r="M2549" s="37"/>
      <c r="N2549" s="37"/>
      <c r="O2549" s="130"/>
      <c r="P2549" s="132"/>
      <c r="Q2549" s="262"/>
      <c r="R2549" s="92"/>
    </row>
    <row r="2550" spans="3:18" x14ac:dyDescent="0.25">
      <c r="C2550" s="264"/>
      <c r="D2550" s="157"/>
      <c r="E2550" s="44"/>
      <c r="F2550" s="146"/>
      <c r="G2550" s="1"/>
      <c r="H2550" s="161"/>
      <c r="I2550" s="37"/>
      <c r="J2550" s="135"/>
      <c r="K2550" s="112"/>
      <c r="L2550" s="37"/>
      <c r="M2550" s="37"/>
      <c r="N2550" s="37"/>
      <c r="O2550" s="130"/>
      <c r="P2550" s="132"/>
      <c r="Q2550" s="262"/>
      <c r="R2550" s="92"/>
    </row>
    <row r="2551" spans="3:18" x14ac:dyDescent="0.25">
      <c r="C2551" s="264"/>
      <c r="D2551" s="157"/>
      <c r="E2551" s="44"/>
      <c r="F2551" s="146"/>
      <c r="G2551" s="1"/>
      <c r="H2551" s="161"/>
      <c r="I2551" s="37"/>
      <c r="J2551" s="135"/>
      <c r="K2551" s="112"/>
      <c r="L2551" s="37"/>
      <c r="M2551" s="37"/>
      <c r="N2551" s="37"/>
      <c r="O2551" s="130"/>
      <c r="P2551" s="132"/>
      <c r="Q2551" s="262"/>
      <c r="R2551" s="92"/>
    </row>
    <row r="2552" spans="3:18" x14ac:dyDescent="0.25">
      <c r="C2552" s="264"/>
      <c r="D2552" s="157"/>
      <c r="E2552" s="44"/>
      <c r="F2552" s="146"/>
      <c r="G2552" s="1"/>
      <c r="H2552" s="161"/>
      <c r="I2552" s="37"/>
      <c r="J2552" s="135"/>
      <c r="K2552" s="112"/>
      <c r="L2552" s="37"/>
      <c r="M2552" s="37"/>
      <c r="N2552" s="37"/>
      <c r="O2552" s="130"/>
      <c r="P2552" s="132"/>
      <c r="Q2552" s="262"/>
      <c r="R2552" s="92"/>
    </row>
    <row r="2553" spans="3:18" x14ac:dyDescent="0.25">
      <c r="C2553" s="264"/>
      <c r="D2553" s="157"/>
      <c r="E2553" s="44"/>
      <c r="F2553" s="146"/>
      <c r="G2553" s="1"/>
      <c r="H2553" s="161"/>
      <c r="I2553" s="37"/>
      <c r="J2553" s="135"/>
      <c r="K2553" s="112"/>
      <c r="L2553" s="37"/>
      <c r="M2553" s="37"/>
      <c r="N2553" s="37"/>
      <c r="O2553" s="130"/>
      <c r="P2553" s="132"/>
      <c r="Q2553" s="262"/>
      <c r="R2553" s="92"/>
    </row>
    <row r="2554" spans="3:18" x14ac:dyDescent="0.25">
      <c r="C2554" s="264"/>
      <c r="D2554" s="157"/>
      <c r="E2554" s="44"/>
      <c r="F2554" s="146"/>
      <c r="G2554" s="1"/>
      <c r="H2554" s="161"/>
      <c r="I2554" s="37"/>
      <c r="J2554" s="135"/>
      <c r="K2554" s="112"/>
      <c r="L2554" s="37"/>
      <c r="M2554" s="37"/>
      <c r="N2554" s="37"/>
      <c r="O2554" s="130"/>
      <c r="P2554" s="132"/>
      <c r="Q2554" s="262"/>
      <c r="R2554" s="92"/>
    </row>
    <row r="2555" spans="3:18" x14ac:dyDescent="0.25">
      <c r="C2555" s="264"/>
      <c r="D2555" s="157"/>
      <c r="E2555" s="44"/>
      <c r="F2555" s="146"/>
      <c r="G2555" s="1"/>
      <c r="H2555" s="161"/>
      <c r="I2555" s="37"/>
      <c r="J2555" s="135"/>
      <c r="K2555" s="112"/>
      <c r="L2555" s="37"/>
      <c r="M2555" s="37"/>
      <c r="N2555" s="37"/>
      <c r="O2555" s="130"/>
      <c r="P2555" s="132"/>
      <c r="Q2555" s="262"/>
      <c r="R2555" s="92"/>
    </row>
    <row r="2556" spans="3:18" x14ac:dyDescent="0.25">
      <c r="C2556" s="264"/>
      <c r="D2556" s="157"/>
      <c r="E2556" s="44"/>
      <c r="F2556" s="146"/>
      <c r="G2556" s="1"/>
      <c r="H2556" s="161"/>
      <c r="I2556" s="37"/>
      <c r="J2556" s="135"/>
      <c r="K2556" s="112"/>
      <c r="L2556" s="37"/>
      <c r="M2556" s="37"/>
      <c r="N2556" s="37"/>
      <c r="O2556" s="130"/>
      <c r="P2556" s="132"/>
      <c r="Q2556" s="262"/>
      <c r="R2556" s="92"/>
    </row>
    <row r="2557" spans="3:18" x14ac:dyDescent="0.25">
      <c r="C2557" s="264"/>
      <c r="D2557" s="157"/>
      <c r="E2557" s="44"/>
      <c r="F2557" s="146"/>
      <c r="G2557" s="1"/>
      <c r="H2557" s="161"/>
      <c r="I2557" s="37"/>
      <c r="J2557" s="135"/>
      <c r="K2557" s="112"/>
      <c r="L2557" s="37"/>
      <c r="M2557" s="37"/>
      <c r="N2557" s="37"/>
      <c r="O2557" s="130"/>
      <c r="P2557" s="132"/>
      <c r="Q2557" s="262"/>
      <c r="R2557" s="92"/>
    </row>
    <row r="2558" spans="3:18" x14ac:dyDescent="0.25">
      <c r="C2558" s="264"/>
      <c r="D2558" s="157"/>
      <c r="E2558" s="44"/>
      <c r="F2558" s="146"/>
      <c r="G2558" s="1"/>
      <c r="H2558" s="161"/>
      <c r="I2558" s="37"/>
      <c r="J2558" s="135"/>
      <c r="K2558" s="112"/>
      <c r="L2558" s="37"/>
      <c r="M2558" s="37"/>
      <c r="N2558" s="37"/>
      <c r="O2558" s="130"/>
      <c r="P2558" s="132"/>
      <c r="Q2558" s="262"/>
      <c r="R2558" s="92"/>
    </row>
    <row r="2559" spans="3:18" x14ac:dyDescent="0.25">
      <c r="C2559" s="264"/>
      <c r="D2559" s="157"/>
      <c r="E2559" s="44"/>
      <c r="F2559" s="146"/>
      <c r="G2559" s="1"/>
      <c r="H2559" s="161"/>
      <c r="I2559" s="37"/>
      <c r="J2559" s="135"/>
      <c r="K2559" s="112"/>
      <c r="L2559" s="37"/>
      <c r="M2559" s="37"/>
      <c r="N2559" s="37"/>
      <c r="O2559" s="130"/>
      <c r="P2559" s="132"/>
      <c r="Q2559" s="262"/>
      <c r="R2559" s="92"/>
    </row>
    <row r="2560" spans="3:18" x14ac:dyDescent="0.25">
      <c r="C2560" s="264"/>
      <c r="D2560" s="157"/>
      <c r="E2560" s="44"/>
      <c r="F2560" s="146"/>
      <c r="G2560" s="1"/>
      <c r="H2560" s="161"/>
      <c r="I2560" s="37"/>
      <c r="J2560" s="135"/>
      <c r="K2560" s="112"/>
      <c r="L2560" s="37"/>
      <c r="M2560" s="37"/>
      <c r="N2560" s="37"/>
      <c r="O2560" s="130"/>
      <c r="P2560" s="132"/>
      <c r="Q2560" s="262"/>
      <c r="R2560" s="92"/>
    </row>
    <row r="2561" spans="3:18" x14ac:dyDescent="0.25">
      <c r="C2561" s="264"/>
      <c r="D2561" s="157"/>
      <c r="E2561" s="44"/>
      <c r="F2561" s="146"/>
      <c r="G2561" s="1"/>
      <c r="H2561" s="161"/>
      <c r="I2561" s="37"/>
      <c r="J2561" s="135"/>
      <c r="K2561" s="112"/>
      <c r="L2561" s="37"/>
      <c r="M2561" s="37"/>
      <c r="N2561" s="37"/>
      <c r="O2561" s="130"/>
      <c r="P2561" s="132"/>
      <c r="Q2561" s="262"/>
      <c r="R2561" s="92"/>
    </row>
    <row r="2562" spans="3:18" x14ac:dyDescent="0.25">
      <c r="C2562" s="264"/>
      <c r="D2562" s="157"/>
      <c r="E2562" s="44"/>
      <c r="F2562" s="146"/>
      <c r="G2562" s="1"/>
      <c r="H2562" s="161"/>
      <c r="I2562" s="37"/>
      <c r="J2562" s="135"/>
      <c r="K2562" s="112"/>
      <c r="L2562" s="37"/>
      <c r="M2562" s="37"/>
      <c r="N2562" s="37"/>
      <c r="O2562" s="130"/>
      <c r="P2562" s="132"/>
      <c r="Q2562" s="262"/>
      <c r="R2562" s="92"/>
    </row>
    <row r="2563" spans="3:18" x14ac:dyDescent="0.25">
      <c r="C2563" s="264"/>
      <c r="D2563" s="157"/>
      <c r="E2563" s="44"/>
      <c r="F2563" s="146"/>
      <c r="G2563" s="1"/>
      <c r="H2563" s="161"/>
      <c r="I2563" s="37"/>
      <c r="J2563" s="135"/>
      <c r="K2563" s="112"/>
      <c r="L2563" s="37"/>
      <c r="M2563" s="37"/>
      <c r="N2563" s="37"/>
      <c r="O2563" s="130"/>
      <c r="P2563" s="132"/>
      <c r="Q2563" s="262"/>
      <c r="R2563" s="92"/>
    </row>
    <row r="2564" spans="3:18" x14ac:dyDescent="0.25">
      <c r="C2564" s="264"/>
      <c r="D2564" s="157"/>
      <c r="E2564" s="44"/>
      <c r="F2564" s="146"/>
      <c r="G2564" s="1"/>
      <c r="H2564" s="161"/>
      <c r="I2564" s="37"/>
      <c r="J2564" s="135"/>
      <c r="K2564" s="112"/>
      <c r="L2564" s="37"/>
      <c r="M2564" s="37"/>
      <c r="N2564" s="37"/>
      <c r="O2564" s="130"/>
      <c r="P2564" s="132"/>
      <c r="Q2564" s="262"/>
      <c r="R2564" s="92"/>
    </row>
    <row r="2565" spans="3:18" x14ac:dyDescent="0.25">
      <c r="C2565" s="264"/>
      <c r="D2565" s="157"/>
      <c r="E2565" s="44"/>
      <c r="F2565" s="146"/>
      <c r="G2565" s="1"/>
      <c r="H2565" s="161"/>
      <c r="I2565" s="37"/>
      <c r="J2565" s="135"/>
      <c r="K2565" s="112"/>
      <c r="L2565" s="37"/>
      <c r="M2565" s="37"/>
      <c r="N2565" s="37"/>
      <c r="O2565" s="130"/>
      <c r="P2565" s="132"/>
      <c r="Q2565" s="262"/>
      <c r="R2565" s="92"/>
    </row>
    <row r="2566" spans="3:18" x14ac:dyDescent="0.25">
      <c r="C2566" s="264"/>
      <c r="D2566" s="157"/>
      <c r="E2566" s="44"/>
      <c r="F2566" s="146"/>
      <c r="G2566" s="1"/>
      <c r="H2566" s="161"/>
      <c r="I2566" s="37"/>
      <c r="J2566" s="135"/>
      <c r="K2566" s="112"/>
      <c r="L2566" s="37"/>
      <c r="M2566" s="37"/>
      <c r="N2566" s="37"/>
      <c r="O2566" s="130"/>
      <c r="P2566" s="132"/>
      <c r="Q2566" s="262"/>
      <c r="R2566" s="92"/>
    </row>
    <row r="2567" spans="3:18" x14ac:dyDescent="0.25">
      <c r="C2567" s="264"/>
      <c r="D2567" s="157"/>
      <c r="E2567" s="44"/>
      <c r="F2567" s="146"/>
      <c r="G2567" s="1"/>
      <c r="H2567" s="161"/>
      <c r="I2567" s="37"/>
      <c r="J2567" s="135"/>
      <c r="K2567" s="112"/>
      <c r="L2567" s="37"/>
      <c r="M2567" s="37"/>
      <c r="N2567" s="37"/>
      <c r="O2567" s="130"/>
      <c r="P2567" s="132"/>
      <c r="Q2567" s="262"/>
      <c r="R2567" s="92"/>
    </row>
    <row r="2568" spans="3:18" x14ac:dyDescent="0.25">
      <c r="C2568" s="264"/>
      <c r="D2568" s="157"/>
      <c r="E2568" s="44"/>
      <c r="F2568" s="146"/>
      <c r="G2568" s="1"/>
      <c r="H2568" s="161"/>
      <c r="I2568" s="37"/>
      <c r="J2568" s="135"/>
      <c r="K2568" s="112"/>
      <c r="L2568" s="37"/>
      <c r="M2568" s="37"/>
      <c r="N2568" s="37"/>
      <c r="O2568" s="130"/>
      <c r="P2568" s="132"/>
      <c r="Q2568" s="262"/>
      <c r="R2568" s="92"/>
    </row>
    <row r="2569" spans="3:18" x14ac:dyDescent="0.25">
      <c r="C2569" s="264"/>
      <c r="D2569" s="157"/>
      <c r="E2569" s="44"/>
      <c r="F2569" s="146"/>
      <c r="G2569" s="1"/>
      <c r="H2569" s="161"/>
      <c r="I2569" s="37"/>
      <c r="J2569" s="135"/>
      <c r="K2569" s="112"/>
      <c r="L2569" s="37"/>
      <c r="M2569" s="37"/>
      <c r="N2569" s="37"/>
      <c r="O2569" s="130"/>
      <c r="P2569" s="132"/>
      <c r="Q2569" s="262"/>
      <c r="R2569" s="92"/>
    </row>
    <row r="2570" spans="3:18" x14ac:dyDescent="0.25">
      <c r="C2570" s="264"/>
      <c r="D2570" s="157"/>
      <c r="E2570" s="44"/>
      <c r="F2570" s="146"/>
      <c r="G2570" s="1"/>
      <c r="H2570" s="161"/>
      <c r="I2570" s="37"/>
      <c r="J2570" s="135"/>
      <c r="K2570" s="112"/>
      <c r="L2570" s="37"/>
      <c r="M2570" s="37"/>
      <c r="N2570" s="37"/>
      <c r="O2570" s="130"/>
      <c r="P2570" s="132"/>
      <c r="Q2570" s="262"/>
      <c r="R2570" s="92"/>
    </row>
    <row r="2571" spans="3:18" x14ac:dyDescent="0.25">
      <c r="C2571" s="264"/>
      <c r="D2571" s="157"/>
      <c r="E2571" s="44"/>
      <c r="F2571" s="146"/>
      <c r="G2571" s="1"/>
      <c r="H2571" s="161"/>
      <c r="I2571" s="37"/>
      <c r="J2571" s="135"/>
      <c r="K2571" s="112"/>
      <c r="L2571" s="37"/>
      <c r="M2571" s="37"/>
      <c r="N2571" s="37"/>
      <c r="O2571" s="130"/>
      <c r="P2571" s="132"/>
      <c r="Q2571" s="262"/>
      <c r="R2571" s="92"/>
    </row>
    <row r="2572" spans="3:18" x14ac:dyDescent="0.25">
      <c r="C2572" s="264"/>
      <c r="D2572" s="157"/>
      <c r="E2572" s="44"/>
      <c r="F2572" s="146"/>
      <c r="G2572" s="1"/>
      <c r="H2572" s="161"/>
      <c r="I2572" s="37"/>
      <c r="J2572" s="135"/>
      <c r="K2572" s="112"/>
      <c r="L2572" s="37"/>
      <c r="M2572" s="37"/>
      <c r="N2572" s="37"/>
      <c r="O2572" s="130"/>
      <c r="P2572" s="132"/>
      <c r="Q2572" s="262"/>
      <c r="R2572" s="92"/>
    </row>
    <row r="2573" spans="3:18" x14ac:dyDescent="0.25">
      <c r="C2573" s="264"/>
      <c r="D2573" s="157"/>
      <c r="E2573" s="44"/>
      <c r="F2573" s="146"/>
      <c r="G2573" s="1"/>
      <c r="H2573" s="161"/>
      <c r="I2573" s="37"/>
      <c r="J2573" s="135"/>
      <c r="K2573" s="112"/>
      <c r="L2573" s="37"/>
      <c r="M2573" s="37"/>
      <c r="N2573" s="37"/>
      <c r="O2573" s="130"/>
      <c r="P2573" s="132"/>
      <c r="Q2573" s="262"/>
      <c r="R2573" s="92"/>
    </row>
    <row r="2574" spans="3:18" x14ac:dyDescent="0.25">
      <c r="C2574" s="264"/>
      <c r="D2574" s="157"/>
      <c r="E2574" s="44"/>
      <c r="F2574" s="146"/>
      <c r="G2574" s="1"/>
      <c r="H2574" s="161"/>
      <c r="I2574" s="37"/>
      <c r="J2574" s="135"/>
      <c r="K2574" s="112"/>
      <c r="L2574" s="37"/>
      <c r="M2574" s="37"/>
      <c r="N2574" s="37"/>
      <c r="O2574" s="130"/>
      <c r="P2574" s="132"/>
      <c r="Q2574" s="262"/>
      <c r="R2574" s="92"/>
    </row>
    <row r="2575" spans="3:18" x14ac:dyDescent="0.25">
      <c r="C2575" s="264"/>
      <c r="D2575" s="157"/>
      <c r="E2575" s="44"/>
      <c r="F2575" s="146"/>
      <c r="G2575" s="1"/>
      <c r="H2575" s="161"/>
      <c r="I2575" s="37"/>
      <c r="J2575" s="135"/>
      <c r="K2575" s="112"/>
      <c r="L2575" s="37"/>
      <c r="M2575" s="37"/>
      <c r="N2575" s="37"/>
      <c r="O2575" s="130"/>
      <c r="P2575" s="132"/>
      <c r="Q2575" s="262"/>
      <c r="R2575" s="92"/>
    </row>
    <row r="2576" spans="3:18" x14ac:dyDescent="0.25">
      <c r="C2576" s="264"/>
      <c r="D2576" s="157"/>
      <c r="E2576" s="44"/>
      <c r="F2576" s="146"/>
      <c r="G2576" s="1"/>
      <c r="H2576" s="161"/>
      <c r="I2576" s="37"/>
      <c r="J2576" s="135"/>
      <c r="K2576" s="112"/>
      <c r="L2576" s="37"/>
      <c r="M2576" s="37"/>
      <c r="N2576" s="37"/>
      <c r="O2576" s="130"/>
      <c r="P2576" s="132"/>
      <c r="Q2576" s="262"/>
      <c r="R2576" s="92"/>
    </row>
    <row r="2577" spans="3:18" x14ac:dyDescent="0.25">
      <c r="C2577" s="264"/>
      <c r="D2577" s="157"/>
      <c r="E2577" s="44"/>
      <c r="F2577" s="146"/>
      <c r="G2577" s="1"/>
      <c r="H2577" s="161"/>
      <c r="I2577" s="37"/>
      <c r="J2577" s="135"/>
      <c r="K2577" s="112"/>
      <c r="L2577" s="37"/>
      <c r="M2577" s="37"/>
      <c r="N2577" s="37"/>
      <c r="O2577" s="130"/>
      <c r="P2577" s="132"/>
      <c r="Q2577" s="262"/>
      <c r="R2577" s="92"/>
    </row>
    <row r="2578" spans="3:18" x14ac:dyDescent="0.25">
      <c r="C2578" s="264"/>
      <c r="D2578" s="157"/>
      <c r="E2578" s="44"/>
      <c r="F2578" s="146"/>
      <c r="G2578" s="1"/>
      <c r="H2578" s="161"/>
      <c r="I2578" s="37"/>
      <c r="J2578" s="135"/>
      <c r="K2578" s="112"/>
      <c r="L2578" s="37"/>
      <c r="M2578" s="37"/>
      <c r="N2578" s="37"/>
      <c r="O2578" s="130"/>
      <c r="P2578" s="132"/>
      <c r="Q2578" s="262"/>
      <c r="R2578" s="92"/>
    </row>
    <row r="2579" spans="3:18" x14ac:dyDescent="0.25">
      <c r="C2579" s="264"/>
      <c r="D2579" s="157"/>
      <c r="E2579" s="44"/>
      <c r="F2579" s="146"/>
      <c r="G2579" s="1"/>
      <c r="H2579" s="161"/>
      <c r="I2579" s="37"/>
      <c r="J2579" s="135"/>
      <c r="K2579" s="112"/>
      <c r="L2579" s="37"/>
      <c r="M2579" s="37"/>
      <c r="N2579" s="37"/>
      <c r="O2579" s="130"/>
      <c r="P2579" s="132"/>
      <c r="Q2579" s="262"/>
      <c r="R2579" s="92"/>
    </row>
    <row r="2580" spans="3:18" x14ac:dyDescent="0.25">
      <c r="C2580" s="264"/>
      <c r="D2580" s="157"/>
      <c r="E2580" s="44"/>
      <c r="F2580" s="146"/>
      <c r="G2580" s="1"/>
      <c r="H2580" s="161"/>
      <c r="I2580" s="37"/>
      <c r="J2580" s="135"/>
      <c r="K2580" s="112"/>
      <c r="L2580" s="37"/>
      <c r="M2580" s="37"/>
      <c r="N2580" s="37"/>
      <c r="O2580" s="130"/>
      <c r="P2580" s="132"/>
      <c r="Q2580" s="262"/>
      <c r="R2580" s="92"/>
    </row>
    <row r="2581" spans="3:18" x14ac:dyDescent="0.25">
      <c r="C2581" s="264"/>
      <c r="D2581" s="157"/>
      <c r="E2581" s="44"/>
      <c r="F2581" s="146"/>
      <c r="G2581" s="1"/>
      <c r="H2581" s="161"/>
      <c r="I2581" s="37"/>
      <c r="J2581" s="135"/>
      <c r="K2581" s="112"/>
      <c r="L2581" s="37"/>
      <c r="M2581" s="37"/>
      <c r="N2581" s="37"/>
      <c r="O2581" s="130"/>
      <c r="P2581" s="132"/>
      <c r="Q2581" s="262"/>
      <c r="R2581" s="92"/>
    </row>
    <row r="2582" spans="3:18" x14ac:dyDescent="0.25">
      <c r="C2582" s="264"/>
      <c r="D2582" s="157"/>
      <c r="E2582" s="44"/>
      <c r="F2582" s="146"/>
      <c r="G2582" s="1"/>
      <c r="H2582" s="161"/>
      <c r="I2582" s="37"/>
      <c r="J2582" s="135"/>
      <c r="K2582" s="112"/>
      <c r="L2582" s="37"/>
      <c r="M2582" s="37"/>
      <c r="N2582" s="37"/>
      <c r="O2582" s="130"/>
      <c r="P2582" s="132"/>
      <c r="Q2582" s="262"/>
      <c r="R2582" s="92"/>
    </row>
    <row r="2583" spans="3:18" x14ac:dyDescent="0.25">
      <c r="C2583" s="264"/>
      <c r="D2583" s="157"/>
      <c r="E2583" s="44"/>
      <c r="F2583" s="146"/>
      <c r="G2583" s="1"/>
      <c r="H2583" s="161"/>
      <c r="I2583" s="37"/>
      <c r="J2583" s="135"/>
      <c r="K2583" s="112"/>
      <c r="L2583" s="37"/>
      <c r="M2583" s="37"/>
      <c r="N2583" s="37"/>
      <c r="O2583" s="130"/>
      <c r="P2583" s="132"/>
      <c r="Q2583" s="262"/>
      <c r="R2583" s="92"/>
    </row>
    <row r="2584" spans="3:18" x14ac:dyDescent="0.25">
      <c r="C2584" s="264"/>
      <c r="D2584" s="157"/>
      <c r="E2584" s="44"/>
      <c r="F2584" s="146"/>
      <c r="G2584" s="1"/>
      <c r="H2584" s="161"/>
      <c r="I2584" s="37"/>
      <c r="J2584" s="135"/>
      <c r="K2584" s="112"/>
      <c r="L2584" s="37"/>
      <c r="M2584" s="37"/>
      <c r="N2584" s="37"/>
      <c r="O2584" s="130"/>
      <c r="P2584" s="132"/>
      <c r="Q2584" s="262"/>
      <c r="R2584" s="92"/>
    </row>
    <row r="2585" spans="3:18" x14ac:dyDescent="0.25">
      <c r="C2585" s="264"/>
      <c r="D2585" s="157"/>
      <c r="E2585" s="44"/>
      <c r="F2585" s="146"/>
      <c r="G2585" s="1"/>
      <c r="H2585" s="161"/>
      <c r="I2585" s="37"/>
      <c r="J2585" s="135"/>
      <c r="K2585" s="112"/>
      <c r="L2585" s="37"/>
      <c r="M2585" s="37"/>
      <c r="N2585" s="37"/>
      <c r="O2585" s="130"/>
      <c r="P2585" s="132"/>
      <c r="Q2585" s="262"/>
      <c r="R2585" s="92"/>
    </row>
    <row r="2586" spans="3:18" x14ac:dyDescent="0.25">
      <c r="C2586" s="264"/>
      <c r="D2586" s="157"/>
      <c r="E2586" s="44"/>
      <c r="F2586" s="146"/>
      <c r="G2586" s="1"/>
      <c r="H2586" s="161"/>
      <c r="I2586" s="37"/>
      <c r="J2586" s="135"/>
      <c r="K2586" s="112"/>
      <c r="L2586" s="37"/>
      <c r="M2586" s="37"/>
      <c r="N2586" s="37"/>
      <c r="O2586" s="130"/>
      <c r="P2586" s="132"/>
      <c r="Q2586" s="262"/>
      <c r="R2586" s="92"/>
    </row>
    <row r="2587" spans="3:18" x14ac:dyDescent="0.25">
      <c r="C2587" s="264"/>
      <c r="D2587" s="157"/>
      <c r="E2587" s="44"/>
      <c r="F2587" s="146"/>
      <c r="G2587" s="1"/>
      <c r="H2587" s="161"/>
      <c r="I2587" s="37"/>
      <c r="J2587" s="135"/>
      <c r="K2587" s="112"/>
      <c r="L2587" s="37"/>
      <c r="M2587" s="37"/>
      <c r="N2587" s="37"/>
      <c r="O2587" s="130"/>
      <c r="P2587" s="132"/>
      <c r="Q2587" s="262"/>
      <c r="R2587" s="92"/>
    </row>
    <row r="2588" spans="3:18" x14ac:dyDescent="0.25">
      <c r="C2588" s="264"/>
      <c r="D2588" s="157"/>
      <c r="E2588" s="44"/>
      <c r="F2588" s="146"/>
      <c r="G2588" s="1"/>
      <c r="H2588" s="161"/>
      <c r="I2588" s="37"/>
      <c r="J2588" s="135"/>
      <c r="K2588" s="112"/>
      <c r="L2588" s="37"/>
      <c r="M2588" s="37"/>
      <c r="N2588" s="37"/>
      <c r="O2588" s="130"/>
      <c r="P2588" s="132"/>
      <c r="Q2588" s="262"/>
      <c r="R2588" s="92"/>
    </row>
    <row r="2589" spans="3:18" x14ac:dyDescent="0.25">
      <c r="C2589" s="264"/>
      <c r="D2589" s="157"/>
      <c r="E2589" s="44"/>
      <c r="F2589" s="146"/>
      <c r="G2589" s="1"/>
      <c r="H2589" s="161"/>
      <c r="I2589" s="37"/>
      <c r="J2589" s="135"/>
      <c r="K2589" s="112"/>
      <c r="L2589" s="37"/>
      <c r="M2589" s="37"/>
      <c r="N2589" s="37"/>
      <c r="O2589" s="130"/>
      <c r="P2589" s="132"/>
      <c r="Q2589" s="262"/>
      <c r="R2589" s="92"/>
    </row>
    <row r="2590" spans="3:18" x14ac:dyDescent="0.25">
      <c r="C2590" s="264"/>
      <c r="D2590" s="157"/>
      <c r="E2590" s="44"/>
      <c r="F2590" s="146"/>
      <c r="G2590" s="1"/>
      <c r="H2590" s="161"/>
      <c r="I2590" s="37"/>
      <c r="J2590" s="135"/>
      <c r="K2590" s="112"/>
      <c r="L2590" s="37"/>
      <c r="M2590" s="37"/>
      <c r="N2590" s="37"/>
      <c r="O2590" s="130"/>
      <c r="P2590" s="132"/>
      <c r="Q2590" s="262"/>
      <c r="R2590" s="92"/>
    </row>
    <row r="2591" spans="3:18" x14ac:dyDescent="0.25">
      <c r="C2591" s="264"/>
      <c r="D2591" s="157"/>
      <c r="E2591" s="44"/>
      <c r="F2591" s="146"/>
      <c r="G2591" s="1"/>
      <c r="H2591" s="161"/>
      <c r="I2591" s="37"/>
      <c r="J2591" s="135"/>
      <c r="K2591" s="112"/>
      <c r="L2591" s="37"/>
      <c r="M2591" s="37"/>
      <c r="N2591" s="37"/>
      <c r="O2591" s="130"/>
      <c r="P2591" s="132"/>
      <c r="Q2591" s="262"/>
      <c r="R2591" s="92"/>
    </row>
    <row r="2592" spans="3:18" x14ac:dyDescent="0.25">
      <c r="C2592" s="264"/>
      <c r="D2592" s="157"/>
      <c r="E2592" s="44"/>
      <c r="F2592" s="146"/>
      <c r="G2592" s="1"/>
      <c r="H2592" s="161"/>
      <c r="I2592" s="37"/>
      <c r="J2592" s="135"/>
      <c r="K2592" s="112"/>
      <c r="L2592" s="37"/>
      <c r="M2592" s="37"/>
      <c r="N2592" s="37"/>
      <c r="O2592" s="130"/>
      <c r="P2592" s="132"/>
      <c r="Q2592" s="262"/>
      <c r="R2592" s="92"/>
    </row>
    <row r="2593" spans="3:18" x14ac:dyDescent="0.25">
      <c r="C2593" s="264"/>
      <c r="D2593" s="157"/>
      <c r="E2593" s="44"/>
      <c r="F2593" s="146"/>
      <c r="G2593" s="1"/>
      <c r="H2593" s="161"/>
      <c r="I2593" s="37"/>
      <c r="J2593" s="135"/>
      <c r="K2593" s="112"/>
      <c r="L2593" s="37"/>
      <c r="M2593" s="37"/>
      <c r="N2593" s="37"/>
      <c r="O2593" s="130"/>
      <c r="P2593" s="132"/>
      <c r="Q2593" s="262"/>
      <c r="R2593" s="92"/>
    </row>
    <row r="2594" spans="3:18" x14ac:dyDescent="0.25">
      <c r="C2594" s="264"/>
      <c r="D2594" s="157"/>
      <c r="E2594" s="44"/>
      <c r="F2594" s="146"/>
      <c r="G2594" s="1"/>
      <c r="H2594" s="161"/>
      <c r="I2594" s="37"/>
      <c r="J2594" s="135"/>
      <c r="K2594" s="112"/>
      <c r="L2594" s="37"/>
      <c r="M2594" s="37"/>
      <c r="N2594" s="37"/>
      <c r="O2594" s="130"/>
      <c r="P2594" s="132"/>
      <c r="Q2594" s="262"/>
      <c r="R2594" s="92"/>
    </row>
    <row r="2595" spans="3:18" x14ac:dyDescent="0.25">
      <c r="C2595" s="264"/>
      <c r="D2595" s="157"/>
      <c r="E2595" s="44"/>
      <c r="F2595" s="146"/>
      <c r="G2595" s="1"/>
      <c r="H2595" s="161"/>
      <c r="I2595" s="37"/>
      <c r="J2595" s="135"/>
      <c r="K2595" s="112"/>
      <c r="L2595" s="37"/>
      <c r="M2595" s="37"/>
      <c r="N2595" s="37"/>
      <c r="O2595" s="130"/>
      <c r="P2595" s="132"/>
      <c r="Q2595" s="262"/>
      <c r="R2595" s="92"/>
    </row>
    <row r="2596" spans="3:18" x14ac:dyDescent="0.25">
      <c r="C2596" s="264"/>
      <c r="D2596" s="157"/>
      <c r="E2596" s="44"/>
      <c r="F2596" s="146"/>
      <c r="G2596" s="1"/>
      <c r="H2596" s="161"/>
      <c r="I2596" s="37"/>
      <c r="J2596" s="135"/>
      <c r="K2596" s="112"/>
      <c r="L2596" s="37"/>
      <c r="M2596" s="37"/>
      <c r="N2596" s="37"/>
      <c r="O2596" s="130"/>
      <c r="P2596" s="132"/>
      <c r="Q2596" s="262"/>
      <c r="R2596" s="92"/>
    </row>
    <row r="2597" spans="3:18" x14ac:dyDescent="0.25">
      <c r="C2597" s="264"/>
      <c r="D2597" s="157"/>
      <c r="E2597" s="44"/>
      <c r="F2597" s="146"/>
      <c r="G2597" s="1"/>
      <c r="H2597" s="161"/>
      <c r="I2597" s="37"/>
      <c r="J2597" s="135"/>
      <c r="K2597" s="112"/>
      <c r="L2597" s="37"/>
      <c r="M2597" s="37"/>
      <c r="N2597" s="37"/>
      <c r="O2597" s="130"/>
      <c r="P2597" s="132"/>
      <c r="Q2597" s="262"/>
      <c r="R2597" s="92"/>
    </row>
    <row r="2598" spans="3:18" x14ac:dyDescent="0.25">
      <c r="C2598" s="264"/>
      <c r="D2598" s="157"/>
      <c r="E2598" s="44"/>
      <c r="F2598" s="146"/>
      <c r="G2598" s="1"/>
      <c r="H2598" s="161"/>
      <c r="I2598" s="37"/>
      <c r="J2598" s="135"/>
      <c r="K2598" s="112"/>
      <c r="L2598" s="37"/>
      <c r="M2598" s="37"/>
      <c r="N2598" s="37"/>
      <c r="O2598" s="130"/>
      <c r="P2598" s="132"/>
      <c r="Q2598" s="262"/>
      <c r="R2598" s="92"/>
    </row>
    <row r="2599" spans="3:18" x14ac:dyDescent="0.25">
      <c r="C2599" s="264"/>
      <c r="D2599" s="157"/>
      <c r="E2599" s="44"/>
      <c r="F2599" s="146"/>
      <c r="G2599" s="1"/>
      <c r="H2599" s="161"/>
      <c r="I2599" s="37"/>
      <c r="J2599" s="135"/>
      <c r="K2599" s="112"/>
      <c r="L2599" s="37"/>
      <c r="M2599" s="37"/>
      <c r="N2599" s="37"/>
      <c r="O2599" s="130"/>
      <c r="P2599" s="132"/>
      <c r="Q2599" s="262"/>
      <c r="R2599" s="92"/>
    </row>
    <row r="2600" spans="3:18" x14ac:dyDescent="0.25">
      <c r="C2600" s="264"/>
      <c r="D2600" s="157"/>
      <c r="E2600" s="44"/>
      <c r="F2600" s="146"/>
      <c r="G2600" s="1"/>
      <c r="H2600" s="161"/>
      <c r="I2600" s="37"/>
      <c r="J2600" s="135"/>
      <c r="K2600" s="112"/>
      <c r="L2600" s="37"/>
      <c r="M2600" s="37"/>
      <c r="N2600" s="37"/>
      <c r="O2600" s="130"/>
      <c r="P2600" s="132"/>
      <c r="Q2600" s="262"/>
      <c r="R2600" s="92"/>
    </row>
    <row r="2601" spans="3:18" x14ac:dyDescent="0.25">
      <c r="C2601" s="264"/>
      <c r="D2601" s="157"/>
      <c r="E2601" s="44"/>
      <c r="F2601" s="146"/>
      <c r="G2601" s="1"/>
      <c r="H2601" s="161"/>
      <c r="I2601" s="37"/>
      <c r="J2601" s="135"/>
      <c r="K2601" s="112"/>
      <c r="L2601" s="37"/>
      <c r="M2601" s="37"/>
      <c r="N2601" s="37"/>
      <c r="O2601" s="130"/>
      <c r="P2601" s="132"/>
      <c r="Q2601" s="262"/>
      <c r="R2601" s="92"/>
    </row>
    <row r="2602" spans="3:18" x14ac:dyDescent="0.25">
      <c r="C2602" s="264"/>
      <c r="D2602" s="157"/>
      <c r="E2602" s="44"/>
      <c r="F2602" s="146"/>
      <c r="G2602" s="1"/>
      <c r="H2602" s="161"/>
      <c r="I2602" s="37"/>
      <c r="J2602" s="135"/>
      <c r="K2602" s="112"/>
      <c r="L2602" s="37"/>
      <c r="M2602" s="37"/>
      <c r="N2602" s="37"/>
      <c r="O2602" s="130"/>
      <c r="P2602" s="132"/>
      <c r="Q2602" s="262"/>
      <c r="R2602" s="92"/>
    </row>
    <row r="2603" spans="3:18" x14ac:dyDescent="0.25">
      <c r="C2603" s="264"/>
      <c r="D2603" s="157"/>
      <c r="E2603" s="44"/>
      <c r="F2603" s="146"/>
      <c r="G2603" s="1"/>
      <c r="H2603" s="161"/>
      <c r="I2603" s="37"/>
      <c r="J2603" s="135"/>
      <c r="K2603" s="112"/>
      <c r="L2603" s="37"/>
      <c r="M2603" s="37"/>
      <c r="N2603" s="37"/>
      <c r="O2603" s="130"/>
      <c r="P2603" s="132"/>
      <c r="Q2603" s="262"/>
      <c r="R2603" s="92"/>
    </row>
    <row r="2604" spans="3:18" x14ac:dyDescent="0.25">
      <c r="C2604" s="264"/>
      <c r="D2604" s="157"/>
      <c r="E2604" s="44"/>
      <c r="F2604" s="146"/>
      <c r="G2604" s="1"/>
      <c r="H2604" s="161"/>
      <c r="I2604" s="37"/>
      <c r="J2604" s="135"/>
      <c r="K2604" s="112"/>
      <c r="L2604" s="37"/>
      <c r="M2604" s="37"/>
      <c r="N2604" s="37"/>
      <c r="O2604" s="130"/>
      <c r="P2604" s="132"/>
      <c r="Q2604" s="262"/>
      <c r="R2604" s="92"/>
    </row>
    <row r="2605" spans="3:18" x14ac:dyDescent="0.25">
      <c r="C2605" s="264"/>
      <c r="D2605" s="157"/>
      <c r="E2605" s="44"/>
      <c r="F2605" s="146"/>
      <c r="G2605" s="1"/>
      <c r="H2605" s="161"/>
      <c r="I2605" s="37"/>
      <c r="J2605" s="135"/>
      <c r="K2605" s="112"/>
      <c r="L2605" s="37"/>
      <c r="M2605" s="37"/>
      <c r="N2605" s="37"/>
      <c r="O2605" s="130"/>
      <c r="P2605" s="132"/>
      <c r="Q2605" s="262"/>
      <c r="R2605" s="92"/>
    </row>
    <row r="2606" spans="3:18" x14ac:dyDescent="0.25">
      <c r="C2606" s="264"/>
      <c r="D2606" s="157"/>
      <c r="E2606" s="44"/>
      <c r="F2606" s="146"/>
      <c r="G2606" s="1"/>
      <c r="H2606" s="161"/>
      <c r="I2606" s="37"/>
      <c r="J2606" s="135"/>
      <c r="K2606" s="112"/>
      <c r="L2606" s="37"/>
      <c r="M2606" s="37"/>
      <c r="N2606" s="37"/>
      <c r="O2606" s="130"/>
      <c r="P2606" s="132"/>
      <c r="Q2606" s="262"/>
      <c r="R2606" s="92"/>
    </row>
    <row r="2607" spans="3:18" x14ac:dyDescent="0.25">
      <c r="C2607" s="264"/>
      <c r="D2607" s="157"/>
      <c r="E2607" s="44"/>
      <c r="F2607" s="146"/>
      <c r="G2607" s="1"/>
      <c r="H2607" s="161"/>
      <c r="I2607" s="37"/>
      <c r="J2607" s="135"/>
      <c r="K2607" s="112"/>
      <c r="L2607" s="37"/>
      <c r="M2607" s="37"/>
      <c r="N2607" s="37"/>
      <c r="O2607" s="130"/>
      <c r="P2607" s="132"/>
      <c r="Q2607" s="262"/>
      <c r="R2607" s="92"/>
    </row>
    <row r="2608" spans="3:18" x14ac:dyDescent="0.25">
      <c r="C2608" s="264"/>
      <c r="D2608" s="157"/>
      <c r="E2608" s="44"/>
      <c r="F2608" s="146"/>
      <c r="G2608" s="1"/>
      <c r="H2608" s="161"/>
      <c r="I2608" s="37"/>
      <c r="J2608" s="135"/>
      <c r="K2608" s="112"/>
      <c r="L2608" s="37"/>
      <c r="M2608" s="37"/>
      <c r="N2608" s="37"/>
      <c r="O2608" s="130"/>
      <c r="P2608" s="132"/>
      <c r="Q2608" s="262"/>
      <c r="R2608" s="92"/>
    </row>
    <row r="2609" spans="3:18" x14ac:dyDescent="0.25">
      <c r="C2609" s="264"/>
      <c r="D2609" s="157"/>
      <c r="E2609" s="44"/>
      <c r="F2609" s="146"/>
      <c r="G2609" s="1"/>
      <c r="H2609" s="161"/>
      <c r="I2609" s="37"/>
      <c r="J2609" s="135"/>
      <c r="K2609" s="112"/>
      <c r="L2609" s="37"/>
      <c r="M2609" s="37"/>
      <c r="N2609" s="37"/>
      <c r="O2609" s="130"/>
      <c r="P2609" s="132"/>
      <c r="Q2609" s="262"/>
      <c r="R2609" s="92"/>
    </row>
    <row r="2610" spans="3:18" x14ac:dyDescent="0.25">
      <c r="C2610" s="264"/>
      <c r="D2610" s="157"/>
      <c r="E2610" s="44"/>
      <c r="F2610" s="146"/>
      <c r="G2610" s="1"/>
      <c r="H2610" s="161"/>
      <c r="I2610" s="37"/>
      <c r="J2610" s="135"/>
      <c r="K2610" s="112"/>
      <c r="L2610" s="37"/>
      <c r="M2610" s="37"/>
      <c r="N2610" s="37"/>
      <c r="O2610" s="130"/>
      <c r="P2610" s="132"/>
      <c r="Q2610" s="262"/>
      <c r="R2610" s="92"/>
    </row>
    <row r="2611" spans="3:18" x14ac:dyDescent="0.25">
      <c r="C2611" s="264"/>
      <c r="D2611" s="157"/>
      <c r="E2611" s="44"/>
      <c r="F2611" s="146"/>
      <c r="G2611" s="1"/>
      <c r="H2611" s="161"/>
      <c r="I2611" s="37"/>
      <c r="J2611" s="135"/>
      <c r="K2611" s="112"/>
      <c r="L2611" s="37"/>
      <c r="M2611" s="37"/>
      <c r="N2611" s="37"/>
      <c r="O2611" s="130"/>
      <c r="P2611" s="132"/>
      <c r="Q2611" s="262"/>
      <c r="R2611" s="92"/>
    </row>
    <row r="2612" spans="3:18" x14ac:dyDescent="0.25">
      <c r="C2612" s="264"/>
      <c r="D2612" s="157"/>
      <c r="E2612" s="44"/>
      <c r="F2612" s="146"/>
      <c r="G2612" s="1"/>
      <c r="H2612" s="161"/>
      <c r="I2612" s="37"/>
      <c r="J2612" s="135"/>
      <c r="K2612" s="112"/>
      <c r="L2612" s="37"/>
      <c r="M2612" s="37"/>
      <c r="N2612" s="37"/>
      <c r="O2612" s="130"/>
      <c r="P2612" s="132"/>
      <c r="Q2612" s="262"/>
      <c r="R2612" s="92"/>
    </row>
    <row r="2613" spans="3:18" x14ac:dyDescent="0.25">
      <c r="C2613" s="264"/>
      <c r="D2613" s="157"/>
      <c r="E2613" s="44"/>
      <c r="F2613" s="146"/>
      <c r="G2613" s="1"/>
      <c r="H2613" s="161"/>
      <c r="I2613" s="37"/>
      <c r="J2613" s="135"/>
      <c r="K2613" s="112"/>
      <c r="L2613" s="37"/>
      <c r="M2613" s="37"/>
      <c r="N2613" s="37"/>
      <c r="O2613" s="130"/>
      <c r="P2613" s="132"/>
      <c r="Q2613" s="262"/>
      <c r="R2613" s="92"/>
    </row>
    <row r="2614" spans="3:18" x14ac:dyDescent="0.25">
      <c r="C2614" s="264"/>
      <c r="D2614" s="157"/>
      <c r="E2614" s="44"/>
      <c r="F2614" s="146"/>
      <c r="G2614" s="1"/>
      <c r="H2614" s="161"/>
      <c r="I2614" s="37"/>
      <c r="J2614" s="135"/>
      <c r="K2614" s="112"/>
      <c r="L2614" s="37"/>
      <c r="M2614" s="37"/>
      <c r="N2614" s="37"/>
      <c r="O2614" s="130"/>
      <c r="P2614" s="132"/>
      <c r="Q2614" s="262"/>
      <c r="R2614" s="92"/>
    </row>
    <row r="2615" spans="3:18" x14ac:dyDescent="0.25">
      <c r="C2615" s="264"/>
      <c r="D2615" s="157"/>
      <c r="E2615" s="44"/>
      <c r="F2615" s="146"/>
      <c r="G2615" s="1"/>
      <c r="H2615" s="161"/>
      <c r="I2615" s="37"/>
      <c r="J2615" s="135"/>
      <c r="K2615" s="112"/>
      <c r="L2615" s="37"/>
      <c r="M2615" s="37"/>
      <c r="N2615" s="37"/>
      <c r="O2615" s="130"/>
      <c r="P2615" s="132"/>
      <c r="Q2615" s="262"/>
      <c r="R2615" s="92"/>
    </row>
    <row r="2616" spans="3:18" x14ac:dyDescent="0.25">
      <c r="C2616" s="264"/>
      <c r="D2616" s="157"/>
      <c r="E2616" s="44"/>
      <c r="F2616" s="146"/>
      <c r="G2616" s="1"/>
      <c r="H2616" s="161"/>
      <c r="I2616" s="37"/>
      <c r="J2616" s="135"/>
      <c r="K2616" s="112"/>
      <c r="L2616" s="37"/>
      <c r="M2616" s="37"/>
      <c r="N2616" s="37"/>
      <c r="O2616" s="130"/>
      <c r="P2616" s="132"/>
      <c r="Q2616" s="262"/>
      <c r="R2616" s="92"/>
    </row>
    <row r="2617" spans="3:18" x14ac:dyDescent="0.25">
      <c r="C2617" s="264"/>
      <c r="D2617" s="157"/>
      <c r="E2617" s="44"/>
      <c r="F2617" s="146"/>
      <c r="G2617" s="1"/>
      <c r="H2617" s="161"/>
      <c r="I2617" s="37"/>
      <c r="J2617" s="135"/>
      <c r="K2617" s="112"/>
      <c r="L2617" s="37"/>
      <c r="M2617" s="37"/>
      <c r="N2617" s="37"/>
      <c r="O2617" s="130"/>
      <c r="P2617" s="132"/>
      <c r="Q2617" s="262"/>
      <c r="R2617" s="92"/>
    </row>
    <row r="2618" spans="3:18" x14ac:dyDescent="0.25">
      <c r="C2618" s="264"/>
      <c r="D2618" s="157"/>
      <c r="E2618" s="44"/>
      <c r="F2618" s="146"/>
      <c r="G2618" s="1"/>
      <c r="H2618" s="161"/>
      <c r="I2618" s="37"/>
      <c r="J2618" s="135"/>
      <c r="K2618" s="112"/>
      <c r="L2618" s="37"/>
      <c r="M2618" s="37"/>
      <c r="N2618" s="37"/>
      <c r="O2618" s="130"/>
      <c r="P2618" s="132"/>
      <c r="Q2618" s="262"/>
      <c r="R2618" s="92"/>
    </row>
    <row r="2619" spans="3:18" x14ac:dyDescent="0.25">
      <c r="C2619" s="264"/>
      <c r="D2619" s="157"/>
      <c r="E2619" s="44"/>
      <c r="F2619" s="146"/>
      <c r="G2619" s="1"/>
      <c r="H2619" s="161"/>
      <c r="I2619" s="37"/>
      <c r="J2619" s="135"/>
      <c r="K2619" s="112"/>
      <c r="L2619" s="37"/>
      <c r="M2619" s="37"/>
      <c r="N2619" s="37"/>
      <c r="O2619" s="130"/>
      <c r="P2619" s="132"/>
      <c r="Q2619" s="262"/>
      <c r="R2619" s="92"/>
    </row>
    <row r="2620" spans="3:18" x14ac:dyDescent="0.25">
      <c r="C2620" s="264"/>
      <c r="D2620" s="157"/>
      <c r="E2620" s="44"/>
      <c r="F2620" s="146"/>
      <c r="G2620" s="1"/>
      <c r="H2620" s="161"/>
      <c r="I2620" s="37"/>
      <c r="J2620" s="135"/>
      <c r="K2620" s="112"/>
      <c r="L2620" s="37"/>
      <c r="M2620" s="37"/>
      <c r="N2620" s="37"/>
      <c r="O2620" s="130"/>
      <c r="P2620" s="132"/>
      <c r="Q2620" s="262"/>
      <c r="R2620" s="92"/>
    </row>
    <row r="2621" spans="3:18" x14ac:dyDescent="0.25">
      <c r="C2621" s="264"/>
      <c r="D2621" s="157"/>
      <c r="E2621" s="44"/>
      <c r="F2621" s="146"/>
      <c r="G2621" s="1"/>
      <c r="H2621" s="161"/>
      <c r="I2621" s="37"/>
      <c r="J2621" s="135"/>
      <c r="K2621" s="112"/>
      <c r="L2621" s="37"/>
      <c r="M2621" s="37"/>
      <c r="N2621" s="37"/>
      <c r="O2621" s="130"/>
      <c r="P2621" s="132"/>
      <c r="Q2621" s="262"/>
      <c r="R2621" s="92"/>
    </row>
    <row r="2622" spans="3:18" x14ac:dyDescent="0.25">
      <c r="C2622" s="264"/>
      <c r="D2622" s="157"/>
      <c r="E2622" s="44"/>
      <c r="F2622" s="146"/>
      <c r="G2622" s="1"/>
      <c r="H2622" s="161"/>
      <c r="I2622" s="37"/>
      <c r="J2622" s="135"/>
      <c r="K2622" s="112"/>
      <c r="L2622" s="37"/>
      <c r="M2622" s="37"/>
      <c r="N2622" s="37"/>
      <c r="O2622" s="130"/>
      <c r="P2622" s="132"/>
      <c r="Q2622" s="262"/>
      <c r="R2622" s="92"/>
    </row>
    <row r="2623" spans="3:18" x14ac:dyDescent="0.25">
      <c r="C2623" s="264"/>
      <c r="D2623" s="157"/>
      <c r="E2623" s="44"/>
      <c r="F2623" s="146"/>
      <c r="G2623" s="1"/>
      <c r="H2623" s="161"/>
      <c r="I2623" s="37"/>
      <c r="J2623" s="135"/>
      <c r="K2623" s="112"/>
      <c r="L2623" s="37"/>
      <c r="M2623" s="37"/>
      <c r="N2623" s="37"/>
      <c r="O2623" s="130"/>
      <c r="P2623" s="132"/>
      <c r="Q2623" s="262"/>
      <c r="R2623" s="92"/>
    </row>
    <row r="2624" spans="3:18" x14ac:dyDescent="0.25">
      <c r="C2624" s="264"/>
      <c r="D2624" s="157"/>
      <c r="E2624" s="44"/>
      <c r="F2624" s="146"/>
      <c r="G2624" s="1"/>
      <c r="H2624" s="161"/>
      <c r="I2624" s="37"/>
      <c r="J2624" s="135"/>
      <c r="K2624" s="112"/>
      <c r="L2624" s="37"/>
      <c r="M2624" s="37"/>
      <c r="N2624" s="37"/>
      <c r="O2624" s="130"/>
      <c r="P2624" s="132"/>
      <c r="Q2624" s="262"/>
      <c r="R2624" s="92"/>
    </row>
    <row r="2625" spans="3:18" x14ac:dyDescent="0.25">
      <c r="C2625" s="264"/>
      <c r="D2625" s="157"/>
      <c r="E2625" s="44"/>
      <c r="F2625" s="146"/>
      <c r="G2625" s="1"/>
      <c r="H2625" s="161"/>
      <c r="I2625" s="37"/>
      <c r="J2625" s="135"/>
      <c r="K2625" s="112"/>
      <c r="L2625" s="37"/>
      <c r="M2625" s="37"/>
      <c r="N2625" s="37"/>
      <c r="O2625" s="130"/>
      <c r="P2625" s="132"/>
      <c r="Q2625" s="262"/>
      <c r="R2625" s="92"/>
    </row>
    <row r="2626" spans="3:18" x14ac:dyDescent="0.25">
      <c r="C2626" s="264"/>
      <c r="D2626" s="157"/>
      <c r="E2626" s="44"/>
      <c r="F2626" s="146"/>
      <c r="G2626" s="1"/>
      <c r="H2626" s="161"/>
      <c r="I2626" s="37"/>
      <c r="J2626" s="135"/>
      <c r="K2626" s="112"/>
      <c r="L2626" s="37"/>
      <c r="M2626" s="37"/>
      <c r="N2626" s="37"/>
      <c r="O2626" s="130"/>
      <c r="P2626" s="132"/>
      <c r="Q2626" s="262"/>
      <c r="R2626" s="92"/>
    </row>
    <row r="2627" spans="3:18" x14ac:dyDescent="0.25">
      <c r="C2627" s="264"/>
      <c r="D2627" s="157"/>
      <c r="E2627" s="44"/>
      <c r="F2627" s="146"/>
      <c r="G2627" s="1"/>
      <c r="H2627" s="161"/>
      <c r="I2627" s="37"/>
      <c r="J2627" s="135"/>
      <c r="K2627" s="112"/>
      <c r="L2627" s="37"/>
      <c r="M2627" s="37"/>
      <c r="N2627" s="37"/>
      <c r="O2627" s="130"/>
      <c r="P2627" s="132"/>
      <c r="Q2627" s="262"/>
      <c r="R2627" s="92"/>
    </row>
    <row r="2628" spans="3:18" x14ac:dyDescent="0.25">
      <c r="C2628" s="264"/>
      <c r="D2628" s="157"/>
      <c r="E2628" s="44"/>
      <c r="F2628" s="146"/>
      <c r="G2628" s="1"/>
      <c r="H2628" s="161"/>
      <c r="I2628" s="37"/>
      <c r="J2628" s="135"/>
      <c r="K2628" s="112"/>
      <c r="L2628" s="37"/>
      <c r="M2628" s="37"/>
      <c r="N2628" s="37"/>
      <c r="O2628" s="130"/>
      <c r="P2628" s="132"/>
      <c r="Q2628" s="262"/>
      <c r="R2628" s="92"/>
    </row>
    <row r="2629" spans="3:18" x14ac:dyDescent="0.25">
      <c r="C2629" s="264"/>
      <c r="D2629" s="157"/>
      <c r="E2629" s="44"/>
      <c r="F2629" s="146"/>
      <c r="G2629" s="1"/>
      <c r="H2629" s="161"/>
      <c r="I2629" s="37"/>
      <c r="J2629" s="135"/>
      <c r="K2629" s="112"/>
      <c r="L2629" s="37"/>
      <c r="M2629" s="37"/>
      <c r="N2629" s="37"/>
      <c r="O2629" s="130"/>
      <c r="P2629" s="132"/>
      <c r="Q2629" s="262"/>
      <c r="R2629" s="92"/>
    </row>
    <row r="2630" spans="3:18" x14ac:dyDescent="0.25">
      <c r="C2630" s="264"/>
      <c r="D2630" s="157"/>
      <c r="E2630" s="44"/>
      <c r="F2630" s="146"/>
      <c r="G2630" s="1"/>
      <c r="H2630" s="161"/>
      <c r="I2630" s="37"/>
      <c r="J2630" s="135"/>
      <c r="K2630" s="112"/>
      <c r="L2630" s="37"/>
      <c r="M2630" s="37"/>
      <c r="N2630" s="37"/>
      <c r="O2630" s="130"/>
      <c r="P2630" s="132"/>
      <c r="Q2630" s="262"/>
      <c r="R2630" s="92"/>
    </row>
    <row r="2631" spans="3:18" x14ac:dyDescent="0.25">
      <c r="C2631" s="264"/>
      <c r="D2631" s="157"/>
      <c r="E2631" s="44"/>
      <c r="F2631" s="146"/>
      <c r="G2631" s="1"/>
      <c r="H2631" s="161"/>
      <c r="I2631" s="37"/>
      <c r="J2631" s="135"/>
      <c r="K2631" s="112"/>
      <c r="L2631" s="37"/>
      <c r="M2631" s="37"/>
      <c r="N2631" s="37"/>
      <c r="O2631" s="130"/>
      <c r="P2631" s="132"/>
      <c r="Q2631" s="262"/>
      <c r="R2631" s="92"/>
    </row>
    <row r="2632" spans="3:18" x14ac:dyDescent="0.25">
      <c r="C2632" s="264"/>
      <c r="D2632" s="157"/>
      <c r="E2632" s="44"/>
      <c r="F2632" s="146"/>
      <c r="G2632" s="1"/>
      <c r="H2632" s="161"/>
      <c r="I2632" s="37"/>
      <c r="J2632" s="135"/>
      <c r="K2632" s="112"/>
      <c r="L2632" s="37"/>
      <c r="M2632" s="37"/>
      <c r="N2632" s="37"/>
      <c r="O2632" s="130"/>
      <c r="P2632" s="132"/>
      <c r="Q2632" s="262"/>
      <c r="R2632" s="92"/>
    </row>
    <row r="2633" spans="3:18" x14ac:dyDescent="0.25">
      <c r="C2633" s="264"/>
      <c r="D2633" s="157"/>
      <c r="E2633" s="44"/>
      <c r="F2633" s="146"/>
      <c r="G2633" s="1"/>
      <c r="H2633" s="161"/>
      <c r="I2633" s="37"/>
      <c r="J2633" s="135"/>
      <c r="K2633" s="112"/>
      <c r="L2633" s="37"/>
      <c r="M2633" s="37"/>
      <c r="N2633" s="37"/>
      <c r="O2633" s="130"/>
      <c r="P2633" s="132"/>
      <c r="Q2633" s="262"/>
      <c r="R2633" s="92"/>
    </row>
    <row r="2634" spans="3:18" x14ac:dyDescent="0.25">
      <c r="C2634" s="264"/>
      <c r="D2634" s="157"/>
      <c r="E2634" s="44"/>
      <c r="F2634" s="146"/>
      <c r="G2634" s="1"/>
      <c r="H2634" s="161"/>
      <c r="I2634" s="37"/>
      <c r="J2634" s="135"/>
      <c r="K2634" s="112"/>
      <c r="L2634" s="37"/>
      <c r="M2634" s="37"/>
      <c r="N2634" s="37"/>
      <c r="O2634" s="130"/>
      <c r="P2634" s="132"/>
      <c r="Q2634" s="262"/>
      <c r="R2634" s="92"/>
    </row>
    <row r="2635" spans="3:18" x14ac:dyDescent="0.25">
      <c r="C2635" s="264"/>
      <c r="D2635" s="157"/>
      <c r="E2635" s="44"/>
      <c r="F2635" s="146"/>
      <c r="G2635" s="1"/>
      <c r="H2635" s="161"/>
      <c r="I2635" s="37"/>
      <c r="J2635" s="135"/>
      <c r="K2635" s="112"/>
      <c r="L2635" s="37"/>
      <c r="M2635" s="37"/>
      <c r="N2635" s="37"/>
      <c r="O2635" s="130"/>
      <c r="P2635" s="132"/>
      <c r="Q2635" s="262"/>
      <c r="R2635" s="92"/>
    </row>
    <row r="2636" spans="3:18" x14ac:dyDescent="0.25">
      <c r="C2636" s="264"/>
      <c r="D2636" s="157"/>
      <c r="E2636" s="44"/>
      <c r="F2636" s="146"/>
      <c r="G2636" s="1"/>
      <c r="H2636" s="161"/>
      <c r="I2636" s="37"/>
      <c r="J2636" s="135"/>
      <c r="K2636" s="112"/>
      <c r="L2636" s="37"/>
      <c r="M2636" s="37"/>
      <c r="N2636" s="37"/>
      <c r="O2636" s="130"/>
      <c r="P2636" s="132"/>
      <c r="Q2636" s="262"/>
      <c r="R2636" s="92"/>
    </row>
    <row r="2637" spans="3:18" x14ac:dyDescent="0.25">
      <c r="C2637" s="264"/>
      <c r="D2637" s="157"/>
      <c r="E2637" s="44"/>
      <c r="F2637" s="146"/>
      <c r="G2637" s="1"/>
      <c r="H2637" s="161"/>
      <c r="I2637" s="37"/>
      <c r="J2637" s="135"/>
      <c r="K2637" s="112"/>
      <c r="L2637" s="37"/>
      <c r="M2637" s="37"/>
      <c r="N2637" s="37"/>
      <c r="O2637" s="130"/>
      <c r="P2637" s="132"/>
      <c r="Q2637" s="262"/>
      <c r="R2637" s="92"/>
    </row>
    <row r="2638" spans="3:18" x14ac:dyDescent="0.25">
      <c r="C2638" s="264"/>
      <c r="D2638" s="157"/>
      <c r="E2638" s="44"/>
      <c r="F2638" s="146"/>
      <c r="G2638" s="1"/>
      <c r="H2638" s="161"/>
      <c r="I2638" s="37"/>
      <c r="J2638" s="135"/>
      <c r="K2638" s="112"/>
      <c r="L2638" s="37"/>
      <c r="M2638" s="37"/>
      <c r="N2638" s="37"/>
      <c r="O2638" s="130"/>
      <c r="P2638" s="132"/>
      <c r="Q2638" s="262"/>
      <c r="R2638" s="92"/>
    </row>
    <row r="2639" spans="3:18" x14ac:dyDescent="0.25">
      <c r="C2639" s="264"/>
      <c r="D2639" s="157"/>
      <c r="E2639" s="44"/>
      <c r="F2639" s="146"/>
      <c r="G2639" s="1"/>
      <c r="H2639" s="161"/>
      <c r="I2639" s="37"/>
      <c r="J2639" s="135"/>
      <c r="K2639" s="112"/>
      <c r="L2639" s="37"/>
      <c r="M2639" s="37"/>
      <c r="N2639" s="37"/>
      <c r="O2639" s="130"/>
      <c r="P2639" s="132"/>
      <c r="Q2639" s="262"/>
      <c r="R2639" s="92"/>
    </row>
    <row r="2640" spans="3:18" x14ac:dyDescent="0.25">
      <c r="C2640" s="264"/>
      <c r="D2640" s="157"/>
      <c r="E2640" s="44"/>
      <c r="F2640" s="146"/>
      <c r="G2640" s="1"/>
      <c r="H2640" s="161"/>
      <c r="I2640" s="37"/>
      <c r="J2640" s="135"/>
      <c r="K2640" s="112"/>
      <c r="L2640" s="37"/>
      <c r="M2640" s="37"/>
      <c r="N2640" s="37"/>
      <c r="O2640" s="130"/>
      <c r="P2640" s="132"/>
      <c r="Q2640" s="262"/>
      <c r="R2640" s="92"/>
    </row>
    <row r="2641" spans="3:18" x14ac:dyDescent="0.25">
      <c r="C2641" s="264"/>
      <c r="D2641" s="157"/>
      <c r="E2641" s="44"/>
      <c r="F2641" s="146"/>
      <c r="G2641" s="1"/>
      <c r="H2641" s="161"/>
      <c r="I2641" s="37"/>
      <c r="J2641" s="135"/>
      <c r="K2641" s="112"/>
      <c r="L2641" s="37"/>
      <c r="M2641" s="37"/>
      <c r="N2641" s="37"/>
      <c r="O2641" s="130"/>
      <c r="P2641" s="132"/>
      <c r="Q2641" s="262"/>
      <c r="R2641" s="92"/>
    </row>
    <row r="2642" spans="3:18" x14ac:dyDescent="0.25">
      <c r="C2642" s="264"/>
      <c r="D2642" s="157"/>
      <c r="E2642" s="44"/>
      <c r="F2642" s="146"/>
      <c r="G2642" s="1"/>
      <c r="H2642" s="161"/>
      <c r="I2642" s="37"/>
      <c r="J2642" s="135"/>
      <c r="K2642" s="112"/>
      <c r="L2642" s="37"/>
      <c r="M2642" s="37"/>
      <c r="N2642" s="37"/>
      <c r="O2642" s="130"/>
      <c r="P2642" s="132"/>
      <c r="Q2642" s="262"/>
      <c r="R2642" s="92"/>
    </row>
    <row r="2643" spans="3:18" x14ac:dyDescent="0.25">
      <c r="C2643" s="264"/>
      <c r="D2643" s="157"/>
      <c r="E2643" s="44"/>
      <c r="F2643" s="146"/>
      <c r="G2643" s="1"/>
      <c r="H2643" s="161"/>
      <c r="I2643" s="37"/>
      <c r="J2643" s="135"/>
      <c r="K2643" s="112"/>
      <c r="L2643" s="37"/>
      <c r="M2643" s="37"/>
      <c r="N2643" s="37"/>
      <c r="O2643" s="130"/>
      <c r="P2643" s="132"/>
      <c r="Q2643" s="262"/>
      <c r="R2643" s="92"/>
    </row>
    <row r="2644" spans="3:18" x14ac:dyDescent="0.25">
      <c r="C2644" s="264"/>
      <c r="D2644" s="157"/>
      <c r="E2644" s="44"/>
      <c r="F2644" s="146"/>
      <c r="G2644" s="1"/>
      <c r="H2644" s="161"/>
      <c r="I2644" s="37"/>
      <c r="J2644" s="135"/>
      <c r="K2644" s="112"/>
      <c r="L2644" s="37"/>
      <c r="M2644" s="37"/>
      <c r="N2644" s="37"/>
      <c r="O2644" s="130"/>
      <c r="P2644" s="132"/>
      <c r="Q2644" s="262"/>
      <c r="R2644" s="92"/>
    </row>
    <row r="2645" spans="3:18" x14ac:dyDescent="0.25">
      <c r="C2645" s="264"/>
      <c r="D2645" s="157"/>
      <c r="E2645" s="44"/>
      <c r="F2645" s="146"/>
      <c r="G2645" s="1"/>
      <c r="H2645" s="161"/>
      <c r="I2645" s="37"/>
      <c r="J2645" s="135"/>
      <c r="K2645" s="112"/>
      <c r="L2645" s="37"/>
      <c r="M2645" s="37"/>
      <c r="N2645" s="37"/>
      <c r="O2645" s="130"/>
      <c r="P2645" s="132"/>
      <c r="Q2645" s="262"/>
      <c r="R2645" s="92"/>
    </row>
    <row r="2646" spans="3:18" x14ac:dyDescent="0.25">
      <c r="C2646" s="264"/>
      <c r="D2646" s="157"/>
      <c r="E2646" s="44"/>
      <c r="F2646" s="146"/>
      <c r="G2646" s="1"/>
      <c r="H2646" s="161"/>
      <c r="I2646" s="37"/>
      <c r="J2646" s="135"/>
      <c r="K2646" s="112"/>
      <c r="L2646" s="37"/>
      <c r="M2646" s="37"/>
      <c r="N2646" s="37"/>
      <c r="O2646" s="130"/>
      <c r="P2646" s="132"/>
      <c r="Q2646" s="262"/>
      <c r="R2646" s="92"/>
    </row>
    <row r="2647" spans="3:18" x14ac:dyDescent="0.25">
      <c r="C2647" s="264"/>
      <c r="D2647" s="157"/>
      <c r="E2647" s="44"/>
      <c r="F2647" s="146"/>
      <c r="G2647" s="1"/>
      <c r="H2647" s="161"/>
      <c r="I2647" s="37"/>
      <c r="J2647" s="135"/>
      <c r="K2647" s="112"/>
      <c r="L2647" s="37"/>
      <c r="M2647" s="37"/>
      <c r="N2647" s="37"/>
      <c r="O2647" s="130"/>
      <c r="P2647" s="132"/>
      <c r="Q2647" s="262"/>
      <c r="R2647" s="92"/>
    </row>
    <row r="2648" spans="3:18" x14ac:dyDescent="0.25">
      <c r="C2648" s="264"/>
      <c r="D2648" s="157"/>
      <c r="E2648" s="44"/>
      <c r="F2648" s="146"/>
      <c r="G2648" s="1"/>
      <c r="H2648" s="161"/>
      <c r="I2648" s="37"/>
      <c r="J2648" s="135"/>
      <c r="K2648" s="112"/>
      <c r="L2648" s="37"/>
      <c r="M2648" s="37"/>
      <c r="N2648" s="37"/>
      <c r="O2648" s="130"/>
      <c r="P2648" s="132"/>
      <c r="Q2648" s="262"/>
      <c r="R2648" s="92"/>
    </row>
    <row r="2649" spans="3:18" x14ac:dyDescent="0.25">
      <c r="C2649" s="264"/>
      <c r="D2649" s="157"/>
      <c r="E2649" s="44"/>
      <c r="F2649" s="146"/>
      <c r="G2649" s="1"/>
      <c r="H2649" s="161"/>
      <c r="I2649" s="37"/>
      <c r="J2649" s="135"/>
      <c r="K2649" s="112"/>
      <c r="L2649" s="37"/>
      <c r="M2649" s="37"/>
      <c r="N2649" s="37"/>
      <c r="O2649" s="130"/>
      <c r="P2649" s="132"/>
      <c r="Q2649" s="262"/>
      <c r="R2649" s="92"/>
    </row>
    <row r="2650" spans="3:18" x14ac:dyDescent="0.25">
      <c r="C2650" s="264"/>
      <c r="D2650" s="157"/>
      <c r="E2650" s="44"/>
      <c r="F2650" s="146"/>
      <c r="G2650" s="1"/>
      <c r="H2650" s="161"/>
      <c r="I2650" s="37"/>
      <c r="J2650" s="135"/>
      <c r="K2650" s="112"/>
      <c r="L2650" s="37"/>
      <c r="M2650" s="37"/>
      <c r="N2650" s="37"/>
      <c r="O2650" s="130"/>
      <c r="P2650" s="132"/>
      <c r="Q2650" s="262"/>
      <c r="R2650" s="92"/>
    </row>
    <row r="2651" spans="3:18" x14ac:dyDescent="0.25">
      <c r="C2651" s="264"/>
      <c r="D2651" s="157"/>
      <c r="E2651" s="44"/>
      <c r="F2651" s="146"/>
      <c r="G2651" s="1"/>
      <c r="H2651" s="161"/>
      <c r="I2651" s="37"/>
      <c r="J2651" s="135"/>
      <c r="K2651" s="112"/>
      <c r="L2651" s="37"/>
      <c r="M2651" s="37"/>
      <c r="N2651" s="37"/>
      <c r="O2651" s="130"/>
      <c r="P2651" s="132"/>
      <c r="Q2651" s="262"/>
      <c r="R2651" s="92"/>
    </row>
    <row r="2652" spans="3:18" x14ac:dyDescent="0.25">
      <c r="C2652" s="264"/>
      <c r="D2652" s="157"/>
      <c r="E2652" s="44"/>
      <c r="F2652" s="146"/>
      <c r="G2652" s="1"/>
      <c r="H2652" s="161"/>
      <c r="I2652" s="37"/>
      <c r="J2652" s="135"/>
      <c r="K2652" s="112"/>
      <c r="L2652" s="37"/>
      <c r="M2652" s="37"/>
      <c r="N2652" s="37"/>
      <c r="O2652" s="130"/>
      <c r="P2652" s="132"/>
      <c r="Q2652" s="262"/>
      <c r="R2652" s="92"/>
    </row>
    <row r="2653" spans="3:18" x14ac:dyDescent="0.25">
      <c r="C2653" s="264"/>
      <c r="D2653" s="157"/>
      <c r="E2653" s="44"/>
      <c r="F2653" s="146"/>
      <c r="G2653" s="1"/>
      <c r="H2653" s="161"/>
      <c r="I2653" s="37"/>
      <c r="J2653" s="135"/>
      <c r="K2653" s="112"/>
      <c r="L2653" s="37"/>
      <c r="M2653" s="37"/>
      <c r="N2653" s="37"/>
      <c r="O2653" s="130"/>
      <c r="P2653" s="132"/>
      <c r="Q2653" s="262"/>
      <c r="R2653" s="92"/>
    </row>
    <row r="2654" spans="3:18" x14ac:dyDescent="0.25">
      <c r="C2654" s="264"/>
      <c r="D2654" s="157"/>
      <c r="E2654" s="44"/>
      <c r="F2654" s="146"/>
      <c r="G2654" s="1"/>
      <c r="H2654" s="161"/>
      <c r="I2654" s="37"/>
      <c r="J2654" s="135"/>
      <c r="K2654" s="112"/>
      <c r="L2654" s="37"/>
      <c r="M2654" s="37"/>
      <c r="N2654" s="37"/>
      <c r="O2654" s="130"/>
      <c r="P2654" s="132"/>
      <c r="Q2654" s="262"/>
      <c r="R2654" s="92"/>
    </row>
    <row r="2655" spans="3:18" x14ac:dyDescent="0.25">
      <c r="C2655" s="264"/>
      <c r="D2655" s="157"/>
      <c r="E2655" s="44"/>
      <c r="F2655" s="146"/>
      <c r="G2655" s="1"/>
      <c r="H2655" s="161"/>
      <c r="I2655" s="37"/>
      <c r="J2655" s="135"/>
      <c r="K2655" s="112"/>
      <c r="L2655" s="37"/>
      <c r="M2655" s="37"/>
      <c r="N2655" s="37"/>
      <c r="O2655" s="130"/>
      <c r="P2655" s="132"/>
      <c r="Q2655" s="262"/>
      <c r="R2655" s="92"/>
    </row>
    <row r="2656" spans="3:18" x14ac:dyDescent="0.25">
      <c r="C2656" s="264"/>
      <c r="D2656" s="157"/>
      <c r="E2656" s="44"/>
      <c r="F2656" s="146"/>
      <c r="G2656" s="1"/>
      <c r="H2656" s="161"/>
      <c r="I2656" s="37"/>
      <c r="J2656" s="135"/>
      <c r="K2656" s="112"/>
      <c r="L2656" s="37"/>
      <c r="M2656" s="37"/>
      <c r="N2656" s="37"/>
      <c r="O2656" s="130"/>
      <c r="P2656" s="132"/>
      <c r="Q2656" s="262"/>
      <c r="R2656" s="92"/>
    </row>
    <row r="2657" spans="3:18" x14ac:dyDescent="0.25">
      <c r="C2657" s="264"/>
      <c r="D2657" s="157"/>
      <c r="E2657" s="44"/>
      <c r="F2657" s="146"/>
      <c r="G2657" s="1"/>
      <c r="H2657" s="161"/>
      <c r="I2657" s="37"/>
      <c r="J2657" s="135"/>
      <c r="K2657" s="112"/>
      <c r="L2657" s="37"/>
      <c r="M2657" s="37"/>
      <c r="N2657" s="37"/>
      <c r="O2657" s="130"/>
      <c r="P2657" s="132"/>
      <c r="Q2657" s="262"/>
      <c r="R2657" s="92"/>
    </row>
    <row r="2658" spans="3:18" x14ac:dyDescent="0.25">
      <c r="C2658" s="264"/>
      <c r="D2658" s="157"/>
      <c r="E2658" s="44"/>
      <c r="F2658" s="146"/>
      <c r="G2658" s="1"/>
      <c r="H2658" s="161"/>
      <c r="I2658" s="37"/>
      <c r="J2658" s="135"/>
      <c r="K2658" s="112"/>
      <c r="L2658" s="37"/>
      <c r="M2658" s="37"/>
      <c r="N2658" s="37"/>
      <c r="O2658" s="130"/>
      <c r="P2658" s="132"/>
      <c r="Q2658" s="262"/>
      <c r="R2658" s="92"/>
    </row>
    <row r="2659" spans="3:18" x14ac:dyDescent="0.25">
      <c r="C2659" s="264"/>
      <c r="D2659" s="157"/>
      <c r="E2659" s="44"/>
      <c r="F2659" s="146"/>
      <c r="G2659" s="1"/>
      <c r="H2659" s="161"/>
      <c r="I2659" s="37"/>
      <c r="J2659" s="135"/>
      <c r="K2659" s="112"/>
      <c r="L2659" s="37"/>
      <c r="M2659" s="37"/>
      <c r="N2659" s="37"/>
      <c r="O2659" s="130"/>
      <c r="P2659" s="132"/>
      <c r="Q2659" s="262"/>
      <c r="R2659" s="92"/>
    </row>
    <row r="2660" spans="3:18" x14ac:dyDescent="0.25">
      <c r="C2660" s="264"/>
      <c r="D2660" s="157"/>
      <c r="E2660" s="44"/>
      <c r="F2660" s="146"/>
      <c r="G2660" s="1"/>
      <c r="H2660" s="161"/>
      <c r="I2660" s="37"/>
      <c r="J2660" s="135"/>
      <c r="K2660" s="112"/>
      <c r="L2660" s="37"/>
      <c r="M2660" s="37"/>
      <c r="N2660" s="37"/>
      <c r="O2660" s="130"/>
      <c r="P2660" s="132"/>
      <c r="Q2660" s="262"/>
      <c r="R2660" s="92"/>
    </row>
    <row r="2661" spans="3:18" x14ac:dyDescent="0.25">
      <c r="C2661" s="264"/>
      <c r="D2661" s="157"/>
      <c r="E2661" s="44"/>
      <c r="F2661" s="146"/>
      <c r="G2661" s="1"/>
      <c r="H2661" s="161"/>
      <c r="I2661" s="37"/>
      <c r="J2661" s="135"/>
      <c r="K2661" s="112"/>
      <c r="L2661" s="37"/>
      <c r="M2661" s="37"/>
      <c r="N2661" s="37"/>
      <c r="O2661" s="130"/>
      <c r="P2661" s="132"/>
      <c r="Q2661" s="262"/>
      <c r="R2661" s="92"/>
    </row>
    <row r="2662" spans="3:18" x14ac:dyDescent="0.25">
      <c r="C2662" s="264"/>
      <c r="D2662" s="157"/>
      <c r="E2662" s="44"/>
      <c r="F2662" s="146"/>
      <c r="G2662" s="1"/>
      <c r="H2662" s="161"/>
      <c r="I2662" s="37"/>
      <c r="J2662" s="135"/>
      <c r="K2662" s="112"/>
      <c r="L2662" s="37"/>
      <c r="M2662" s="37"/>
      <c r="N2662" s="37"/>
      <c r="O2662" s="130"/>
      <c r="P2662" s="132"/>
      <c r="Q2662" s="262"/>
      <c r="R2662" s="92"/>
    </row>
    <row r="2663" spans="3:18" x14ac:dyDescent="0.25">
      <c r="C2663" s="264"/>
      <c r="D2663" s="157"/>
      <c r="E2663" s="44"/>
      <c r="F2663" s="146"/>
      <c r="G2663" s="1"/>
      <c r="H2663" s="161"/>
      <c r="I2663" s="37"/>
      <c r="J2663" s="135"/>
      <c r="K2663" s="112"/>
      <c r="L2663" s="37"/>
      <c r="M2663" s="37"/>
      <c r="N2663" s="37"/>
      <c r="O2663" s="130"/>
      <c r="P2663" s="132"/>
      <c r="Q2663" s="262"/>
      <c r="R2663" s="92"/>
    </row>
    <row r="2664" spans="3:18" x14ac:dyDescent="0.25">
      <c r="C2664" s="264"/>
      <c r="D2664" s="157"/>
      <c r="E2664" s="44"/>
      <c r="F2664" s="146"/>
      <c r="G2664" s="1"/>
      <c r="H2664" s="161"/>
      <c r="I2664" s="37"/>
      <c r="J2664" s="135"/>
      <c r="K2664" s="112"/>
      <c r="L2664" s="37"/>
      <c r="M2664" s="37"/>
      <c r="N2664" s="37"/>
      <c r="O2664" s="130"/>
      <c r="P2664" s="132"/>
      <c r="Q2664" s="262"/>
      <c r="R2664" s="92"/>
    </row>
    <row r="2665" spans="3:18" x14ac:dyDescent="0.25">
      <c r="C2665" s="264"/>
      <c r="D2665" s="157"/>
      <c r="E2665" s="44"/>
      <c r="F2665" s="146"/>
      <c r="G2665" s="1"/>
      <c r="H2665" s="161"/>
      <c r="I2665" s="37"/>
      <c r="J2665" s="135"/>
      <c r="K2665" s="112"/>
      <c r="L2665" s="37"/>
      <c r="M2665" s="37"/>
      <c r="N2665" s="37"/>
      <c r="O2665" s="130"/>
      <c r="P2665" s="132"/>
      <c r="Q2665" s="262"/>
      <c r="R2665" s="92"/>
    </row>
    <row r="2666" spans="3:18" x14ac:dyDescent="0.25">
      <c r="C2666" s="264"/>
      <c r="D2666" s="157"/>
      <c r="E2666" s="44"/>
      <c r="F2666" s="146"/>
      <c r="G2666" s="1"/>
      <c r="H2666" s="161"/>
      <c r="I2666" s="37"/>
      <c r="J2666" s="135"/>
      <c r="K2666" s="112"/>
      <c r="L2666" s="37"/>
      <c r="M2666" s="37"/>
      <c r="N2666" s="37"/>
      <c r="O2666" s="130"/>
      <c r="P2666" s="132"/>
      <c r="Q2666" s="262"/>
      <c r="R2666" s="92"/>
    </row>
    <row r="2667" spans="3:18" x14ac:dyDescent="0.25">
      <c r="C2667" s="264"/>
      <c r="D2667" s="157"/>
      <c r="E2667" s="44"/>
      <c r="F2667" s="146"/>
      <c r="G2667" s="1"/>
      <c r="H2667" s="161"/>
      <c r="I2667" s="37"/>
      <c r="J2667" s="135"/>
      <c r="K2667" s="112"/>
      <c r="L2667" s="37"/>
      <c r="M2667" s="37"/>
      <c r="N2667" s="37"/>
      <c r="O2667" s="130"/>
      <c r="P2667" s="132"/>
      <c r="Q2667" s="262"/>
      <c r="R2667" s="92"/>
    </row>
    <row r="2668" spans="3:18" x14ac:dyDescent="0.25">
      <c r="C2668" s="264"/>
      <c r="D2668" s="157"/>
      <c r="E2668" s="44"/>
      <c r="F2668" s="146"/>
      <c r="G2668" s="1"/>
      <c r="H2668" s="161"/>
      <c r="I2668" s="37"/>
      <c r="J2668" s="135"/>
      <c r="K2668" s="112"/>
      <c r="L2668" s="37"/>
      <c r="M2668" s="37"/>
      <c r="N2668" s="37"/>
      <c r="O2668" s="130"/>
      <c r="P2668" s="132"/>
      <c r="Q2668" s="262"/>
      <c r="R2668" s="92"/>
    </row>
    <row r="2669" spans="3:18" x14ac:dyDescent="0.25">
      <c r="C2669" s="264"/>
      <c r="D2669" s="157"/>
      <c r="E2669" s="44"/>
      <c r="F2669" s="146"/>
      <c r="G2669" s="1"/>
      <c r="H2669" s="161"/>
      <c r="I2669" s="37"/>
      <c r="J2669" s="135"/>
      <c r="K2669" s="112"/>
      <c r="L2669" s="37"/>
      <c r="M2669" s="37"/>
      <c r="N2669" s="37"/>
      <c r="O2669" s="130"/>
      <c r="P2669" s="132"/>
      <c r="Q2669" s="262"/>
      <c r="R2669" s="92"/>
    </row>
    <row r="2670" spans="3:18" x14ac:dyDescent="0.25">
      <c r="C2670" s="264"/>
      <c r="D2670" s="157"/>
      <c r="E2670" s="44"/>
      <c r="F2670" s="146"/>
      <c r="G2670" s="1"/>
      <c r="H2670" s="161"/>
      <c r="I2670" s="37"/>
      <c r="J2670" s="135"/>
      <c r="K2670" s="112"/>
      <c r="L2670" s="37"/>
      <c r="M2670" s="37"/>
      <c r="N2670" s="37"/>
      <c r="O2670" s="130"/>
      <c r="P2670" s="132"/>
      <c r="Q2670" s="262"/>
      <c r="R2670" s="92"/>
    </row>
    <row r="2671" spans="3:18" x14ac:dyDescent="0.25">
      <c r="C2671" s="264"/>
      <c r="D2671" s="157"/>
      <c r="E2671" s="44"/>
      <c r="F2671" s="146"/>
      <c r="G2671" s="1"/>
      <c r="H2671" s="161"/>
      <c r="I2671" s="37"/>
      <c r="J2671" s="135"/>
      <c r="K2671" s="112"/>
      <c r="L2671" s="37"/>
      <c r="M2671" s="37"/>
      <c r="N2671" s="37"/>
      <c r="O2671" s="130"/>
      <c r="P2671" s="132"/>
      <c r="Q2671" s="262"/>
      <c r="R2671" s="92"/>
    </row>
    <row r="2672" spans="3:18" x14ac:dyDescent="0.25">
      <c r="C2672" s="264"/>
      <c r="D2672" s="157"/>
      <c r="E2672" s="44"/>
      <c r="F2672" s="146"/>
      <c r="G2672" s="1"/>
      <c r="H2672" s="161"/>
      <c r="I2672" s="37"/>
      <c r="J2672" s="135"/>
      <c r="K2672" s="112"/>
      <c r="L2672" s="37"/>
      <c r="M2672" s="37"/>
      <c r="N2672" s="37"/>
      <c r="O2672" s="130"/>
      <c r="P2672" s="132"/>
      <c r="Q2672" s="262"/>
      <c r="R2672" s="92"/>
    </row>
    <row r="2673" spans="3:18" x14ac:dyDescent="0.25">
      <c r="C2673" s="264"/>
      <c r="D2673" s="157"/>
      <c r="E2673" s="44"/>
      <c r="F2673" s="146"/>
      <c r="G2673" s="1"/>
      <c r="H2673" s="161"/>
      <c r="I2673" s="37"/>
      <c r="J2673" s="135"/>
      <c r="K2673" s="112"/>
      <c r="L2673" s="37"/>
      <c r="M2673" s="37"/>
      <c r="N2673" s="37"/>
      <c r="O2673" s="130"/>
      <c r="P2673" s="132"/>
      <c r="Q2673" s="262"/>
      <c r="R2673" s="92"/>
    </row>
    <row r="2674" spans="3:18" x14ac:dyDescent="0.25">
      <c r="C2674" s="264"/>
      <c r="D2674" s="157"/>
      <c r="E2674" s="44"/>
      <c r="F2674" s="146"/>
      <c r="G2674" s="1"/>
      <c r="H2674" s="161"/>
      <c r="I2674" s="37"/>
      <c r="J2674" s="135"/>
      <c r="K2674" s="112"/>
      <c r="L2674" s="37"/>
      <c r="M2674" s="37"/>
      <c r="N2674" s="37"/>
      <c r="O2674" s="130"/>
      <c r="P2674" s="132"/>
      <c r="Q2674" s="262"/>
      <c r="R2674" s="92"/>
    </row>
    <row r="2675" spans="3:18" x14ac:dyDescent="0.25">
      <c r="C2675" s="264"/>
      <c r="D2675" s="157"/>
      <c r="E2675" s="44"/>
      <c r="F2675" s="146"/>
      <c r="G2675" s="1"/>
      <c r="H2675" s="161"/>
      <c r="I2675" s="37"/>
      <c r="J2675" s="135"/>
      <c r="K2675" s="112"/>
      <c r="L2675" s="37"/>
      <c r="M2675" s="37"/>
      <c r="N2675" s="37"/>
      <c r="O2675" s="130"/>
      <c r="P2675" s="132"/>
      <c r="Q2675" s="262"/>
      <c r="R2675" s="92"/>
    </row>
    <row r="2676" spans="3:18" x14ac:dyDescent="0.25">
      <c r="C2676" s="264"/>
      <c r="D2676" s="157"/>
      <c r="E2676" s="44"/>
      <c r="F2676" s="146"/>
      <c r="G2676" s="1"/>
      <c r="H2676" s="161"/>
      <c r="I2676" s="37"/>
      <c r="J2676" s="135"/>
      <c r="K2676" s="112"/>
      <c r="L2676" s="37"/>
      <c r="M2676" s="37"/>
      <c r="N2676" s="37"/>
      <c r="O2676" s="130"/>
      <c r="P2676" s="132"/>
      <c r="Q2676" s="262"/>
      <c r="R2676" s="92"/>
    </row>
    <row r="2677" spans="3:18" x14ac:dyDescent="0.25">
      <c r="C2677" s="264"/>
      <c r="D2677" s="157"/>
      <c r="E2677" s="44"/>
      <c r="F2677" s="146"/>
      <c r="G2677" s="1"/>
      <c r="H2677" s="161"/>
      <c r="I2677" s="37"/>
      <c r="J2677" s="135"/>
      <c r="K2677" s="112"/>
      <c r="L2677" s="37"/>
      <c r="M2677" s="37"/>
      <c r="N2677" s="37"/>
      <c r="O2677" s="130"/>
      <c r="P2677" s="132"/>
      <c r="Q2677" s="262"/>
      <c r="R2677" s="92"/>
    </row>
    <row r="2678" spans="3:18" x14ac:dyDescent="0.25">
      <c r="C2678" s="264"/>
      <c r="D2678" s="157"/>
      <c r="E2678" s="44"/>
      <c r="F2678" s="146"/>
      <c r="G2678" s="1"/>
      <c r="H2678" s="161"/>
      <c r="I2678" s="37"/>
      <c r="J2678" s="135"/>
      <c r="K2678" s="112"/>
      <c r="L2678" s="37"/>
      <c r="M2678" s="37"/>
      <c r="N2678" s="37"/>
      <c r="O2678" s="130"/>
      <c r="P2678" s="132"/>
      <c r="Q2678" s="262"/>
      <c r="R2678" s="92"/>
    </row>
    <row r="2679" spans="3:18" x14ac:dyDescent="0.25">
      <c r="C2679" s="264"/>
      <c r="D2679" s="157"/>
      <c r="E2679" s="44"/>
      <c r="F2679" s="146"/>
      <c r="G2679" s="1"/>
      <c r="H2679" s="161"/>
      <c r="I2679" s="37"/>
      <c r="J2679" s="135"/>
      <c r="K2679" s="112"/>
      <c r="L2679" s="37"/>
      <c r="M2679" s="37"/>
      <c r="N2679" s="37"/>
      <c r="O2679" s="130"/>
      <c r="P2679" s="132"/>
      <c r="Q2679" s="262"/>
      <c r="R2679" s="92"/>
    </row>
    <row r="2680" spans="3:18" x14ac:dyDescent="0.25">
      <c r="C2680" s="264"/>
      <c r="D2680" s="157"/>
      <c r="E2680" s="44"/>
      <c r="F2680" s="146"/>
      <c r="G2680" s="1"/>
      <c r="H2680" s="161"/>
      <c r="I2680" s="37"/>
      <c r="J2680" s="135"/>
      <c r="K2680" s="112"/>
      <c r="L2680" s="37"/>
      <c r="M2680" s="37"/>
      <c r="N2680" s="37"/>
      <c r="O2680" s="130"/>
      <c r="P2680" s="132"/>
      <c r="Q2680" s="262"/>
      <c r="R2680" s="92"/>
    </row>
    <row r="2681" spans="3:18" x14ac:dyDescent="0.25">
      <c r="C2681" s="264"/>
      <c r="D2681" s="157"/>
      <c r="E2681" s="44"/>
      <c r="F2681" s="146"/>
      <c r="G2681" s="1"/>
      <c r="H2681" s="161"/>
      <c r="I2681" s="37"/>
      <c r="J2681" s="135"/>
      <c r="K2681" s="112"/>
      <c r="L2681" s="37"/>
      <c r="M2681" s="37"/>
      <c r="N2681" s="37"/>
      <c r="O2681" s="130"/>
      <c r="P2681" s="132"/>
      <c r="Q2681" s="262"/>
      <c r="R2681" s="92"/>
    </row>
    <row r="2682" spans="3:18" x14ac:dyDescent="0.25">
      <c r="C2682" s="264"/>
      <c r="D2682" s="157"/>
      <c r="E2682" s="44"/>
      <c r="F2682" s="146"/>
      <c r="G2682" s="1"/>
      <c r="H2682" s="161"/>
      <c r="I2682" s="37"/>
      <c r="J2682" s="135"/>
      <c r="K2682" s="112"/>
      <c r="L2682" s="37"/>
      <c r="M2682" s="37"/>
      <c r="N2682" s="37"/>
      <c r="O2682" s="130"/>
      <c r="P2682" s="132"/>
      <c r="Q2682" s="262"/>
      <c r="R2682" s="92"/>
    </row>
    <row r="2683" spans="3:18" x14ac:dyDescent="0.25">
      <c r="C2683" s="264"/>
      <c r="D2683" s="157"/>
      <c r="E2683" s="44"/>
      <c r="F2683" s="146"/>
      <c r="G2683" s="1"/>
      <c r="H2683" s="161"/>
      <c r="I2683" s="37"/>
      <c r="J2683" s="135"/>
      <c r="K2683" s="112"/>
      <c r="L2683" s="37"/>
      <c r="M2683" s="37"/>
      <c r="N2683" s="37"/>
      <c r="O2683" s="130"/>
      <c r="P2683" s="132"/>
      <c r="Q2683" s="262"/>
      <c r="R2683" s="92"/>
    </row>
    <row r="2684" spans="3:18" x14ac:dyDescent="0.25">
      <c r="C2684" s="264"/>
      <c r="D2684" s="157"/>
      <c r="E2684" s="44"/>
      <c r="F2684" s="146"/>
      <c r="G2684" s="1"/>
      <c r="H2684" s="161"/>
      <c r="I2684" s="37"/>
      <c r="J2684" s="135"/>
      <c r="K2684" s="112"/>
      <c r="L2684" s="37"/>
      <c r="M2684" s="37"/>
      <c r="N2684" s="37"/>
      <c r="O2684" s="130"/>
      <c r="P2684" s="132"/>
      <c r="Q2684" s="262"/>
      <c r="R2684" s="92"/>
    </row>
    <row r="2685" spans="3:18" x14ac:dyDescent="0.25">
      <c r="C2685" s="264"/>
      <c r="D2685" s="157"/>
      <c r="E2685" s="44"/>
      <c r="F2685" s="146"/>
      <c r="G2685" s="1"/>
      <c r="H2685" s="161"/>
      <c r="I2685" s="37"/>
      <c r="J2685" s="135"/>
      <c r="K2685" s="112"/>
      <c r="L2685" s="37"/>
      <c r="M2685" s="37"/>
      <c r="N2685" s="37"/>
      <c r="O2685" s="130"/>
      <c r="P2685" s="132"/>
      <c r="Q2685" s="262"/>
      <c r="R2685" s="92"/>
    </row>
    <row r="2686" spans="3:18" x14ac:dyDescent="0.25">
      <c r="C2686" s="264"/>
      <c r="D2686" s="157"/>
      <c r="E2686" s="44"/>
      <c r="F2686" s="146"/>
      <c r="G2686" s="1"/>
      <c r="H2686" s="161"/>
      <c r="I2686" s="37"/>
      <c r="J2686" s="135"/>
      <c r="K2686" s="112"/>
      <c r="L2686" s="37"/>
      <c r="M2686" s="37"/>
      <c r="N2686" s="37"/>
      <c r="O2686" s="130"/>
      <c r="P2686" s="132"/>
      <c r="Q2686" s="262"/>
      <c r="R2686" s="92"/>
    </row>
    <row r="2687" spans="3:18" x14ac:dyDescent="0.25">
      <c r="C2687" s="264"/>
      <c r="D2687" s="157"/>
      <c r="E2687" s="44"/>
      <c r="F2687" s="146"/>
      <c r="G2687" s="1"/>
      <c r="H2687" s="161"/>
      <c r="I2687" s="37"/>
      <c r="J2687" s="135"/>
      <c r="K2687" s="112"/>
      <c r="L2687" s="37"/>
      <c r="M2687" s="37"/>
      <c r="N2687" s="37"/>
      <c r="O2687" s="130"/>
      <c r="P2687" s="132"/>
      <c r="Q2687" s="262"/>
      <c r="R2687" s="92"/>
    </row>
    <row r="2688" spans="3:18" x14ac:dyDescent="0.25">
      <c r="C2688" s="264"/>
      <c r="D2688" s="157"/>
      <c r="E2688" s="44"/>
      <c r="F2688" s="146"/>
      <c r="G2688" s="1"/>
      <c r="H2688" s="161"/>
      <c r="I2688" s="37"/>
      <c r="J2688" s="135"/>
      <c r="K2688" s="112"/>
      <c r="L2688" s="37"/>
      <c r="M2688" s="37"/>
      <c r="N2688" s="37"/>
      <c r="O2688" s="130"/>
      <c r="P2688" s="132"/>
      <c r="Q2688" s="262"/>
      <c r="R2688" s="92"/>
    </row>
    <row r="2689" spans="3:18" x14ac:dyDescent="0.25">
      <c r="C2689" s="264"/>
      <c r="D2689" s="157"/>
      <c r="E2689" s="44"/>
      <c r="F2689" s="146"/>
      <c r="G2689" s="1"/>
      <c r="H2689" s="161"/>
      <c r="I2689" s="37"/>
      <c r="J2689" s="135"/>
      <c r="K2689" s="112"/>
      <c r="L2689" s="37"/>
      <c r="M2689" s="37"/>
      <c r="N2689" s="37"/>
      <c r="O2689" s="130"/>
      <c r="P2689" s="132"/>
      <c r="Q2689" s="262"/>
      <c r="R2689" s="92"/>
    </row>
    <row r="2690" spans="3:18" x14ac:dyDescent="0.25">
      <c r="C2690" s="264"/>
      <c r="D2690" s="157"/>
      <c r="E2690" s="44"/>
      <c r="F2690" s="146"/>
      <c r="G2690" s="1"/>
      <c r="H2690" s="161"/>
      <c r="I2690" s="37"/>
      <c r="J2690" s="135"/>
      <c r="K2690" s="112"/>
      <c r="L2690" s="37"/>
      <c r="M2690" s="37"/>
      <c r="N2690" s="37"/>
      <c r="O2690" s="130"/>
      <c r="P2690" s="132"/>
      <c r="Q2690" s="262"/>
      <c r="R2690" s="92"/>
    </row>
    <row r="2691" spans="3:18" x14ac:dyDescent="0.25">
      <c r="C2691" s="264"/>
      <c r="D2691" s="157"/>
      <c r="E2691" s="44"/>
      <c r="F2691" s="146"/>
      <c r="G2691" s="1"/>
      <c r="H2691" s="161"/>
      <c r="I2691" s="37"/>
      <c r="J2691" s="135"/>
      <c r="K2691" s="112"/>
      <c r="L2691" s="37"/>
      <c r="M2691" s="37"/>
      <c r="N2691" s="37"/>
      <c r="O2691" s="130"/>
      <c r="P2691" s="132"/>
      <c r="Q2691" s="262"/>
      <c r="R2691" s="92"/>
    </row>
    <row r="2692" spans="3:18" x14ac:dyDescent="0.25">
      <c r="C2692" s="264"/>
      <c r="D2692" s="157"/>
      <c r="E2692" s="44"/>
      <c r="F2692" s="146"/>
      <c r="G2692" s="1"/>
      <c r="H2692" s="161"/>
      <c r="I2692" s="37"/>
      <c r="J2692" s="135"/>
      <c r="K2692" s="112"/>
      <c r="L2692" s="37"/>
      <c r="M2692" s="37"/>
      <c r="N2692" s="37"/>
      <c r="O2692" s="130"/>
      <c r="P2692" s="132"/>
      <c r="Q2692" s="262"/>
      <c r="R2692" s="92"/>
    </row>
    <row r="2693" spans="3:18" x14ac:dyDescent="0.25">
      <c r="C2693" s="264"/>
      <c r="D2693" s="157"/>
      <c r="E2693" s="44"/>
      <c r="F2693" s="146"/>
      <c r="G2693" s="1"/>
      <c r="H2693" s="161"/>
      <c r="I2693" s="37"/>
      <c r="J2693" s="135"/>
      <c r="K2693" s="112"/>
      <c r="L2693" s="37"/>
      <c r="M2693" s="37"/>
      <c r="N2693" s="37"/>
      <c r="O2693" s="130"/>
      <c r="P2693" s="132"/>
      <c r="Q2693" s="262"/>
      <c r="R2693" s="92"/>
    </row>
    <row r="2694" spans="3:18" x14ac:dyDescent="0.25">
      <c r="C2694" s="264"/>
      <c r="D2694" s="157"/>
      <c r="E2694" s="44"/>
      <c r="F2694" s="146"/>
      <c r="G2694" s="1"/>
      <c r="H2694" s="161"/>
      <c r="I2694" s="37"/>
      <c r="J2694" s="135"/>
      <c r="K2694" s="112"/>
      <c r="L2694" s="37"/>
      <c r="M2694" s="37"/>
      <c r="N2694" s="37"/>
      <c r="O2694" s="130"/>
      <c r="P2694" s="132"/>
      <c r="Q2694" s="262"/>
      <c r="R2694" s="92"/>
    </row>
    <row r="2695" spans="3:18" x14ac:dyDescent="0.25">
      <c r="C2695" s="264"/>
      <c r="D2695" s="157"/>
      <c r="E2695" s="44"/>
      <c r="F2695" s="146"/>
      <c r="G2695" s="1"/>
      <c r="H2695" s="161"/>
      <c r="I2695" s="37"/>
      <c r="J2695" s="135"/>
      <c r="K2695" s="112"/>
      <c r="L2695" s="37"/>
      <c r="M2695" s="37"/>
      <c r="N2695" s="37"/>
      <c r="O2695" s="130"/>
      <c r="P2695" s="132"/>
      <c r="Q2695" s="262"/>
      <c r="R2695" s="92"/>
    </row>
    <row r="2696" spans="3:18" x14ac:dyDescent="0.25">
      <c r="C2696" s="264"/>
      <c r="D2696" s="157"/>
      <c r="E2696" s="44"/>
      <c r="F2696" s="146"/>
      <c r="G2696" s="1"/>
      <c r="H2696" s="161"/>
      <c r="I2696" s="37"/>
      <c r="J2696" s="135"/>
      <c r="K2696" s="112"/>
      <c r="L2696" s="37"/>
      <c r="M2696" s="37"/>
      <c r="N2696" s="37"/>
      <c r="O2696" s="130"/>
      <c r="P2696" s="132"/>
      <c r="Q2696" s="262"/>
      <c r="R2696" s="92"/>
    </row>
    <row r="2697" spans="3:18" x14ac:dyDescent="0.25">
      <c r="C2697" s="264"/>
      <c r="D2697" s="157"/>
      <c r="E2697" s="44"/>
      <c r="F2697" s="146"/>
      <c r="G2697" s="1"/>
      <c r="H2697" s="161"/>
      <c r="I2697" s="37"/>
      <c r="J2697" s="135"/>
      <c r="K2697" s="112"/>
      <c r="L2697" s="37"/>
      <c r="M2697" s="37"/>
      <c r="N2697" s="37"/>
      <c r="O2697" s="130"/>
      <c r="P2697" s="132"/>
      <c r="Q2697" s="262"/>
      <c r="R2697" s="92"/>
    </row>
    <row r="2698" spans="3:18" x14ac:dyDescent="0.25">
      <c r="C2698" s="264"/>
      <c r="D2698" s="157"/>
      <c r="E2698" s="44"/>
      <c r="F2698" s="146"/>
      <c r="G2698" s="1"/>
      <c r="H2698" s="161"/>
      <c r="I2698" s="37"/>
      <c r="J2698" s="135"/>
      <c r="K2698" s="112"/>
      <c r="L2698" s="37"/>
      <c r="M2698" s="37"/>
      <c r="N2698" s="37"/>
      <c r="O2698" s="130"/>
      <c r="P2698" s="132"/>
      <c r="Q2698" s="262"/>
      <c r="R2698" s="92"/>
    </row>
    <row r="2699" spans="3:18" x14ac:dyDescent="0.25">
      <c r="C2699" s="264"/>
      <c r="D2699" s="157"/>
      <c r="E2699" s="44"/>
      <c r="F2699" s="146"/>
      <c r="G2699" s="1"/>
      <c r="H2699" s="161"/>
      <c r="I2699" s="37"/>
      <c r="J2699" s="135"/>
      <c r="K2699" s="112"/>
      <c r="L2699" s="37"/>
      <c r="M2699" s="37"/>
      <c r="N2699" s="37"/>
      <c r="O2699" s="130"/>
      <c r="P2699" s="132"/>
      <c r="Q2699" s="262"/>
      <c r="R2699" s="92"/>
    </row>
    <row r="2700" spans="3:18" x14ac:dyDescent="0.25">
      <c r="C2700" s="264"/>
      <c r="D2700" s="157"/>
      <c r="E2700" s="44"/>
      <c r="F2700" s="146"/>
      <c r="G2700" s="1"/>
      <c r="H2700" s="161"/>
      <c r="I2700" s="37"/>
      <c r="J2700" s="135"/>
      <c r="K2700" s="112"/>
      <c r="L2700" s="37"/>
      <c r="M2700" s="37"/>
      <c r="N2700" s="37"/>
      <c r="O2700" s="130"/>
      <c r="P2700" s="132"/>
      <c r="Q2700" s="262"/>
      <c r="R2700" s="92"/>
    </row>
    <row r="2701" spans="3:18" x14ac:dyDescent="0.25">
      <c r="C2701" s="264"/>
      <c r="D2701" s="157"/>
      <c r="E2701" s="44"/>
      <c r="F2701" s="146"/>
      <c r="G2701" s="1"/>
      <c r="H2701" s="161"/>
      <c r="I2701" s="37"/>
      <c r="J2701" s="135"/>
      <c r="K2701" s="112"/>
      <c r="L2701" s="37"/>
      <c r="M2701" s="37"/>
      <c r="N2701" s="37"/>
      <c r="O2701" s="130"/>
      <c r="P2701" s="132"/>
      <c r="Q2701" s="262"/>
      <c r="R2701" s="92"/>
    </row>
    <row r="2702" spans="3:18" x14ac:dyDescent="0.25">
      <c r="C2702" s="264"/>
      <c r="D2702" s="157"/>
      <c r="E2702" s="44"/>
      <c r="F2702" s="146"/>
      <c r="G2702" s="1"/>
      <c r="H2702" s="161"/>
      <c r="I2702" s="37"/>
      <c r="J2702" s="135"/>
      <c r="K2702" s="112"/>
      <c r="L2702" s="37"/>
      <c r="M2702" s="37"/>
      <c r="N2702" s="37"/>
      <c r="O2702" s="130"/>
      <c r="P2702" s="132"/>
      <c r="Q2702" s="262"/>
      <c r="R2702" s="92"/>
    </row>
    <row r="2703" spans="3:18" x14ac:dyDescent="0.25">
      <c r="C2703" s="264"/>
      <c r="D2703" s="157"/>
      <c r="E2703" s="44"/>
      <c r="F2703" s="146"/>
      <c r="G2703" s="1"/>
      <c r="H2703" s="161"/>
      <c r="I2703" s="37"/>
      <c r="J2703" s="135"/>
      <c r="K2703" s="112"/>
      <c r="L2703" s="37"/>
      <c r="M2703" s="37"/>
      <c r="N2703" s="37"/>
      <c r="O2703" s="130"/>
      <c r="P2703" s="132"/>
      <c r="Q2703" s="262"/>
      <c r="R2703" s="92"/>
    </row>
    <row r="2704" spans="3:18" x14ac:dyDescent="0.25">
      <c r="C2704" s="264"/>
      <c r="D2704" s="157"/>
      <c r="E2704" s="44"/>
      <c r="F2704" s="146"/>
      <c r="G2704" s="1"/>
      <c r="H2704" s="161"/>
      <c r="I2704" s="37"/>
      <c r="J2704" s="135"/>
      <c r="K2704" s="112"/>
      <c r="L2704" s="37"/>
      <c r="M2704" s="37"/>
      <c r="N2704" s="37"/>
      <c r="O2704" s="130"/>
      <c r="P2704" s="132"/>
      <c r="Q2704" s="262"/>
      <c r="R2704" s="92"/>
    </row>
    <row r="2705" spans="3:18" x14ac:dyDescent="0.25">
      <c r="C2705" s="264"/>
      <c r="D2705" s="157"/>
      <c r="E2705" s="44"/>
      <c r="F2705" s="146"/>
      <c r="G2705" s="1"/>
      <c r="H2705" s="161"/>
      <c r="I2705" s="37"/>
      <c r="J2705" s="135"/>
      <c r="K2705" s="112"/>
      <c r="L2705" s="37"/>
      <c r="M2705" s="37"/>
      <c r="N2705" s="37"/>
      <c r="O2705" s="130"/>
      <c r="P2705" s="132"/>
      <c r="Q2705" s="262"/>
      <c r="R2705" s="92"/>
    </row>
    <row r="2706" spans="3:18" x14ac:dyDescent="0.25">
      <c r="C2706" s="264"/>
      <c r="D2706" s="157"/>
      <c r="E2706" s="44"/>
      <c r="F2706" s="146"/>
      <c r="G2706" s="1"/>
      <c r="H2706" s="161"/>
      <c r="I2706" s="37"/>
      <c r="J2706" s="135"/>
      <c r="K2706" s="112"/>
      <c r="L2706" s="37"/>
      <c r="M2706" s="37"/>
      <c r="N2706" s="37"/>
      <c r="O2706" s="130"/>
      <c r="P2706" s="132"/>
      <c r="Q2706" s="262"/>
      <c r="R2706" s="92"/>
    </row>
    <row r="2707" spans="3:18" x14ac:dyDescent="0.25">
      <c r="C2707" s="264"/>
      <c r="D2707" s="157"/>
      <c r="E2707" s="44"/>
      <c r="F2707" s="146"/>
      <c r="G2707" s="1"/>
      <c r="H2707" s="161"/>
      <c r="I2707" s="37"/>
      <c r="J2707" s="135"/>
      <c r="K2707" s="112"/>
      <c r="L2707" s="37"/>
      <c r="M2707" s="37"/>
      <c r="N2707" s="37"/>
      <c r="O2707" s="130"/>
      <c r="P2707" s="132"/>
      <c r="Q2707" s="262"/>
      <c r="R2707" s="92"/>
    </row>
    <row r="2708" spans="3:18" x14ac:dyDescent="0.25">
      <c r="C2708" s="264"/>
      <c r="D2708" s="157"/>
      <c r="E2708" s="44"/>
      <c r="F2708" s="146"/>
      <c r="G2708" s="1"/>
      <c r="H2708" s="161"/>
      <c r="I2708" s="37"/>
      <c r="J2708" s="135"/>
      <c r="K2708" s="112"/>
      <c r="L2708" s="37"/>
      <c r="M2708" s="37"/>
      <c r="N2708" s="37"/>
      <c r="O2708" s="130"/>
      <c r="P2708" s="132"/>
      <c r="Q2708" s="262"/>
      <c r="R2708" s="92"/>
    </row>
    <row r="2709" spans="3:18" x14ac:dyDescent="0.25">
      <c r="C2709" s="264"/>
      <c r="D2709" s="157"/>
      <c r="E2709" s="44"/>
      <c r="F2709" s="146"/>
      <c r="G2709" s="1"/>
      <c r="H2709" s="161"/>
      <c r="I2709" s="37"/>
      <c r="J2709" s="135"/>
      <c r="K2709" s="112"/>
      <c r="L2709" s="37"/>
      <c r="M2709" s="37"/>
      <c r="N2709" s="37"/>
      <c r="O2709" s="130"/>
      <c r="P2709" s="132"/>
      <c r="Q2709" s="262"/>
      <c r="R2709" s="92"/>
    </row>
    <row r="2710" spans="3:18" x14ac:dyDescent="0.25">
      <c r="C2710" s="264"/>
      <c r="D2710" s="157"/>
      <c r="E2710" s="44"/>
      <c r="F2710" s="146"/>
      <c r="G2710" s="1"/>
      <c r="H2710" s="161"/>
      <c r="I2710" s="37"/>
      <c r="J2710" s="135"/>
      <c r="K2710" s="112"/>
      <c r="L2710" s="37"/>
      <c r="M2710" s="37"/>
      <c r="N2710" s="37"/>
      <c r="O2710" s="130"/>
      <c r="P2710" s="132"/>
      <c r="Q2710" s="262"/>
      <c r="R2710" s="92"/>
    </row>
    <row r="2711" spans="3:18" x14ac:dyDescent="0.25">
      <c r="C2711" s="264"/>
      <c r="D2711" s="157"/>
      <c r="E2711" s="44"/>
      <c r="F2711" s="146"/>
      <c r="G2711" s="1"/>
      <c r="H2711" s="161"/>
      <c r="I2711" s="37"/>
      <c r="J2711" s="135"/>
      <c r="K2711" s="112"/>
      <c r="L2711" s="37"/>
      <c r="M2711" s="37"/>
      <c r="N2711" s="37"/>
      <c r="O2711" s="130"/>
      <c r="P2711" s="132"/>
      <c r="Q2711" s="262"/>
      <c r="R2711" s="92"/>
    </row>
    <row r="2712" spans="3:18" x14ac:dyDescent="0.25">
      <c r="C2712" s="264"/>
      <c r="D2712" s="157"/>
      <c r="E2712" s="44"/>
      <c r="F2712" s="146"/>
      <c r="G2712" s="1"/>
      <c r="H2712" s="161"/>
      <c r="I2712" s="37"/>
      <c r="J2712" s="135"/>
      <c r="K2712" s="112"/>
      <c r="L2712" s="37"/>
      <c r="M2712" s="37"/>
      <c r="N2712" s="37"/>
      <c r="O2712" s="130"/>
      <c r="P2712" s="132"/>
      <c r="Q2712" s="262"/>
      <c r="R2712" s="92"/>
    </row>
    <row r="2713" spans="3:18" x14ac:dyDescent="0.25">
      <c r="C2713" s="264"/>
      <c r="D2713" s="157"/>
      <c r="E2713" s="44"/>
      <c r="F2713" s="146"/>
      <c r="G2713" s="1"/>
      <c r="H2713" s="161"/>
      <c r="I2713" s="37"/>
      <c r="J2713" s="135"/>
      <c r="K2713" s="112"/>
      <c r="L2713" s="37"/>
      <c r="M2713" s="37"/>
      <c r="N2713" s="37"/>
      <c r="O2713" s="130"/>
      <c r="P2713" s="132"/>
      <c r="Q2713" s="262"/>
      <c r="R2713" s="92"/>
    </row>
    <row r="2714" spans="3:18" x14ac:dyDescent="0.25">
      <c r="C2714" s="264"/>
      <c r="D2714" s="157"/>
      <c r="E2714" s="44"/>
      <c r="F2714" s="146"/>
      <c r="G2714" s="1"/>
      <c r="H2714" s="161"/>
      <c r="I2714" s="37"/>
      <c r="J2714" s="135"/>
      <c r="K2714" s="112"/>
      <c r="L2714" s="37"/>
      <c r="M2714" s="37"/>
      <c r="N2714" s="37"/>
      <c r="O2714" s="130"/>
      <c r="P2714" s="132"/>
      <c r="Q2714" s="262"/>
      <c r="R2714" s="92"/>
    </row>
    <row r="2715" spans="3:18" x14ac:dyDescent="0.25">
      <c r="C2715" s="264"/>
      <c r="D2715" s="157"/>
      <c r="E2715" s="44"/>
      <c r="F2715" s="146"/>
      <c r="G2715" s="1"/>
      <c r="H2715" s="161"/>
      <c r="I2715" s="37"/>
      <c r="J2715" s="135"/>
      <c r="K2715" s="112"/>
      <c r="L2715" s="37"/>
      <c r="M2715" s="37"/>
      <c r="N2715" s="37"/>
      <c r="O2715" s="130"/>
      <c r="P2715" s="132"/>
      <c r="Q2715" s="262"/>
      <c r="R2715" s="92"/>
    </row>
    <row r="2716" spans="3:18" x14ac:dyDescent="0.25">
      <c r="C2716" s="264"/>
      <c r="D2716" s="157"/>
      <c r="E2716" s="44"/>
      <c r="F2716" s="146"/>
      <c r="G2716" s="1"/>
      <c r="H2716" s="161"/>
      <c r="I2716" s="37"/>
      <c r="J2716" s="135"/>
      <c r="K2716" s="112"/>
      <c r="L2716" s="37"/>
      <c r="M2716" s="37"/>
      <c r="N2716" s="37"/>
      <c r="O2716" s="130"/>
      <c r="P2716" s="132"/>
      <c r="Q2716" s="262"/>
      <c r="R2716" s="92"/>
    </row>
    <row r="2717" spans="3:18" x14ac:dyDescent="0.25">
      <c r="C2717" s="264"/>
      <c r="D2717" s="157"/>
      <c r="E2717" s="44"/>
      <c r="F2717" s="146"/>
      <c r="G2717" s="1"/>
      <c r="H2717" s="161"/>
      <c r="I2717" s="37"/>
      <c r="J2717" s="135"/>
      <c r="K2717" s="112"/>
      <c r="L2717" s="37"/>
      <c r="M2717" s="37"/>
      <c r="N2717" s="37"/>
      <c r="O2717" s="130"/>
      <c r="P2717" s="132"/>
      <c r="Q2717" s="262"/>
      <c r="R2717" s="92"/>
    </row>
    <row r="2718" spans="3:18" x14ac:dyDescent="0.25">
      <c r="C2718" s="264"/>
      <c r="D2718" s="157"/>
      <c r="E2718" s="44"/>
      <c r="F2718" s="146"/>
      <c r="G2718" s="1"/>
      <c r="H2718" s="161"/>
      <c r="I2718" s="37"/>
      <c r="J2718" s="135"/>
      <c r="K2718" s="112"/>
      <c r="L2718" s="37"/>
      <c r="M2718" s="37"/>
      <c r="N2718" s="37"/>
      <c r="O2718" s="130"/>
      <c r="P2718" s="132"/>
      <c r="Q2718" s="262"/>
      <c r="R2718" s="92"/>
    </row>
    <row r="2719" spans="3:18" x14ac:dyDescent="0.25">
      <c r="C2719" s="264"/>
      <c r="D2719" s="157"/>
      <c r="E2719" s="44"/>
      <c r="F2719" s="146"/>
      <c r="G2719" s="1"/>
      <c r="H2719" s="161"/>
      <c r="I2719" s="37"/>
      <c r="J2719" s="135"/>
      <c r="K2719" s="112"/>
      <c r="L2719" s="37"/>
      <c r="M2719" s="37"/>
      <c r="N2719" s="37"/>
      <c r="O2719" s="130"/>
      <c r="P2719" s="132"/>
      <c r="Q2719" s="262"/>
      <c r="R2719" s="92"/>
    </row>
    <row r="2720" spans="3:18" x14ac:dyDescent="0.25">
      <c r="C2720" s="264"/>
      <c r="D2720" s="157"/>
      <c r="E2720" s="44"/>
      <c r="F2720" s="146"/>
      <c r="G2720" s="1"/>
      <c r="H2720" s="161"/>
      <c r="I2720" s="37"/>
      <c r="J2720" s="135"/>
      <c r="K2720" s="112"/>
      <c r="L2720" s="37"/>
      <c r="M2720" s="37"/>
      <c r="N2720" s="37"/>
      <c r="O2720" s="130"/>
      <c r="P2720" s="132"/>
      <c r="Q2720" s="262"/>
      <c r="R2720" s="92"/>
    </row>
    <row r="2721" spans="3:18" x14ac:dyDescent="0.25">
      <c r="C2721" s="264"/>
      <c r="D2721" s="157"/>
      <c r="E2721" s="44"/>
      <c r="F2721" s="146"/>
      <c r="G2721" s="1"/>
      <c r="H2721" s="161"/>
      <c r="I2721" s="37"/>
      <c r="J2721" s="135"/>
      <c r="K2721" s="112"/>
      <c r="L2721" s="37"/>
      <c r="M2721" s="37"/>
      <c r="N2721" s="37"/>
      <c r="O2721" s="130"/>
      <c r="P2721" s="132"/>
      <c r="Q2721" s="262"/>
      <c r="R2721" s="92"/>
    </row>
    <row r="2722" spans="3:18" x14ac:dyDescent="0.25">
      <c r="C2722" s="264"/>
      <c r="D2722" s="157"/>
      <c r="E2722" s="44"/>
      <c r="F2722" s="146"/>
      <c r="G2722" s="1"/>
      <c r="H2722" s="161"/>
      <c r="I2722" s="37"/>
      <c r="J2722" s="135"/>
      <c r="K2722" s="112"/>
      <c r="L2722" s="37"/>
      <c r="M2722" s="37"/>
      <c r="N2722" s="37"/>
      <c r="O2722" s="130"/>
      <c r="P2722" s="132"/>
      <c r="Q2722" s="262"/>
      <c r="R2722" s="92"/>
    </row>
    <row r="2723" spans="3:18" x14ac:dyDescent="0.25">
      <c r="C2723" s="264"/>
      <c r="D2723" s="157"/>
      <c r="E2723" s="44"/>
      <c r="F2723" s="146"/>
      <c r="G2723" s="1"/>
      <c r="H2723" s="161"/>
      <c r="I2723" s="37"/>
      <c r="J2723" s="135"/>
      <c r="K2723" s="112"/>
      <c r="L2723" s="37"/>
      <c r="M2723" s="37"/>
      <c r="N2723" s="37"/>
      <c r="O2723" s="130"/>
      <c r="P2723" s="132"/>
      <c r="Q2723" s="262"/>
      <c r="R2723" s="92"/>
    </row>
    <row r="2724" spans="3:18" x14ac:dyDescent="0.25">
      <c r="C2724" s="264"/>
      <c r="D2724" s="157"/>
      <c r="E2724" s="44"/>
      <c r="F2724" s="146"/>
      <c r="G2724" s="1"/>
      <c r="H2724" s="161"/>
      <c r="I2724" s="37"/>
      <c r="J2724" s="135"/>
      <c r="K2724" s="112"/>
      <c r="L2724" s="37"/>
      <c r="M2724" s="37"/>
      <c r="N2724" s="37"/>
      <c r="O2724" s="130"/>
      <c r="P2724" s="132"/>
      <c r="Q2724" s="262"/>
      <c r="R2724" s="92"/>
    </row>
    <row r="2725" spans="3:18" x14ac:dyDescent="0.25">
      <c r="C2725" s="264"/>
      <c r="D2725" s="157"/>
      <c r="E2725" s="44"/>
      <c r="F2725" s="146"/>
      <c r="G2725" s="1"/>
      <c r="H2725" s="161"/>
      <c r="I2725" s="37"/>
      <c r="J2725" s="135"/>
      <c r="K2725" s="112"/>
      <c r="L2725" s="37"/>
      <c r="M2725" s="37"/>
      <c r="N2725" s="37"/>
      <c r="O2725" s="130"/>
      <c r="P2725" s="132"/>
      <c r="Q2725" s="262"/>
      <c r="R2725" s="92"/>
    </row>
    <row r="2726" spans="3:18" x14ac:dyDescent="0.25">
      <c r="C2726" s="264"/>
      <c r="D2726" s="157"/>
      <c r="E2726" s="44"/>
      <c r="F2726" s="146"/>
      <c r="G2726" s="1"/>
      <c r="H2726" s="161"/>
      <c r="I2726" s="37"/>
      <c r="J2726" s="135"/>
      <c r="K2726" s="112"/>
      <c r="L2726" s="37"/>
      <c r="M2726" s="37"/>
      <c r="N2726" s="37"/>
      <c r="O2726" s="130"/>
      <c r="P2726" s="132"/>
      <c r="Q2726" s="262"/>
      <c r="R2726" s="92"/>
    </row>
    <row r="2727" spans="3:18" x14ac:dyDescent="0.25">
      <c r="C2727" s="264"/>
      <c r="D2727" s="157"/>
      <c r="E2727" s="44"/>
      <c r="F2727" s="146"/>
      <c r="G2727" s="1"/>
      <c r="H2727" s="161"/>
      <c r="I2727" s="37"/>
      <c r="J2727" s="135"/>
      <c r="K2727" s="112"/>
      <c r="L2727" s="37"/>
      <c r="M2727" s="37"/>
      <c r="N2727" s="37"/>
      <c r="O2727" s="130"/>
      <c r="P2727" s="132"/>
      <c r="Q2727" s="262"/>
      <c r="R2727" s="92"/>
    </row>
    <row r="2728" spans="3:18" x14ac:dyDescent="0.25">
      <c r="C2728" s="264"/>
      <c r="D2728" s="157"/>
      <c r="E2728" s="44"/>
      <c r="F2728" s="146"/>
      <c r="G2728" s="1"/>
      <c r="H2728" s="161"/>
      <c r="I2728" s="37"/>
      <c r="J2728" s="135"/>
      <c r="K2728" s="112"/>
      <c r="L2728" s="37"/>
      <c r="M2728" s="37"/>
      <c r="N2728" s="37"/>
      <c r="O2728" s="130"/>
      <c r="P2728" s="132"/>
      <c r="Q2728" s="262"/>
      <c r="R2728" s="92"/>
    </row>
    <row r="2729" spans="3:18" x14ac:dyDescent="0.25">
      <c r="C2729" s="264"/>
      <c r="D2729" s="157"/>
      <c r="E2729" s="44"/>
      <c r="F2729" s="146"/>
      <c r="G2729" s="1"/>
      <c r="H2729" s="161"/>
      <c r="I2729" s="37"/>
      <c r="J2729" s="135"/>
      <c r="K2729" s="112"/>
      <c r="L2729" s="37"/>
      <c r="M2729" s="37"/>
      <c r="N2729" s="37"/>
      <c r="O2729" s="130"/>
      <c r="P2729" s="132"/>
      <c r="Q2729" s="262"/>
      <c r="R2729" s="92"/>
    </row>
    <row r="2730" spans="3:18" x14ac:dyDescent="0.25">
      <c r="C2730" s="264"/>
      <c r="D2730" s="157"/>
      <c r="E2730" s="44"/>
      <c r="F2730" s="146"/>
      <c r="G2730" s="1"/>
      <c r="H2730" s="161"/>
      <c r="I2730" s="37"/>
      <c r="J2730" s="135"/>
      <c r="K2730" s="112"/>
      <c r="L2730" s="37"/>
      <c r="M2730" s="37"/>
      <c r="N2730" s="37"/>
      <c r="O2730" s="130"/>
      <c r="P2730" s="132"/>
      <c r="Q2730" s="262"/>
      <c r="R2730" s="92"/>
    </row>
    <row r="2731" spans="3:18" x14ac:dyDescent="0.25">
      <c r="C2731" s="264"/>
      <c r="D2731" s="157"/>
      <c r="E2731" s="44"/>
      <c r="F2731" s="146"/>
      <c r="G2731" s="1"/>
      <c r="H2731" s="161"/>
      <c r="I2731" s="37"/>
      <c r="J2731" s="135"/>
      <c r="K2731" s="112"/>
      <c r="L2731" s="37"/>
      <c r="M2731" s="37"/>
      <c r="N2731" s="37"/>
      <c r="O2731" s="130"/>
      <c r="P2731" s="132"/>
      <c r="Q2731" s="262"/>
      <c r="R2731" s="92"/>
    </row>
    <row r="2732" spans="3:18" x14ac:dyDescent="0.25">
      <c r="C2732" s="264"/>
      <c r="D2732" s="157"/>
      <c r="E2732" s="44"/>
      <c r="F2732" s="146"/>
      <c r="G2732" s="1"/>
      <c r="H2732" s="161"/>
      <c r="I2732" s="37"/>
      <c r="J2732" s="135"/>
      <c r="K2732" s="112"/>
      <c r="L2732" s="37"/>
      <c r="M2732" s="37"/>
      <c r="N2732" s="37"/>
      <c r="O2732" s="130"/>
      <c r="P2732" s="132"/>
      <c r="Q2732" s="262"/>
      <c r="R2732" s="92"/>
    </row>
    <row r="2733" spans="3:18" x14ac:dyDescent="0.25">
      <c r="C2733" s="264"/>
      <c r="D2733" s="157"/>
      <c r="E2733" s="44"/>
      <c r="F2733" s="146"/>
      <c r="G2733" s="1"/>
      <c r="H2733" s="161"/>
      <c r="I2733" s="37"/>
      <c r="J2733" s="135"/>
      <c r="K2733" s="112"/>
      <c r="L2733" s="37"/>
      <c r="M2733" s="37"/>
      <c r="N2733" s="37"/>
      <c r="O2733" s="130"/>
      <c r="P2733" s="132"/>
      <c r="Q2733" s="262"/>
      <c r="R2733" s="92"/>
    </row>
    <row r="2734" spans="3:18" x14ac:dyDescent="0.25">
      <c r="C2734" s="264"/>
      <c r="D2734" s="157"/>
      <c r="E2734" s="44"/>
      <c r="F2734" s="146"/>
      <c r="G2734" s="1"/>
      <c r="H2734" s="161"/>
      <c r="I2734" s="37"/>
      <c r="J2734" s="135"/>
      <c r="K2734" s="112"/>
      <c r="L2734" s="37"/>
      <c r="M2734" s="37"/>
      <c r="N2734" s="37"/>
      <c r="O2734" s="130"/>
      <c r="P2734" s="132"/>
      <c r="Q2734" s="262"/>
      <c r="R2734" s="92"/>
    </row>
    <row r="2735" spans="3:18" x14ac:dyDescent="0.25">
      <c r="C2735" s="264"/>
      <c r="D2735" s="157"/>
      <c r="E2735" s="44"/>
      <c r="F2735" s="146"/>
      <c r="G2735" s="1"/>
      <c r="H2735" s="161"/>
      <c r="I2735" s="37"/>
      <c r="J2735" s="135"/>
      <c r="K2735" s="112"/>
      <c r="L2735" s="37"/>
      <c r="M2735" s="37"/>
      <c r="N2735" s="37"/>
      <c r="O2735" s="130"/>
      <c r="P2735" s="132"/>
      <c r="Q2735" s="262"/>
      <c r="R2735" s="92"/>
    </row>
    <row r="2736" spans="3:18" x14ac:dyDescent="0.25">
      <c r="C2736" s="264"/>
      <c r="D2736" s="157"/>
      <c r="E2736" s="44"/>
      <c r="F2736" s="146"/>
      <c r="G2736" s="1"/>
      <c r="H2736" s="161"/>
      <c r="I2736" s="37"/>
      <c r="J2736" s="135"/>
      <c r="K2736" s="112"/>
      <c r="L2736" s="37"/>
      <c r="M2736" s="37"/>
      <c r="N2736" s="37"/>
      <c r="O2736" s="130"/>
      <c r="P2736" s="132"/>
      <c r="Q2736" s="262"/>
      <c r="R2736" s="92"/>
    </row>
    <row r="2737" spans="3:18" x14ac:dyDescent="0.25">
      <c r="C2737" s="264"/>
      <c r="D2737" s="157"/>
      <c r="E2737" s="44"/>
      <c r="F2737" s="146"/>
      <c r="G2737" s="1"/>
      <c r="H2737" s="161"/>
      <c r="I2737" s="37"/>
      <c r="J2737" s="135"/>
      <c r="K2737" s="112"/>
      <c r="L2737" s="37"/>
      <c r="M2737" s="37"/>
      <c r="N2737" s="37"/>
      <c r="O2737" s="130"/>
      <c r="P2737" s="132"/>
      <c r="Q2737" s="262"/>
      <c r="R2737" s="92"/>
    </row>
    <row r="2738" spans="3:18" x14ac:dyDescent="0.25">
      <c r="C2738" s="264"/>
      <c r="D2738" s="157"/>
      <c r="E2738" s="44"/>
      <c r="F2738" s="146"/>
      <c r="G2738" s="1"/>
      <c r="H2738" s="161"/>
      <c r="I2738" s="37"/>
      <c r="J2738" s="135"/>
      <c r="K2738" s="112"/>
      <c r="L2738" s="37"/>
      <c r="M2738" s="37"/>
      <c r="N2738" s="37"/>
      <c r="O2738" s="130"/>
      <c r="P2738" s="132"/>
      <c r="Q2738" s="262"/>
      <c r="R2738" s="92"/>
    </row>
    <row r="2739" spans="3:18" x14ac:dyDescent="0.25">
      <c r="C2739" s="264"/>
      <c r="D2739" s="157"/>
      <c r="E2739" s="44"/>
      <c r="F2739" s="146"/>
      <c r="G2739" s="1"/>
      <c r="H2739" s="161"/>
      <c r="I2739" s="37"/>
      <c r="J2739" s="135"/>
      <c r="K2739" s="112"/>
      <c r="L2739" s="37"/>
      <c r="M2739" s="37"/>
      <c r="N2739" s="37"/>
      <c r="O2739" s="130"/>
      <c r="P2739" s="132"/>
      <c r="Q2739" s="262"/>
      <c r="R2739" s="92"/>
    </row>
    <row r="2740" spans="3:18" x14ac:dyDescent="0.25">
      <c r="C2740" s="264"/>
      <c r="D2740" s="157"/>
      <c r="E2740" s="44"/>
      <c r="F2740" s="146"/>
      <c r="G2740" s="1"/>
      <c r="H2740" s="161"/>
      <c r="I2740" s="37"/>
      <c r="J2740" s="135"/>
      <c r="K2740" s="112"/>
      <c r="L2740" s="37"/>
      <c r="M2740" s="37"/>
      <c r="N2740" s="37"/>
      <c r="O2740" s="130"/>
      <c r="P2740" s="132"/>
      <c r="Q2740" s="262"/>
      <c r="R2740" s="92"/>
    </row>
    <row r="2741" spans="3:18" x14ac:dyDescent="0.25">
      <c r="C2741" s="264"/>
      <c r="D2741" s="157"/>
      <c r="E2741" s="44"/>
      <c r="F2741" s="146"/>
      <c r="G2741" s="1"/>
      <c r="H2741" s="161"/>
      <c r="I2741" s="37"/>
      <c r="J2741" s="135"/>
      <c r="K2741" s="112"/>
      <c r="L2741" s="37"/>
      <c r="M2741" s="37"/>
      <c r="N2741" s="37"/>
      <c r="O2741" s="130"/>
      <c r="P2741" s="132"/>
      <c r="Q2741" s="262"/>
      <c r="R2741" s="92"/>
    </row>
    <row r="2742" spans="3:18" x14ac:dyDescent="0.25">
      <c r="C2742" s="264"/>
      <c r="D2742" s="157"/>
      <c r="E2742" s="44"/>
      <c r="F2742" s="146"/>
      <c r="G2742" s="1"/>
      <c r="H2742" s="161"/>
      <c r="I2742" s="37"/>
      <c r="J2742" s="135"/>
      <c r="K2742" s="112"/>
      <c r="L2742" s="37"/>
      <c r="M2742" s="37"/>
      <c r="N2742" s="37"/>
      <c r="O2742" s="130"/>
      <c r="P2742" s="132"/>
      <c r="Q2742" s="262"/>
      <c r="R2742" s="92"/>
    </row>
    <row r="2743" spans="3:18" x14ac:dyDescent="0.25">
      <c r="C2743" s="264"/>
      <c r="D2743" s="157"/>
      <c r="E2743" s="44"/>
      <c r="F2743" s="146"/>
      <c r="G2743" s="1"/>
      <c r="H2743" s="161"/>
      <c r="I2743" s="37"/>
      <c r="J2743" s="135"/>
      <c r="K2743" s="112"/>
      <c r="L2743" s="37"/>
      <c r="M2743" s="37"/>
      <c r="N2743" s="37"/>
      <c r="O2743" s="130"/>
      <c r="P2743" s="132"/>
      <c r="Q2743" s="262"/>
      <c r="R2743" s="92"/>
    </row>
    <row r="2744" spans="3:18" x14ac:dyDescent="0.25">
      <c r="C2744" s="264"/>
      <c r="D2744" s="157"/>
      <c r="E2744" s="44"/>
      <c r="F2744" s="146"/>
      <c r="G2744" s="1"/>
      <c r="H2744" s="161"/>
      <c r="I2744" s="37"/>
      <c r="J2744" s="135"/>
      <c r="K2744" s="112"/>
      <c r="L2744" s="37"/>
      <c r="M2744" s="37"/>
      <c r="N2744" s="37"/>
      <c r="O2744" s="130"/>
      <c r="P2744" s="132"/>
      <c r="Q2744" s="262"/>
      <c r="R2744" s="92"/>
    </row>
    <row r="2745" spans="3:18" x14ac:dyDescent="0.25">
      <c r="C2745" s="264"/>
      <c r="D2745" s="157"/>
      <c r="E2745" s="44"/>
      <c r="F2745" s="146"/>
      <c r="G2745" s="1"/>
      <c r="H2745" s="161"/>
      <c r="I2745" s="37"/>
      <c r="J2745" s="135"/>
      <c r="K2745" s="112"/>
      <c r="L2745" s="37"/>
      <c r="M2745" s="37"/>
      <c r="N2745" s="37"/>
      <c r="O2745" s="130"/>
      <c r="P2745" s="132"/>
      <c r="Q2745" s="262"/>
      <c r="R2745" s="92"/>
    </row>
    <row r="2746" spans="3:18" x14ac:dyDescent="0.25">
      <c r="C2746" s="264"/>
      <c r="D2746" s="157"/>
      <c r="E2746" s="44"/>
      <c r="F2746" s="146"/>
      <c r="G2746" s="1"/>
      <c r="H2746" s="161"/>
      <c r="I2746" s="37"/>
      <c r="J2746" s="135"/>
      <c r="K2746" s="112"/>
      <c r="L2746" s="37"/>
      <c r="M2746" s="37"/>
      <c r="N2746" s="37"/>
      <c r="O2746" s="130"/>
      <c r="P2746" s="132"/>
      <c r="Q2746" s="262"/>
      <c r="R2746" s="92"/>
    </row>
    <row r="2747" spans="3:18" x14ac:dyDescent="0.25">
      <c r="C2747" s="264"/>
      <c r="D2747" s="157"/>
      <c r="E2747" s="44"/>
      <c r="F2747" s="146"/>
      <c r="G2747" s="1"/>
      <c r="H2747" s="161"/>
      <c r="I2747" s="37"/>
      <c r="J2747" s="135"/>
      <c r="K2747" s="112"/>
      <c r="L2747" s="37"/>
      <c r="M2747" s="37"/>
      <c r="N2747" s="37"/>
      <c r="O2747" s="130"/>
      <c r="P2747" s="132"/>
      <c r="Q2747" s="262"/>
      <c r="R2747" s="92"/>
    </row>
    <row r="2748" spans="3:18" x14ac:dyDescent="0.25">
      <c r="C2748" s="264"/>
      <c r="D2748" s="157"/>
      <c r="E2748" s="44"/>
      <c r="F2748" s="146"/>
      <c r="G2748" s="1"/>
      <c r="H2748" s="161"/>
      <c r="I2748" s="37"/>
      <c r="J2748" s="135"/>
      <c r="K2748" s="112"/>
      <c r="L2748" s="37"/>
      <c r="M2748" s="37"/>
      <c r="N2748" s="37"/>
      <c r="O2748" s="130"/>
      <c r="P2748" s="132"/>
      <c r="Q2748" s="262"/>
      <c r="R2748" s="92"/>
    </row>
    <row r="2749" spans="3:18" x14ac:dyDescent="0.25">
      <c r="C2749" s="264"/>
      <c r="D2749" s="157"/>
      <c r="E2749" s="44"/>
      <c r="F2749" s="146"/>
      <c r="G2749" s="1"/>
      <c r="H2749" s="161"/>
      <c r="I2749" s="37"/>
      <c r="J2749" s="135"/>
      <c r="K2749" s="112"/>
      <c r="L2749" s="37"/>
      <c r="M2749" s="37"/>
      <c r="N2749" s="37"/>
      <c r="O2749" s="130"/>
      <c r="P2749" s="132"/>
      <c r="Q2749" s="262"/>
      <c r="R2749" s="92"/>
    </row>
    <row r="2750" spans="3:18" x14ac:dyDescent="0.25">
      <c r="C2750" s="264"/>
      <c r="D2750" s="157"/>
      <c r="E2750" s="44"/>
      <c r="F2750" s="146"/>
      <c r="G2750" s="1"/>
      <c r="H2750" s="161"/>
      <c r="I2750" s="37"/>
      <c r="J2750" s="135"/>
      <c r="K2750" s="112"/>
      <c r="L2750" s="37"/>
      <c r="M2750" s="37"/>
      <c r="N2750" s="37"/>
      <c r="O2750" s="130"/>
      <c r="P2750" s="132"/>
      <c r="Q2750" s="262"/>
      <c r="R2750" s="92"/>
    </row>
    <row r="2751" spans="3:18" x14ac:dyDescent="0.25">
      <c r="C2751" s="264"/>
      <c r="D2751" s="157"/>
      <c r="E2751" s="44"/>
      <c r="F2751" s="146"/>
      <c r="G2751" s="1"/>
      <c r="H2751" s="161"/>
      <c r="I2751" s="37"/>
      <c r="J2751" s="135"/>
      <c r="K2751" s="112"/>
      <c r="L2751" s="37"/>
      <c r="M2751" s="37"/>
      <c r="N2751" s="37"/>
      <c r="O2751" s="130"/>
      <c r="P2751" s="132"/>
      <c r="Q2751" s="262"/>
      <c r="R2751" s="92"/>
    </row>
    <row r="2752" spans="3:18" x14ac:dyDescent="0.25">
      <c r="C2752" s="264"/>
      <c r="D2752" s="157"/>
      <c r="E2752" s="44"/>
      <c r="F2752" s="146"/>
      <c r="G2752" s="1"/>
      <c r="H2752" s="161"/>
      <c r="I2752" s="37"/>
      <c r="J2752" s="135"/>
      <c r="K2752" s="112"/>
      <c r="L2752" s="37"/>
      <c r="M2752" s="37"/>
      <c r="N2752" s="37"/>
      <c r="O2752" s="130"/>
      <c r="P2752" s="132"/>
      <c r="Q2752" s="262"/>
      <c r="R2752" s="92"/>
    </row>
    <row r="2753" spans="3:18" x14ac:dyDescent="0.25">
      <c r="C2753" s="264"/>
      <c r="D2753" s="157"/>
      <c r="E2753" s="44"/>
      <c r="F2753" s="146"/>
      <c r="G2753" s="1"/>
      <c r="H2753" s="161"/>
      <c r="I2753" s="37"/>
      <c r="J2753" s="135"/>
      <c r="K2753" s="112"/>
      <c r="L2753" s="37"/>
      <c r="M2753" s="37"/>
      <c r="N2753" s="37"/>
      <c r="O2753" s="130"/>
      <c r="P2753" s="132"/>
      <c r="Q2753" s="262"/>
      <c r="R2753" s="92"/>
    </row>
    <row r="2754" spans="3:18" x14ac:dyDescent="0.25">
      <c r="C2754" s="264"/>
      <c r="D2754" s="157"/>
      <c r="E2754" s="44"/>
      <c r="F2754" s="146"/>
      <c r="G2754" s="1"/>
      <c r="H2754" s="161"/>
      <c r="I2754" s="37"/>
      <c r="J2754" s="135"/>
      <c r="K2754" s="112"/>
      <c r="L2754" s="37"/>
      <c r="M2754" s="37"/>
      <c r="N2754" s="37"/>
      <c r="O2754" s="130"/>
      <c r="P2754" s="132"/>
      <c r="Q2754" s="262"/>
      <c r="R2754" s="92"/>
    </row>
    <row r="2755" spans="3:18" x14ac:dyDescent="0.25">
      <c r="C2755" s="264"/>
      <c r="D2755" s="157"/>
      <c r="E2755" s="44"/>
      <c r="F2755" s="146"/>
      <c r="G2755" s="1"/>
      <c r="H2755" s="161"/>
      <c r="I2755" s="37"/>
      <c r="J2755" s="135"/>
      <c r="K2755" s="112"/>
      <c r="L2755" s="37"/>
      <c r="M2755" s="37"/>
      <c r="N2755" s="37"/>
      <c r="O2755" s="130"/>
      <c r="P2755" s="132"/>
      <c r="Q2755" s="262"/>
      <c r="R2755" s="92"/>
    </row>
    <row r="2756" spans="3:18" x14ac:dyDescent="0.25">
      <c r="C2756" s="264"/>
      <c r="D2756" s="157"/>
      <c r="E2756" s="44"/>
      <c r="F2756" s="146"/>
      <c r="G2756" s="1"/>
      <c r="H2756" s="161"/>
      <c r="I2756" s="37"/>
      <c r="J2756" s="135"/>
      <c r="K2756" s="112"/>
      <c r="L2756" s="37"/>
      <c r="M2756" s="37"/>
      <c r="N2756" s="37"/>
      <c r="O2756" s="130"/>
      <c r="P2756" s="132"/>
      <c r="Q2756" s="262"/>
      <c r="R2756" s="92"/>
    </row>
    <row r="2757" spans="3:18" x14ac:dyDescent="0.25">
      <c r="C2757" s="264"/>
      <c r="D2757" s="157"/>
      <c r="E2757" s="44"/>
      <c r="F2757" s="146"/>
      <c r="G2757" s="1"/>
      <c r="H2757" s="161"/>
      <c r="I2757" s="37"/>
      <c r="J2757" s="135"/>
      <c r="K2757" s="112"/>
      <c r="L2757" s="37"/>
      <c r="M2757" s="37"/>
      <c r="N2757" s="37"/>
      <c r="O2757" s="130"/>
      <c r="P2757" s="132"/>
      <c r="Q2757" s="262"/>
      <c r="R2757" s="92"/>
    </row>
    <row r="2758" spans="3:18" x14ac:dyDescent="0.25">
      <c r="C2758" s="264"/>
      <c r="D2758" s="157"/>
      <c r="E2758" s="44"/>
      <c r="F2758" s="146"/>
      <c r="G2758" s="1"/>
      <c r="H2758" s="161"/>
      <c r="I2758" s="37"/>
      <c r="J2758" s="135"/>
      <c r="K2758" s="112"/>
      <c r="L2758" s="37"/>
      <c r="M2758" s="37"/>
      <c r="N2758" s="37"/>
      <c r="O2758" s="130"/>
      <c r="P2758" s="132"/>
      <c r="Q2758" s="262"/>
      <c r="R2758" s="92"/>
    </row>
    <row r="2759" spans="3:18" x14ac:dyDescent="0.25">
      <c r="C2759" s="264"/>
      <c r="D2759" s="157"/>
      <c r="E2759" s="44"/>
      <c r="F2759" s="146"/>
      <c r="G2759" s="1"/>
      <c r="H2759" s="161"/>
      <c r="I2759" s="37"/>
      <c r="J2759" s="135"/>
      <c r="K2759" s="112"/>
      <c r="L2759" s="37"/>
      <c r="M2759" s="37"/>
      <c r="N2759" s="37"/>
      <c r="O2759" s="130"/>
      <c r="P2759" s="132"/>
      <c r="Q2759" s="262"/>
      <c r="R2759" s="92"/>
    </row>
    <row r="2760" spans="3:18" x14ac:dyDescent="0.25">
      <c r="C2760" s="264"/>
      <c r="D2760" s="157"/>
      <c r="E2760" s="44"/>
      <c r="F2760" s="146"/>
      <c r="G2760" s="1"/>
      <c r="H2760" s="161"/>
      <c r="I2760" s="37"/>
      <c r="J2760" s="135"/>
      <c r="K2760" s="112"/>
      <c r="L2760" s="37"/>
      <c r="M2760" s="37"/>
      <c r="N2760" s="37"/>
      <c r="O2760" s="130"/>
      <c r="P2760" s="132"/>
      <c r="Q2760" s="262"/>
      <c r="R2760" s="92"/>
    </row>
    <row r="2761" spans="3:18" x14ac:dyDescent="0.25">
      <c r="C2761" s="264"/>
      <c r="D2761" s="157"/>
      <c r="E2761" s="44"/>
      <c r="F2761" s="146"/>
      <c r="G2761" s="1"/>
      <c r="H2761" s="161"/>
      <c r="I2761" s="37"/>
      <c r="J2761" s="135"/>
      <c r="K2761" s="112"/>
      <c r="L2761" s="37"/>
      <c r="M2761" s="37"/>
      <c r="N2761" s="37"/>
      <c r="O2761" s="130"/>
      <c r="P2761" s="132"/>
      <c r="Q2761" s="262"/>
      <c r="R2761" s="92"/>
    </row>
    <row r="2762" spans="3:18" x14ac:dyDescent="0.25">
      <c r="C2762" s="264"/>
      <c r="D2762" s="157"/>
      <c r="E2762" s="44"/>
      <c r="F2762" s="146"/>
      <c r="G2762" s="1"/>
      <c r="H2762" s="161"/>
      <c r="I2762" s="37"/>
      <c r="J2762" s="135"/>
      <c r="K2762" s="112"/>
      <c r="L2762" s="37"/>
      <c r="M2762" s="37"/>
      <c r="N2762" s="37"/>
      <c r="O2762" s="130"/>
      <c r="P2762" s="132"/>
      <c r="Q2762" s="262"/>
      <c r="R2762" s="92"/>
    </row>
    <row r="2763" spans="3:18" x14ac:dyDescent="0.25">
      <c r="C2763" s="264"/>
      <c r="D2763" s="157"/>
      <c r="E2763" s="44"/>
      <c r="F2763" s="146"/>
      <c r="G2763" s="1"/>
      <c r="H2763" s="161"/>
      <c r="I2763" s="37"/>
      <c r="J2763" s="135"/>
      <c r="K2763" s="112"/>
      <c r="L2763" s="37"/>
      <c r="M2763" s="37"/>
      <c r="N2763" s="37"/>
      <c r="O2763" s="130"/>
      <c r="P2763" s="132"/>
      <c r="Q2763" s="262"/>
      <c r="R2763" s="92"/>
    </row>
    <row r="2764" spans="3:18" x14ac:dyDescent="0.25">
      <c r="C2764" s="264"/>
      <c r="D2764" s="157"/>
      <c r="E2764" s="44"/>
      <c r="F2764" s="146"/>
      <c r="G2764" s="1"/>
      <c r="H2764" s="161"/>
      <c r="I2764" s="37"/>
      <c r="J2764" s="135"/>
      <c r="K2764" s="112"/>
      <c r="L2764" s="37"/>
      <c r="M2764" s="37"/>
      <c r="N2764" s="37"/>
      <c r="O2764" s="130"/>
      <c r="P2764" s="132"/>
      <c r="Q2764" s="262"/>
      <c r="R2764" s="92"/>
    </row>
    <row r="2765" spans="3:18" x14ac:dyDescent="0.25">
      <c r="C2765" s="264"/>
      <c r="D2765" s="157"/>
      <c r="E2765" s="44"/>
      <c r="F2765" s="146"/>
      <c r="G2765" s="1"/>
      <c r="H2765" s="161"/>
      <c r="I2765" s="37"/>
      <c r="J2765" s="135"/>
      <c r="K2765" s="112"/>
      <c r="L2765" s="37"/>
      <c r="M2765" s="37"/>
      <c r="N2765" s="37"/>
      <c r="O2765" s="130"/>
      <c r="P2765" s="132"/>
      <c r="Q2765" s="262"/>
      <c r="R2765" s="92"/>
    </row>
    <row r="2766" spans="3:18" x14ac:dyDescent="0.25">
      <c r="C2766" s="264"/>
      <c r="D2766" s="157"/>
      <c r="E2766" s="44"/>
      <c r="F2766" s="146"/>
      <c r="G2766" s="1"/>
      <c r="H2766" s="161"/>
      <c r="I2766" s="37"/>
      <c r="J2766" s="135"/>
      <c r="K2766" s="112"/>
      <c r="L2766" s="37"/>
      <c r="M2766" s="37"/>
      <c r="N2766" s="37"/>
      <c r="O2766" s="130"/>
      <c r="P2766" s="132"/>
      <c r="Q2766" s="262"/>
      <c r="R2766" s="92"/>
    </row>
    <row r="2767" spans="3:18" x14ac:dyDescent="0.25">
      <c r="C2767" s="264"/>
      <c r="D2767" s="157"/>
      <c r="E2767" s="44"/>
      <c r="F2767" s="146"/>
      <c r="G2767" s="1"/>
      <c r="H2767" s="161"/>
      <c r="I2767" s="37"/>
      <c r="J2767" s="135"/>
      <c r="K2767" s="112"/>
      <c r="L2767" s="37"/>
      <c r="M2767" s="37"/>
      <c r="N2767" s="37"/>
      <c r="O2767" s="130"/>
      <c r="P2767" s="132"/>
      <c r="Q2767" s="262"/>
      <c r="R2767" s="92"/>
    </row>
    <row r="2768" spans="3:18" x14ac:dyDescent="0.25">
      <c r="C2768" s="264"/>
      <c r="D2768" s="157"/>
      <c r="E2768" s="44"/>
      <c r="F2768" s="146"/>
      <c r="G2768" s="1"/>
      <c r="H2768" s="161"/>
      <c r="I2768" s="37"/>
      <c r="J2768" s="135"/>
      <c r="K2768" s="112"/>
      <c r="L2768" s="37"/>
      <c r="M2768" s="37"/>
      <c r="N2768" s="37"/>
      <c r="O2768" s="130"/>
      <c r="P2768" s="132"/>
      <c r="Q2768" s="262"/>
      <c r="R2768" s="92"/>
    </row>
    <row r="2769" spans="3:18" x14ac:dyDescent="0.25">
      <c r="C2769" s="264"/>
      <c r="D2769" s="157"/>
      <c r="E2769" s="44"/>
      <c r="F2769" s="146"/>
      <c r="G2769" s="1"/>
      <c r="H2769" s="161"/>
      <c r="I2769" s="37"/>
      <c r="J2769" s="135"/>
      <c r="K2769" s="112"/>
      <c r="L2769" s="37"/>
      <c r="M2769" s="37"/>
      <c r="N2769" s="37"/>
      <c r="O2769" s="130"/>
      <c r="P2769" s="132"/>
      <c r="Q2769" s="262"/>
      <c r="R2769" s="92"/>
    </row>
    <row r="2770" spans="3:18" x14ac:dyDescent="0.25">
      <c r="C2770" s="264"/>
      <c r="D2770" s="157"/>
      <c r="E2770" s="44"/>
      <c r="F2770" s="146"/>
      <c r="G2770" s="1"/>
      <c r="H2770" s="161"/>
      <c r="I2770" s="37"/>
      <c r="J2770" s="135"/>
      <c r="K2770" s="112"/>
      <c r="L2770" s="37"/>
      <c r="M2770" s="37"/>
      <c r="N2770" s="37"/>
      <c r="O2770" s="130"/>
      <c r="P2770" s="132"/>
      <c r="Q2770" s="262"/>
      <c r="R2770" s="92"/>
    </row>
    <row r="2771" spans="3:18" x14ac:dyDescent="0.25">
      <c r="C2771" s="264"/>
      <c r="D2771" s="157"/>
      <c r="E2771" s="44"/>
      <c r="F2771" s="146"/>
      <c r="G2771" s="1"/>
      <c r="H2771" s="161"/>
      <c r="I2771" s="37"/>
      <c r="J2771" s="135"/>
      <c r="K2771" s="112"/>
      <c r="L2771" s="37"/>
      <c r="M2771" s="37"/>
      <c r="N2771" s="37"/>
      <c r="O2771" s="130"/>
      <c r="P2771" s="132"/>
      <c r="Q2771" s="262"/>
      <c r="R2771" s="92"/>
    </row>
    <row r="2772" spans="3:18" x14ac:dyDescent="0.25">
      <c r="C2772" s="264"/>
      <c r="D2772" s="157"/>
      <c r="E2772" s="44"/>
      <c r="F2772" s="146"/>
      <c r="G2772" s="1"/>
      <c r="H2772" s="161"/>
      <c r="I2772" s="37"/>
      <c r="J2772" s="135"/>
      <c r="K2772" s="112"/>
      <c r="L2772" s="37"/>
      <c r="M2772" s="37"/>
      <c r="N2772" s="37"/>
      <c r="O2772" s="130"/>
      <c r="P2772" s="132"/>
      <c r="Q2772" s="262"/>
      <c r="R2772" s="92"/>
    </row>
    <row r="2773" spans="3:18" x14ac:dyDescent="0.25">
      <c r="C2773" s="264"/>
      <c r="D2773" s="157"/>
      <c r="E2773" s="44"/>
      <c r="F2773" s="146"/>
      <c r="G2773" s="1"/>
      <c r="H2773" s="161"/>
      <c r="I2773" s="37"/>
      <c r="J2773" s="135"/>
      <c r="K2773" s="112"/>
      <c r="L2773" s="37"/>
      <c r="M2773" s="37"/>
      <c r="N2773" s="37"/>
      <c r="O2773" s="130"/>
      <c r="P2773" s="132"/>
      <c r="Q2773" s="262"/>
      <c r="R2773" s="92"/>
    </row>
    <row r="2774" spans="3:18" x14ac:dyDescent="0.25">
      <c r="C2774" s="264"/>
      <c r="D2774" s="157"/>
      <c r="E2774" s="44"/>
      <c r="F2774" s="146"/>
      <c r="G2774" s="1"/>
      <c r="H2774" s="161"/>
      <c r="I2774" s="37"/>
      <c r="J2774" s="135"/>
      <c r="K2774" s="112"/>
      <c r="L2774" s="37"/>
      <c r="M2774" s="37"/>
      <c r="N2774" s="37"/>
      <c r="O2774" s="130"/>
      <c r="P2774" s="132"/>
      <c r="Q2774" s="262"/>
      <c r="R2774" s="92"/>
    </row>
    <row r="2775" spans="3:18" x14ac:dyDescent="0.25">
      <c r="C2775" s="264"/>
      <c r="D2775" s="157"/>
      <c r="E2775" s="44"/>
      <c r="F2775" s="146"/>
      <c r="G2775" s="1"/>
      <c r="H2775" s="161"/>
      <c r="I2775" s="37"/>
      <c r="J2775" s="135"/>
      <c r="K2775" s="112"/>
      <c r="L2775" s="37"/>
      <c r="M2775" s="37"/>
      <c r="N2775" s="37"/>
      <c r="O2775" s="130"/>
      <c r="P2775" s="132"/>
      <c r="Q2775" s="262"/>
      <c r="R2775" s="92"/>
    </row>
    <row r="2776" spans="3:18" x14ac:dyDescent="0.25">
      <c r="C2776" s="264"/>
      <c r="D2776" s="157"/>
      <c r="E2776" s="44"/>
      <c r="F2776" s="146"/>
      <c r="G2776" s="1"/>
      <c r="H2776" s="161"/>
      <c r="I2776" s="37"/>
      <c r="J2776" s="135"/>
      <c r="K2776" s="112"/>
      <c r="L2776" s="37"/>
      <c r="M2776" s="37"/>
      <c r="N2776" s="37"/>
      <c r="O2776" s="130"/>
      <c r="P2776" s="132"/>
      <c r="Q2776" s="262"/>
      <c r="R2776" s="92"/>
    </row>
    <row r="2777" spans="3:18" x14ac:dyDescent="0.25">
      <c r="C2777" s="264"/>
      <c r="D2777" s="157"/>
      <c r="E2777" s="44"/>
      <c r="F2777" s="146"/>
      <c r="G2777" s="1"/>
      <c r="H2777" s="161"/>
      <c r="I2777" s="37"/>
      <c r="J2777" s="135"/>
      <c r="K2777" s="112"/>
      <c r="L2777" s="37"/>
      <c r="M2777" s="37"/>
      <c r="N2777" s="37"/>
      <c r="O2777" s="130"/>
      <c r="P2777" s="132"/>
      <c r="Q2777" s="262"/>
      <c r="R2777" s="92"/>
    </row>
    <row r="2778" spans="3:18" x14ac:dyDescent="0.25">
      <c r="C2778" s="264"/>
      <c r="D2778" s="157"/>
      <c r="E2778" s="44"/>
      <c r="F2778" s="146"/>
      <c r="G2778" s="1"/>
      <c r="H2778" s="161"/>
      <c r="I2778" s="37"/>
      <c r="J2778" s="135"/>
      <c r="K2778" s="112"/>
      <c r="L2778" s="37"/>
      <c r="M2778" s="37"/>
      <c r="N2778" s="37"/>
      <c r="O2778" s="130"/>
      <c r="P2778" s="132"/>
      <c r="Q2778" s="262"/>
      <c r="R2778" s="92"/>
    </row>
    <row r="2779" spans="3:18" x14ac:dyDescent="0.25">
      <c r="C2779" s="264"/>
      <c r="D2779" s="157"/>
      <c r="E2779" s="44"/>
      <c r="F2779" s="146"/>
      <c r="G2779" s="1"/>
      <c r="H2779" s="161"/>
      <c r="I2779" s="37"/>
      <c r="J2779" s="135"/>
      <c r="K2779" s="112"/>
      <c r="L2779" s="37"/>
      <c r="M2779" s="37"/>
      <c r="N2779" s="37"/>
      <c r="O2779" s="130"/>
      <c r="P2779" s="132"/>
      <c r="Q2779" s="262"/>
      <c r="R2779" s="92"/>
    </row>
    <row r="2780" spans="3:18" x14ac:dyDescent="0.25">
      <c r="C2780" s="264"/>
      <c r="D2780" s="157"/>
      <c r="E2780" s="44"/>
      <c r="F2780" s="146"/>
      <c r="G2780" s="1"/>
      <c r="H2780" s="161"/>
      <c r="I2780" s="37"/>
      <c r="J2780" s="135"/>
      <c r="K2780" s="112"/>
      <c r="L2780" s="37"/>
      <c r="M2780" s="37"/>
      <c r="N2780" s="37"/>
      <c r="O2780" s="130"/>
      <c r="P2780" s="132"/>
      <c r="Q2780" s="262"/>
      <c r="R2780" s="92"/>
    </row>
    <row r="2781" spans="3:18" x14ac:dyDescent="0.25">
      <c r="C2781" s="264"/>
      <c r="D2781" s="157"/>
      <c r="E2781" s="44"/>
      <c r="F2781" s="146"/>
      <c r="G2781" s="1"/>
      <c r="H2781" s="161"/>
      <c r="I2781" s="37"/>
      <c r="J2781" s="135"/>
      <c r="K2781" s="112"/>
      <c r="L2781" s="37"/>
      <c r="M2781" s="37"/>
      <c r="N2781" s="37"/>
      <c r="O2781" s="130"/>
      <c r="P2781" s="132"/>
      <c r="Q2781" s="262"/>
      <c r="R2781" s="92"/>
    </row>
    <row r="2782" spans="3:18" x14ac:dyDescent="0.25">
      <c r="C2782" s="264"/>
      <c r="D2782" s="157"/>
      <c r="E2782" s="44"/>
      <c r="F2782" s="146"/>
      <c r="G2782" s="1"/>
      <c r="H2782" s="161"/>
      <c r="I2782" s="37"/>
      <c r="J2782" s="135"/>
      <c r="K2782" s="112"/>
      <c r="L2782" s="37"/>
      <c r="M2782" s="37"/>
      <c r="N2782" s="37"/>
      <c r="O2782" s="130"/>
      <c r="P2782" s="132"/>
      <c r="Q2782" s="262"/>
      <c r="R2782" s="92"/>
    </row>
    <row r="2783" spans="3:18" x14ac:dyDescent="0.25">
      <c r="C2783" s="264"/>
      <c r="D2783" s="157"/>
      <c r="E2783" s="44"/>
      <c r="F2783" s="146"/>
      <c r="G2783" s="1"/>
      <c r="H2783" s="161"/>
      <c r="I2783" s="37"/>
      <c r="J2783" s="135"/>
      <c r="K2783" s="112"/>
      <c r="L2783" s="37"/>
      <c r="M2783" s="37"/>
      <c r="N2783" s="37"/>
      <c r="O2783" s="130"/>
      <c r="P2783" s="132"/>
      <c r="Q2783" s="262"/>
      <c r="R2783" s="92"/>
    </row>
    <row r="2784" spans="3:18" x14ac:dyDescent="0.25">
      <c r="C2784" s="264"/>
      <c r="D2784" s="157"/>
      <c r="E2784" s="44"/>
      <c r="F2784" s="146"/>
      <c r="G2784" s="1"/>
      <c r="H2784" s="161"/>
      <c r="I2784" s="37"/>
      <c r="J2784" s="135"/>
      <c r="K2784" s="112"/>
      <c r="L2784" s="37"/>
      <c r="M2784" s="37"/>
      <c r="N2784" s="37"/>
      <c r="O2784" s="130"/>
      <c r="P2784" s="132"/>
      <c r="Q2784" s="262"/>
      <c r="R2784" s="92"/>
    </row>
    <row r="2785" spans="3:18" x14ac:dyDescent="0.25">
      <c r="C2785" s="264"/>
      <c r="D2785" s="157"/>
      <c r="E2785" s="44"/>
      <c r="F2785" s="146"/>
      <c r="G2785" s="1"/>
      <c r="H2785" s="161"/>
      <c r="I2785" s="37"/>
      <c r="J2785" s="135"/>
      <c r="K2785" s="112"/>
      <c r="L2785" s="37"/>
      <c r="M2785" s="37"/>
      <c r="N2785" s="37"/>
      <c r="O2785" s="130"/>
      <c r="P2785" s="132"/>
      <c r="Q2785" s="262"/>
      <c r="R2785" s="92"/>
    </row>
    <row r="2786" spans="3:18" x14ac:dyDescent="0.25">
      <c r="C2786" s="264"/>
      <c r="D2786" s="157"/>
      <c r="E2786" s="44"/>
      <c r="F2786" s="146"/>
      <c r="G2786" s="1"/>
      <c r="H2786" s="161"/>
      <c r="I2786" s="37"/>
      <c r="J2786" s="135"/>
      <c r="K2786" s="112"/>
      <c r="L2786" s="37"/>
      <c r="M2786" s="37"/>
      <c r="N2786" s="37"/>
      <c r="O2786" s="130"/>
      <c r="P2786" s="132"/>
      <c r="Q2786" s="262"/>
      <c r="R2786" s="92"/>
    </row>
    <row r="2787" spans="3:18" x14ac:dyDescent="0.25">
      <c r="C2787" s="264"/>
      <c r="D2787" s="157"/>
      <c r="E2787" s="44"/>
      <c r="F2787" s="146"/>
      <c r="G2787" s="1"/>
      <c r="H2787" s="161"/>
      <c r="I2787" s="37"/>
      <c r="J2787" s="135"/>
      <c r="K2787" s="112"/>
      <c r="L2787" s="37"/>
      <c r="M2787" s="37"/>
      <c r="N2787" s="37"/>
      <c r="O2787" s="130"/>
      <c r="P2787" s="132"/>
      <c r="Q2787" s="262"/>
      <c r="R2787" s="92"/>
    </row>
    <row r="2788" spans="3:18" x14ac:dyDescent="0.25">
      <c r="C2788" s="264"/>
      <c r="D2788" s="157"/>
      <c r="E2788" s="44"/>
      <c r="F2788" s="146"/>
      <c r="G2788" s="1"/>
      <c r="H2788" s="161"/>
      <c r="I2788" s="37"/>
      <c r="J2788" s="135"/>
      <c r="K2788" s="112"/>
      <c r="L2788" s="37"/>
      <c r="M2788" s="37"/>
      <c r="N2788" s="37"/>
      <c r="O2788" s="130"/>
      <c r="P2788" s="132"/>
      <c r="Q2788" s="262"/>
      <c r="R2788" s="92"/>
    </row>
    <row r="2789" spans="3:18" x14ac:dyDescent="0.25">
      <c r="C2789" s="264"/>
      <c r="D2789" s="157"/>
      <c r="E2789" s="44"/>
      <c r="F2789" s="146"/>
      <c r="G2789" s="1"/>
      <c r="H2789" s="161"/>
      <c r="I2789" s="37"/>
      <c r="J2789" s="135"/>
      <c r="K2789" s="112"/>
      <c r="L2789" s="37"/>
      <c r="M2789" s="37"/>
      <c r="N2789" s="37"/>
      <c r="O2789" s="130"/>
      <c r="P2789" s="132"/>
      <c r="Q2789" s="262"/>
      <c r="R2789" s="92"/>
    </row>
    <row r="2790" spans="3:18" x14ac:dyDescent="0.25">
      <c r="C2790" s="264"/>
      <c r="D2790" s="157"/>
      <c r="E2790" s="44"/>
      <c r="F2790" s="146"/>
      <c r="G2790" s="1"/>
      <c r="H2790" s="161"/>
      <c r="I2790" s="37"/>
      <c r="J2790" s="135"/>
      <c r="K2790" s="112"/>
      <c r="L2790" s="37"/>
      <c r="M2790" s="37"/>
      <c r="N2790" s="37"/>
      <c r="O2790" s="130"/>
      <c r="P2790" s="132"/>
      <c r="Q2790" s="262"/>
      <c r="R2790" s="92"/>
    </row>
    <row r="2791" spans="3:18" x14ac:dyDescent="0.25">
      <c r="C2791" s="264"/>
      <c r="D2791" s="157"/>
      <c r="E2791" s="44"/>
      <c r="F2791" s="146"/>
      <c r="G2791" s="1"/>
      <c r="H2791" s="161"/>
      <c r="I2791" s="37"/>
      <c r="J2791" s="135"/>
      <c r="K2791" s="112"/>
      <c r="L2791" s="37"/>
      <c r="M2791" s="37"/>
      <c r="N2791" s="37"/>
      <c r="O2791" s="130"/>
      <c r="P2791" s="132"/>
      <c r="Q2791" s="262"/>
      <c r="R2791" s="92"/>
    </row>
    <row r="2792" spans="3:18" x14ac:dyDescent="0.25">
      <c r="C2792" s="264"/>
      <c r="D2792" s="157"/>
      <c r="E2792" s="44"/>
      <c r="F2792" s="146"/>
      <c r="G2792" s="1"/>
      <c r="H2792" s="161"/>
      <c r="I2792" s="37"/>
      <c r="J2792" s="135"/>
      <c r="K2792" s="112"/>
      <c r="L2792" s="37"/>
      <c r="M2792" s="37"/>
      <c r="N2792" s="37"/>
      <c r="O2792" s="130"/>
      <c r="P2792" s="132"/>
      <c r="Q2792" s="262"/>
      <c r="R2792" s="92"/>
    </row>
    <row r="2793" spans="3:18" x14ac:dyDescent="0.25">
      <c r="C2793" s="264"/>
      <c r="D2793" s="157"/>
      <c r="E2793" s="44"/>
      <c r="F2793" s="146"/>
      <c r="G2793" s="1"/>
      <c r="H2793" s="161"/>
      <c r="I2793" s="37"/>
      <c r="J2793" s="135"/>
      <c r="K2793" s="112"/>
      <c r="L2793" s="37"/>
      <c r="M2793" s="37"/>
      <c r="N2793" s="37"/>
      <c r="O2793" s="130"/>
      <c r="P2793" s="132"/>
      <c r="Q2793" s="262"/>
      <c r="R2793" s="92"/>
    </row>
    <row r="2794" spans="3:18" x14ac:dyDescent="0.25">
      <c r="C2794" s="264"/>
      <c r="D2794" s="157"/>
      <c r="E2794" s="44"/>
      <c r="F2794" s="146"/>
      <c r="G2794" s="1"/>
      <c r="H2794" s="161"/>
      <c r="I2794" s="37"/>
      <c r="J2794" s="135"/>
      <c r="K2794" s="112"/>
      <c r="L2794" s="37"/>
      <c r="M2794" s="37"/>
      <c r="N2794" s="37"/>
      <c r="O2794" s="130"/>
      <c r="P2794" s="132"/>
      <c r="Q2794" s="262"/>
      <c r="R2794" s="92"/>
    </row>
    <row r="2795" spans="3:18" x14ac:dyDescent="0.25">
      <c r="C2795" s="264"/>
      <c r="D2795" s="157"/>
      <c r="E2795" s="44"/>
      <c r="F2795" s="146"/>
      <c r="G2795" s="1"/>
      <c r="H2795" s="161"/>
      <c r="I2795" s="37"/>
      <c r="J2795" s="135"/>
      <c r="K2795" s="112"/>
      <c r="L2795" s="37"/>
      <c r="M2795" s="37"/>
      <c r="N2795" s="37"/>
      <c r="O2795" s="130"/>
      <c r="P2795" s="132"/>
      <c r="Q2795" s="262"/>
      <c r="R2795" s="92"/>
    </row>
    <row r="2796" spans="3:18" x14ac:dyDescent="0.25">
      <c r="C2796" s="264"/>
      <c r="D2796" s="157"/>
      <c r="E2796" s="44"/>
      <c r="F2796" s="146"/>
      <c r="G2796" s="1"/>
      <c r="H2796" s="161"/>
      <c r="I2796" s="37"/>
      <c r="J2796" s="135"/>
      <c r="K2796" s="112"/>
      <c r="L2796" s="37"/>
      <c r="M2796" s="37"/>
      <c r="N2796" s="37"/>
      <c r="O2796" s="130"/>
      <c r="P2796" s="132"/>
      <c r="Q2796" s="262"/>
      <c r="R2796" s="92"/>
    </row>
    <row r="2797" spans="3:18" x14ac:dyDescent="0.25">
      <c r="C2797" s="264"/>
      <c r="D2797" s="157"/>
      <c r="E2797" s="44"/>
      <c r="F2797" s="146"/>
      <c r="G2797" s="1"/>
      <c r="H2797" s="161"/>
      <c r="I2797" s="37"/>
      <c r="J2797" s="135"/>
      <c r="K2797" s="112"/>
      <c r="L2797" s="37"/>
      <c r="M2797" s="37"/>
      <c r="N2797" s="37"/>
      <c r="O2797" s="130"/>
      <c r="P2797" s="132"/>
      <c r="Q2797" s="262"/>
      <c r="R2797" s="92"/>
    </row>
    <row r="2798" spans="3:18" x14ac:dyDescent="0.25">
      <c r="C2798" s="264"/>
      <c r="D2798" s="157"/>
      <c r="E2798" s="44"/>
      <c r="F2798" s="146"/>
      <c r="G2798" s="1"/>
      <c r="H2798" s="161"/>
      <c r="I2798" s="37"/>
      <c r="J2798" s="135"/>
      <c r="K2798" s="112"/>
      <c r="L2798" s="37"/>
      <c r="M2798" s="37"/>
      <c r="N2798" s="37"/>
      <c r="O2798" s="130"/>
      <c r="P2798" s="132"/>
      <c r="Q2798" s="262"/>
      <c r="R2798" s="92"/>
    </row>
    <row r="2799" spans="3:18" x14ac:dyDescent="0.25">
      <c r="C2799" s="264"/>
      <c r="D2799" s="157"/>
      <c r="E2799" s="44"/>
      <c r="F2799" s="146"/>
      <c r="G2799" s="1"/>
      <c r="H2799" s="161"/>
      <c r="I2799" s="37"/>
      <c r="J2799" s="135"/>
      <c r="K2799" s="112"/>
      <c r="L2799" s="37"/>
      <c r="M2799" s="37"/>
      <c r="N2799" s="37"/>
      <c r="O2799" s="130"/>
      <c r="P2799" s="132"/>
      <c r="Q2799" s="262"/>
      <c r="R2799" s="92"/>
    </row>
    <row r="2800" spans="3:18" x14ac:dyDescent="0.25">
      <c r="C2800" s="264"/>
      <c r="D2800" s="157"/>
      <c r="E2800" s="44"/>
      <c r="F2800" s="146"/>
      <c r="G2800" s="1"/>
      <c r="H2800" s="161"/>
      <c r="I2800" s="37"/>
      <c r="J2800" s="135"/>
      <c r="K2800" s="112"/>
      <c r="L2800" s="37"/>
      <c r="M2800" s="37"/>
      <c r="N2800" s="37"/>
      <c r="O2800" s="130"/>
      <c r="P2800" s="132"/>
      <c r="Q2800" s="262"/>
      <c r="R2800" s="92"/>
    </row>
    <row r="2801" spans="3:18" x14ac:dyDescent="0.25">
      <c r="C2801" s="264"/>
      <c r="D2801" s="157"/>
      <c r="E2801" s="44"/>
      <c r="F2801" s="146"/>
      <c r="G2801" s="1"/>
      <c r="H2801" s="161"/>
      <c r="I2801" s="37"/>
      <c r="J2801" s="135"/>
      <c r="K2801" s="112"/>
      <c r="L2801" s="37"/>
      <c r="M2801" s="37"/>
      <c r="N2801" s="37"/>
      <c r="O2801" s="130"/>
      <c r="P2801" s="132"/>
      <c r="Q2801" s="262"/>
      <c r="R2801" s="92"/>
    </row>
    <row r="2802" spans="3:18" x14ac:dyDescent="0.25">
      <c r="C2802" s="264"/>
      <c r="D2802" s="157"/>
      <c r="E2802" s="44"/>
      <c r="F2802" s="146"/>
      <c r="G2802" s="1"/>
      <c r="H2802" s="161"/>
      <c r="I2802" s="37"/>
      <c r="J2802" s="135"/>
      <c r="K2802" s="112"/>
      <c r="L2802" s="37"/>
      <c r="M2802" s="37"/>
      <c r="N2802" s="37"/>
      <c r="O2802" s="130"/>
      <c r="P2802" s="132"/>
      <c r="Q2802" s="262"/>
      <c r="R2802" s="92"/>
    </row>
    <row r="2803" spans="3:18" x14ac:dyDescent="0.25">
      <c r="C2803" s="264"/>
      <c r="D2803" s="157"/>
      <c r="E2803" s="44"/>
      <c r="F2803" s="146"/>
      <c r="G2803" s="1"/>
      <c r="H2803" s="161"/>
      <c r="I2803" s="37"/>
      <c r="J2803" s="135"/>
      <c r="K2803" s="112"/>
      <c r="L2803" s="37"/>
      <c r="M2803" s="37"/>
      <c r="N2803" s="37"/>
      <c r="O2803" s="130"/>
      <c r="P2803" s="132"/>
      <c r="Q2803" s="262"/>
      <c r="R2803" s="92"/>
    </row>
    <row r="2804" spans="3:18" x14ac:dyDescent="0.25">
      <c r="C2804" s="264"/>
      <c r="D2804" s="157"/>
      <c r="E2804" s="44"/>
      <c r="F2804" s="146"/>
      <c r="G2804" s="1"/>
      <c r="H2804" s="161"/>
      <c r="I2804" s="37"/>
      <c r="J2804" s="135"/>
      <c r="K2804" s="112"/>
      <c r="L2804" s="37"/>
      <c r="M2804" s="37"/>
      <c r="N2804" s="37"/>
      <c r="O2804" s="130"/>
      <c r="P2804" s="132"/>
      <c r="Q2804" s="262"/>
      <c r="R2804" s="92"/>
    </row>
    <row r="2805" spans="3:18" x14ac:dyDescent="0.25">
      <c r="C2805" s="264"/>
      <c r="D2805" s="157"/>
      <c r="E2805" s="44"/>
      <c r="F2805" s="146"/>
      <c r="G2805" s="1"/>
      <c r="H2805" s="161"/>
      <c r="I2805" s="37"/>
      <c r="J2805" s="135"/>
      <c r="K2805" s="112"/>
      <c r="L2805" s="37"/>
      <c r="M2805" s="37"/>
      <c r="N2805" s="37"/>
      <c r="O2805" s="130"/>
      <c r="P2805" s="132"/>
      <c r="Q2805" s="262"/>
      <c r="R2805" s="92"/>
    </row>
    <row r="2806" spans="3:18" x14ac:dyDescent="0.25">
      <c r="C2806" s="264"/>
      <c r="D2806" s="157"/>
      <c r="E2806" s="44"/>
      <c r="F2806" s="146"/>
      <c r="G2806" s="1"/>
      <c r="H2806" s="161"/>
      <c r="I2806" s="37"/>
      <c r="J2806" s="135"/>
      <c r="K2806" s="112"/>
      <c r="L2806" s="37"/>
      <c r="M2806" s="37"/>
      <c r="N2806" s="37"/>
      <c r="O2806" s="130"/>
      <c r="P2806" s="132"/>
      <c r="Q2806" s="262"/>
      <c r="R2806" s="92"/>
    </row>
    <row r="2807" spans="3:18" x14ac:dyDescent="0.25">
      <c r="C2807" s="264"/>
      <c r="D2807" s="157"/>
      <c r="E2807" s="44"/>
      <c r="F2807" s="146"/>
      <c r="G2807" s="1"/>
      <c r="H2807" s="161"/>
      <c r="I2807" s="37"/>
      <c r="J2807" s="135"/>
      <c r="K2807" s="112"/>
      <c r="L2807" s="37"/>
      <c r="M2807" s="37"/>
      <c r="N2807" s="37"/>
      <c r="O2807" s="130"/>
      <c r="P2807" s="132"/>
      <c r="Q2807" s="262"/>
      <c r="R2807" s="92"/>
    </row>
    <row r="2808" spans="3:18" x14ac:dyDescent="0.25">
      <c r="C2808" s="264"/>
      <c r="D2808" s="157"/>
      <c r="E2808" s="44"/>
      <c r="F2808" s="146"/>
      <c r="G2808" s="1"/>
      <c r="H2808" s="161"/>
      <c r="I2808" s="37"/>
      <c r="J2808" s="135"/>
      <c r="K2808" s="112"/>
      <c r="L2808" s="37"/>
      <c r="M2808" s="37"/>
      <c r="N2808" s="37"/>
      <c r="O2808" s="130"/>
      <c r="P2808" s="132"/>
      <c r="Q2808" s="262"/>
      <c r="R2808" s="92"/>
    </row>
    <row r="2809" spans="3:18" x14ac:dyDescent="0.25">
      <c r="C2809" s="264"/>
      <c r="D2809" s="157"/>
      <c r="E2809" s="44"/>
      <c r="F2809" s="146"/>
      <c r="G2809" s="1"/>
      <c r="H2809" s="161"/>
      <c r="I2809" s="37"/>
      <c r="J2809" s="135"/>
      <c r="K2809" s="112"/>
      <c r="L2809" s="37"/>
      <c r="M2809" s="37"/>
      <c r="N2809" s="37"/>
      <c r="O2809" s="130"/>
      <c r="P2809" s="132"/>
      <c r="Q2809" s="262"/>
      <c r="R2809" s="92"/>
    </row>
    <row r="2810" spans="3:18" x14ac:dyDescent="0.25">
      <c r="C2810" s="264"/>
      <c r="D2810" s="157"/>
      <c r="E2810" s="44"/>
      <c r="F2810" s="146"/>
      <c r="G2810" s="1"/>
      <c r="H2810" s="161"/>
      <c r="I2810" s="37"/>
      <c r="J2810" s="135"/>
      <c r="K2810" s="112"/>
      <c r="L2810" s="37"/>
      <c r="M2810" s="37"/>
      <c r="N2810" s="37"/>
      <c r="O2810" s="130"/>
      <c r="P2810" s="132"/>
      <c r="Q2810" s="262"/>
      <c r="R2810" s="92"/>
    </row>
    <row r="2811" spans="3:18" x14ac:dyDescent="0.25">
      <c r="C2811" s="264"/>
      <c r="D2811" s="157"/>
      <c r="E2811" s="44"/>
      <c r="F2811" s="146"/>
      <c r="G2811" s="1"/>
      <c r="H2811" s="161"/>
      <c r="I2811" s="37"/>
      <c r="J2811" s="135"/>
      <c r="K2811" s="112"/>
      <c r="L2811" s="37"/>
      <c r="M2811" s="37"/>
      <c r="N2811" s="37"/>
      <c r="O2811" s="130"/>
      <c r="P2811" s="132"/>
      <c r="Q2811" s="262"/>
      <c r="R2811" s="92"/>
    </row>
    <row r="2812" spans="3:18" x14ac:dyDescent="0.25">
      <c r="C2812" s="264"/>
      <c r="D2812" s="157"/>
      <c r="E2812" s="44"/>
      <c r="F2812" s="146"/>
      <c r="G2812" s="1"/>
      <c r="H2812" s="161"/>
      <c r="I2812" s="37"/>
      <c r="J2812" s="135"/>
      <c r="K2812" s="112"/>
      <c r="L2812" s="37"/>
      <c r="M2812" s="37"/>
      <c r="N2812" s="37"/>
      <c r="O2812" s="130"/>
      <c r="P2812" s="132"/>
      <c r="Q2812" s="262"/>
      <c r="R2812" s="92"/>
    </row>
    <row r="2813" spans="3:18" x14ac:dyDescent="0.25">
      <c r="C2813" s="264"/>
      <c r="D2813" s="157"/>
      <c r="E2813" s="44"/>
      <c r="F2813" s="146"/>
      <c r="G2813" s="1"/>
      <c r="H2813" s="161"/>
      <c r="I2813" s="37"/>
      <c r="J2813" s="135"/>
      <c r="K2813" s="112"/>
      <c r="L2813" s="37"/>
      <c r="M2813" s="37"/>
      <c r="N2813" s="37"/>
      <c r="O2813" s="130"/>
      <c r="P2813" s="132"/>
      <c r="Q2813" s="262"/>
      <c r="R2813" s="92"/>
    </row>
    <row r="2814" spans="3:18" x14ac:dyDescent="0.25">
      <c r="C2814" s="264"/>
      <c r="D2814" s="157"/>
      <c r="E2814" s="44"/>
      <c r="F2814" s="146"/>
      <c r="G2814" s="1"/>
      <c r="H2814" s="161"/>
      <c r="I2814" s="37"/>
      <c r="J2814" s="135"/>
      <c r="K2814" s="112"/>
      <c r="L2814" s="37"/>
      <c r="M2814" s="37"/>
      <c r="N2814" s="37"/>
      <c r="O2814" s="130"/>
      <c r="P2814" s="132"/>
      <c r="Q2814" s="262"/>
      <c r="R2814" s="92"/>
    </row>
    <row r="2815" spans="3:18" x14ac:dyDescent="0.25">
      <c r="C2815" s="264"/>
      <c r="D2815" s="157"/>
      <c r="E2815" s="44"/>
      <c r="F2815" s="146"/>
      <c r="G2815" s="1"/>
      <c r="H2815" s="161"/>
      <c r="I2815" s="37"/>
      <c r="J2815" s="135"/>
      <c r="K2815" s="112"/>
      <c r="L2815" s="37"/>
      <c r="M2815" s="37"/>
      <c r="N2815" s="37"/>
      <c r="O2815" s="130"/>
      <c r="P2815" s="132"/>
      <c r="Q2815" s="262"/>
      <c r="R2815" s="92"/>
    </row>
    <row r="2816" spans="3:18" x14ac:dyDescent="0.25">
      <c r="C2816" s="264"/>
      <c r="D2816" s="157"/>
      <c r="E2816" s="44"/>
      <c r="F2816" s="146"/>
      <c r="G2816" s="1"/>
      <c r="H2816" s="161"/>
      <c r="I2816" s="37"/>
      <c r="J2816" s="135"/>
      <c r="K2816" s="112"/>
      <c r="L2816" s="37"/>
      <c r="M2816" s="37"/>
      <c r="N2816" s="37"/>
      <c r="O2816" s="130"/>
      <c r="P2816" s="132"/>
      <c r="Q2816" s="262"/>
      <c r="R2816" s="92"/>
    </row>
    <row r="2817" spans="3:18" x14ac:dyDescent="0.25">
      <c r="C2817" s="264"/>
      <c r="D2817" s="157"/>
      <c r="E2817" s="44"/>
      <c r="F2817" s="146"/>
      <c r="G2817" s="1"/>
      <c r="H2817" s="161"/>
      <c r="I2817" s="37"/>
      <c r="J2817" s="135"/>
      <c r="K2817" s="112"/>
      <c r="L2817" s="37"/>
      <c r="M2817" s="37"/>
      <c r="N2817" s="37"/>
      <c r="O2817" s="130"/>
      <c r="P2817" s="132"/>
      <c r="Q2817" s="262"/>
      <c r="R2817" s="92"/>
    </row>
    <row r="2818" spans="3:18" x14ac:dyDescent="0.25">
      <c r="C2818" s="264"/>
      <c r="D2818" s="157"/>
      <c r="E2818" s="44"/>
      <c r="F2818" s="146"/>
      <c r="G2818" s="1"/>
      <c r="H2818" s="161"/>
      <c r="I2818" s="37"/>
      <c r="J2818" s="135"/>
      <c r="K2818" s="112"/>
      <c r="L2818" s="37"/>
      <c r="M2818" s="37"/>
      <c r="N2818" s="37"/>
      <c r="O2818" s="130"/>
      <c r="P2818" s="132"/>
      <c r="Q2818" s="262"/>
      <c r="R2818" s="92"/>
    </row>
    <row r="2819" spans="3:18" x14ac:dyDescent="0.25">
      <c r="C2819" s="264"/>
      <c r="D2819" s="157"/>
      <c r="E2819" s="44"/>
      <c r="F2819" s="146"/>
      <c r="G2819" s="1"/>
      <c r="H2819" s="161"/>
      <c r="I2819" s="37"/>
      <c r="J2819" s="135"/>
      <c r="K2819" s="112"/>
      <c r="L2819" s="37"/>
      <c r="M2819" s="37"/>
      <c r="N2819" s="37"/>
      <c r="O2819" s="130"/>
      <c r="P2819" s="132"/>
      <c r="Q2819" s="262"/>
      <c r="R2819" s="92"/>
    </row>
    <row r="2820" spans="3:18" x14ac:dyDescent="0.25">
      <c r="C2820" s="264"/>
      <c r="D2820" s="157"/>
      <c r="E2820" s="44"/>
      <c r="F2820" s="146"/>
      <c r="G2820" s="1"/>
      <c r="H2820" s="161"/>
      <c r="I2820" s="37"/>
      <c r="J2820" s="135"/>
      <c r="K2820" s="112"/>
      <c r="L2820" s="37"/>
      <c r="M2820" s="37"/>
      <c r="N2820" s="37"/>
      <c r="O2820" s="130"/>
      <c r="P2820" s="132"/>
      <c r="Q2820" s="262"/>
      <c r="R2820" s="92"/>
    </row>
    <row r="2821" spans="3:18" x14ac:dyDescent="0.25">
      <c r="C2821" s="264"/>
      <c r="D2821" s="157"/>
      <c r="E2821" s="44"/>
      <c r="F2821" s="146"/>
      <c r="G2821" s="1"/>
      <c r="H2821" s="161"/>
      <c r="I2821" s="37"/>
      <c r="J2821" s="135"/>
      <c r="K2821" s="112"/>
      <c r="L2821" s="37"/>
      <c r="M2821" s="37"/>
      <c r="N2821" s="37"/>
      <c r="O2821" s="130"/>
      <c r="P2821" s="132"/>
      <c r="Q2821" s="262"/>
      <c r="R2821" s="92"/>
    </row>
    <row r="2822" spans="3:18" x14ac:dyDescent="0.25">
      <c r="C2822" s="264"/>
      <c r="D2822" s="157"/>
      <c r="E2822" s="44"/>
      <c r="F2822" s="146"/>
      <c r="G2822" s="1"/>
      <c r="H2822" s="161"/>
      <c r="I2822" s="37"/>
      <c r="J2822" s="135"/>
      <c r="K2822" s="112"/>
      <c r="L2822" s="37"/>
      <c r="M2822" s="37"/>
      <c r="N2822" s="37"/>
      <c r="O2822" s="130"/>
      <c r="P2822" s="132"/>
      <c r="Q2822" s="262"/>
      <c r="R2822" s="92"/>
    </row>
    <row r="2823" spans="3:18" x14ac:dyDescent="0.25">
      <c r="C2823" s="264"/>
      <c r="D2823" s="157"/>
      <c r="E2823" s="44"/>
      <c r="F2823" s="146"/>
      <c r="G2823" s="1"/>
      <c r="H2823" s="161"/>
      <c r="I2823" s="37"/>
      <c r="J2823" s="135"/>
      <c r="K2823" s="112"/>
      <c r="L2823" s="37"/>
      <c r="M2823" s="37"/>
      <c r="N2823" s="37"/>
      <c r="O2823" s="130"/>
      <c r="P2823" s="132"/>
      <c r="Q2823" s="262"/>
      <c r="R2823" s="92"/>
    </row>
    <row r="2824" spans="3:18" x14ac:dyDescent="0.25">
      <c r="C2824" s="264"/>
      <c r="D2824" s="157"/>
      <c r="E2824" s="44"/>
      <c r="F2824" s="146"/>
      <c r="G2824" s="1"/>
      <c r="H2824" s="161"/>
      <c r="I2824" s="37"/>
      <c r="J2824" s="135"/>
      <c r="K2824" s="112"/>
      <c r="L2824" s="37"/>
      <c r="M2824" s="37"/>
      <c r="N2824" s="37"/>
      <c r="O2824" s="130"/>
      <c r="P2824" s="132"/>
      <c r="Q2824" s="262"/>
      <c r="R2824" s="92"/>
    </row>
    <row r="2825" spans="3:18" x14ac:dyDescent="0.25">
      <c r="C2825" s="264"/>
      <c r="D2825" s="157"/>
      <c r="E2825" s="44"/>
      <c r="F2825" s="146"/>
      <c r="G2825" s="1"/>
      <c r="H2825" s="161"/>
      <c r="I2825" s="37"/>
      <c r="J2825" s="135"/>
      <c r="K2825" s="112"/>
      <c r="L2825" s="37"/>
      <c r="M2825" s="37"/>
      <c r="N2825" s="37"/>
      <c r="O2825" s="130"/>
      <c r="P2825" s="132"/>
      <c r="Q2825" s="262"/>
      <c r="R2825" s="92"/>
    </row>
    <row r="2826" spans="3:18" x14ac:dyDescent="0.25">
      <c r="C2826" s="264"/>
      <c r="D2826" s="157"/>
      <c r="E2826" s="44"/>
      <c r="F2826" s="146"/>
      <c r="G2826" s="1"/>
      <c r="H2826" s="161"/>
      <c r="I2826" s="37"/>
      <c r="J2826" s="135"/>
      <c r="K2826" s="112"/>
      <c r="L2826" s="37"/>
      <c r="M2826" s="37"/>
      <c r="N2826" s="37"/>
      <c r="O2826" s="130"/>
      <c r="P2826" s="132"/>
      <c r="Q2826" s="262"/>
      <c r="R2826" s="92"/>
    </row>
    <row r="2827" spans="3:18" x14ac:dyDescent="0.25">
      <c r="C2827" s="264"/>
      <c r="D2827" s="157"/>
      <c r="E2827" s="44"/>
      <c r="F2827" s="146"/>
      <c r="G2827" s="1"/>
      <c r="H2827" s="161"/>
      <c r="I2827" s="37"/>
      <c r="J2827" s="135"/>
      <c r="K2827" s="112"/>
      <c r="L2827" s="37"/>
      <c r="M2827" s="37"/>
      <c r="N2827" s="37"/>
      <c r="O2827" s="130"/>
      <c r="P2827" s="132"/>
      <c r="Q2827" s="262"/>
      <c r="R2827" s="92"/>
    </row>
    <row r="2828" spans="3:18" x14ac:dyDescent="0.25">
      <c r="C2828" s="264"/>
      <c r="D2828" s="157"/>
      <c r="E2828" s="44"/>
      <c r="F2828" s="146"/>
      <c r="G2828" s="1"/>
      <c r="H2828" s="161"/>
      <c r="I2828" s="37"/>
      <c r="J2828" s="135"/>
      <c r="K2828" s="112"/>
      <c r="L2828" s="37"/>
      <c r="M2828" s="37"/>
      <c r="N2828" s="37"/>
      <c r="O2828" s="130"/>
      <c r="P2828" s="132"/>
      <c r="Q2828" s="262"/>
      <c r="R2828" s="92"/>
    </row>
    <row r="2829" spans="3:18" x14ac:dyDescent="0.25">
      <c r="C2829" s="264"/>
      <c r="D2829" s="157"/>
      <c r="E2829" s="44"/>
      <c r="F2829" s="146"/>
      <c r="G2829" s="1"/>
      <c r="H2829" s="161"/>
      <c r="I2829" s="37"/>
      <c r="J2829" s="135"/>
      <c r="K2829" s="112"/>
      <c r="L2829" s="37"/>
      <c r="M2829" s="37"/>
      <c r="N2829" s="37"/>
      <c r="O2829" s="130"/>
      <c r="P2829" s="132"/>
      <c r="Q2829" s="262"/>
      <c r="R2829" s="92"/>
    </row>
    <row r="2830" spans="3:18" x14ac:dyDescent="0.25">
      <c r="C2830" s="264"/>
      <c r="D2830" s="157"/>
      <c r="E2830" s="44"/>
      <c r="F2830" s="146"/>
      <c r="G2830" s="1"/>
      <c r="H2830" s="161"/>
      <c r="I2830" s="37"/>
      <c r="J2830" s="135"/>
      <c r="K2830" s="112"/>
      <c r="L2830" s="37"/>
      <c r="M2830" s="37"/>
      <c r="N2830" s="37"/>
      <c r="O2830" s="130"/>
      <c r="P2830" s="132"/>
      <c r="Q2830" s="262"/>
      <c r="R2830" s="92"/>
    </row>
    <row r="2831" spans="3:18" x14ac:dyDescent="0.25">
      <c r="C2831" s="264"/>
      <c r="D2831" s="157"/>
      <c r="E2831" s="44"/>
      <c r="F2831" s="146"/>
      <c r="G2831" s="1"/>
      <c r="H2831" s="161"/>
      <c r="I2831" s="37"/>
      <c r="J2831" s="135"/>
      <c r="K2831" s="112"/>
      <c r="L2831" s="37"/>
      <c r="M2831" s="37"/>
      <c r="N2831" s="37"/>
      <c r="O2831" s="130"/>
      <c r="P2831" s="132"/>
      <c r="Q2831" s="262"/>
      <c r="R2831" s="92"/>
    </row>
    <row r="2832" spans="3:18" x14ac:dyDescent="0.25">
      <c r="C2832" s="264"/>
      <c r="D2832" s="157"/>
      <c r="E2832" s="44"/>
      <c r="F2832" s="146"/>
      <c r="G2832" s="1"/>
      <c r="H2832" s="161"/>
      <c r="I2832" s="37"/>
      <c r="J2832" s="135"/>
      <c r="K2832" s="112"/>
      <c r="L2832" s="37"/>
      <c r="M2832" s="37"/>
      <c r="N2832" s="37"/>
      <c r="O2832" s="130"/>
      <c r="P2832" s="132"/>
      <c r="Q2832" s="262"/>
      <c r="R2832" s="92"/>
    </row>
    <row r="2833" spans="3:18" x14ac:dyDescent="0.25">
      <c r="C2833" s="264"/>
      <c r="D2833" s="157"/>
      <c r="E2833" s="44"/>
      <c r="F2833" s="146"/>
      <c r="G2833" s="1"/>
      <c r="H2833" s="161"/>
      <c r="I2833" s="37"/>
      <c r="J2833" s="135"/>
      <c r="K2833" s="112"/>
      <c r="L2833" s="37"/>
      <c r="M2833" s="37"/>
      <c r="N2833" s="37"/>
      <c r="O2833" s="130"/>
      <c r="P2833" s="132"/>
      <c r="Q2833" s="262"/>
      <c r="R2833" s="92"/>
    </row>
    <row r="2834" spans="3:18" x14ac:dyDescent="0.25">
      <c r="C2834" s="264"/>
      <c r="D2834" s="157"/>
      <c r="E2834" s="44"/>
      <c r="F2834" s="146"/>
      <c r="G2834" s="1"/>
      <c r="H2834" s="161"/>
      <c r="I2834" s="37"/>
      <c r="J2834" s="135"/>
      <c r="K2834" s="112"/>
      <c r="L2834" s="37"/>
      <c r="M2834" s="37"/>
      <c r="N2834" s="37"/>
      <c r="O2834" s="130"/>
      <c r="P2834" s="132"/>
      <c r="Q2834" s="262"/>
      <c r="R2834" s="92"/>
    </row>
    <row r="2835" spans="3:18" x14ac:dyDescent="0.25">
      <c r="C2835" s="264"/>
      <c r="D2835" s="157"/>
      <c r="E2835" s="44"/>
      <c r="F2835" s="146"/>
      <c r="G2835" s="1"/>
      <c r="H2835" s="161"/>
      <c r="I2835" s="37"/>
      <c r="J2835" s="135"/>
      <c r="K2835" s="112"/>
      <c r="L2835" s="37"/>
      <c r="M2835" s="37"/>
      <c r="N2835" s="37"/>
      <c r="O2835" s="130"/>
      <c r="P2835" s="132"/>
      <c r="Q2835" s="262"/>
      <c r="R2835" s="92"/>
    </row>
    <row r="2836" spans="3:18" x14ac:dyDescent="0.25">
      <c r="C2836" s="264"/>
      <c r="D2836" s="157"/>
      <c r="E2836" s="44"/>
      <c r="F2836" s="146"/>
      <c r="G2836" s="1"/>
      <c r="H2836" s="161"/>
      <c r="I2836" s="37"/>
      <c r="J2836" s="135"/>
      <c r="K2836" s="112"/>
      <c r="L2836" s="37"/>
      <c r="M2836" s="37"/>
      <c r="N2836" s="37"/>
      <c r="O2836" s="130"/>
      <c r="P2836" s="132"/>
      <c r="Q2836" s="262"/>
      <c r="R2836" s="92"/>
    </row>
    <row r="2837" spans="3:18" x14ac:dyDescent="0.25">
      <c r="C2837" s="264"/>
      <c r="D2837" s="157"/>
      <c r="E2837" s="44"/>
      <c r="F2837" s="146"/>
      <c r="G2837" s="1"/>
      <c r="H2837" s="161"/>
      <c r="I2837" s="37"/>
      <c r="J2837" s="135"/>
      <c r="K2837" s="112"/>
      <c r="L2837" s="37"/>
      <c r="M2837" s="37"/>
      <c r="N2837" s="37"/>
      <c r="O2837" s="130"/>
      <c r="P2837" s="132"/>
      <c r="Q2837" s="262"/>
      <c r="R2837" s="92"/>
    </row>
    <row r="2838" spans="3:18" x14ac:dyDescent="0.25">
      <c r="C2838" s="264"/>
      <c r="D2838" s="157"/>
      <c r="E2838" s="44"/>
      <c r="F2838" s="146"/>
      <c r="G2838" s="1"/>
      <c r="H2838" s="161"/>
      <c r="I2838" s="37"/>
      <c r="J2838" s="135"/>
      <c r="K2838" s="112"/>
      <c r="L2838" s="37"/>
      <c r="M2838" s="37"/>
      <c r="N2838" s="37"/>
      <c r="O2838" s="130"/>
      <c r="P2838" s="132"/>
      <c r="Q2838" s="262"/>
      <c r="R2838" s="92"/>
    </row>
    <row r="2839" spans="3:18" x14ac:dyDescent="0.25">
      <c r="C2839" s="264"/>
      <c r="D2839" s="157"/>
      <c r="E2839" s="44"/>
      <c r="F2839" s="146"/>
      <c r="G2839" s="1"/>
      <c r="H2839" s="161"/>
      <c r="I2839" s="37"/>
      <c r="J2839" s="135"/>
      <c r="K2839" s="112"/>
      <c r="L2839" s="37"/>
      <c r="M2839" s="37"/>
      <c r="N2839" s="37"/>
      <c r="O2839" s="130"/>
      <c r="P2839" s="132"/>
      <c r="Q2839" s="262"/>
      <c r="R2839" s="92"/>
    </row>
    <row r="2840" spans="3:18" x14ac:dyDescent="0.25">
      <c r="C2840" s="264"/>
      <c r="D2840" s="157"/>
      <c r="E2840" s="44"/>
      <c r="F2840" s="146"/>
      <c r="G2840" s="1"/>
      <c r="H2840" s="161"/>
      <c r="I2840" s="37"/>
      <c r="J2840" s="135"/>
      <c r="K2840" s="112"/>
      <c r="L2840" s="37"/>
      <c r="M2840" s="37"/>
      <c r="N2840" s="37"/>
      <c r="O2840" s="130"/>
      <c r="P2840" s="132"/>
      <c r="Q2840" s="262"/>
      <c r="R2840" s="92"/>
    </row>
    <row r="2841" spans="3:18" x14ac:dyDescent="0.25">
      <c r="C2841" s="264"/>
      <c r="D2841" s="157"/>
      <c r="E2841" s="44"/>
      <c r="F2841" s="146"/>
      <c r="G2841" s="1"/>
      <c r="H2841" s="161"/>
      <c r="I2841" s="37"/>
      <c r="J2841" s="135"/>
      <c r="K2841" s="112"/>
      <c r="L2841" s="37"/>
      <c r="M2841" s="37"/>
      <c r="N2841" s="37"/>
      <c r="O2841" s="130"/>
      <c r="P2841" s="132"/>
      <c r="Q2841" s="262"/>
      <c r="R2841" s="92"/>
    </row>
    <row r="2842" spans="3:18" x14ac:dyDescent="0.25">
      <c r="C2842" s="264"/>
      <c r="D2842" s="157"/>
      <c r="E2842" s="44"/>
      <c r="F2842" s="146"/>
      <c r="G2842" s="1"/>
      <c r="H2842" s="161"/>
      <c r="I2842" s="37"/>
      <c r="J2842" s="135"/>
      <c r="K2842" s="112"/>
      <c r="L2842" s="37"/>
      <c r="M2842" s="37"/>
      <c r="N2842" s="37"/>
      <c r="O2842" s="130"/>
      <c r="P2842" s="132"/>
      <c r="Q2842" s="262"/>
      <c r="R2842" s="92"/>
    </row>
    <row r="2843" spans="3:18" x14ac:dyDescent="0.25">
      <c r="C2843" s="264"/>
      <c r="D2843" s="157"/>
      <c r="E2843" s="44"/>
      <c r="F2843" s="146"/>
      <c r="G2843" s="1"/>
      <c r="H2843" s="161"/>
      <c r="I2843" s="37"/>
      <c r="J2843" s="135"/>
      <c r="K2843" s="112"/>
      <c r="L2843" s="37"/>
      <c r="M2843" s="37"/>
      <c r="N2843" s="37"/>
      <c r="O2843" s="130"/>
      <c r="P2843" s="132"/>
      <c r="Q2843" s="262"/>
      <c r="R2843" s="92"/>
    </row>
    <row r="2844" spans="3:18" x14ac:dyDescent="0.25">
      <c r="C2844" s="264"/>
      <c r="D2844" s="157"/>
      <c r="E2844" s="44"/>
      <c r="F2844" s="146"/>
      <c r="G2844" s="1"/>
      <c r="H2844" s="161"/>
      <c r="I2844" s="37"/>
      <c r="J2844" s="135"/>
      <c r="K2844" s="112"/>
      <c r="L2844" s="37"/>
      <c r="M2844" s="37"/>
      <c r="N2844" s="37"/>
      <c r="O2844" s="130"/>
      <c r="P2844" s="132"/>
      <c r="Q2844" s="262"/>
      <c r="R2844" s="92"/>
    </row>
    <row r="2845" spans="3:18" x14ac:dyDescent="0.25">
      <c r="C2845" s="264"/>
      <c r="D2845" s="157"/>
      <c r="E2845" s="44"/>
      <c r="F2845" s="146"/>
      <c r="G2845" s="1"/>
      <c r="H2845" s="161"/>
      <c r="I2845" s="37"/>
      <c r="J2845" s="135"/>
      <c r="K2845" s="112"/>
      <c r="L2845" s="37"/>
      <c r="M2845" s="37"/>
      <c r="N2845" s="37"/>
      <c r="O2845" s="130"/>
      <c r="P2845" s="132"/>
      <c r="Q2845" s="262"/>
      <c r="R2845" s="92"/>
    </row>
    <row r="2846" spans="3:18" x14ac:dyDescent="0.25">
      <c r="C2846" s="264"/>
      <c r="D2846" s="157"/>
      <c r="E2846" s="44"/>
      <c r="F2846" s="146"/>
      <c r="G2846" s="1"/>
      <c r="H2846" s="161"/>
      <c r="I2846" s="37"/>
      <c r="J2846" s="135"/>
      <c r="K2846" s="112"/>
      <c r="L2846" s="37"/>
      <c r="M2846" s="37"/>
      <c r="N2846" s="37"/>
      <c r="O2846" s="130"/>
      <c r="P2846" s="132"/>
      <c r="Q2846" s="262"/>
      <c r="R2846" s="92"/>
    </row>
    <row r="2847" spans="3:18" x14ac:dyDescent="0.25">
      <c r="C2847" s="264"/>
      <c r="D2847" s="157"/>
      <c r="E2847" s="44"/>
      <c r="F2847" s="146"/>
      <c r="G2847" s="1"/>
      <c r="H2847" s="161"/>
      <c r="I2847" s="37"/>
      <c r="J2847" s="135"/>
      <c r="K2847" s="112"/>
      <c r="L2847" s="37"/>
      <c r="M2847" s="37"/>
      <c r="N2847" s="37"/>
      <c r="O2847" s="130"/>
      <c r="P2847" s="132"/>
      <c r="Q2847" s="262"/>
      <c r="R2847" s="92"/>
    </row>
    <row r="2848" spans="3:18" x14ac:dyDescent="0.25">
      <c r="C2848" s="264"/>
      <c r="D2848" s="157"/>
      <c r="E2848" s="44"/>
      <c r="F2848" s="146"/>
      <c r="G2848" s="1"/>
      <c r="H2848" s="161"/>
      <c r="I2848" s="37"/>
      <c r="J2848" s="135"/>
      <c r="K2848" s="112"/>
      <c r="L2848" s="37"/>
      <c r="M2848" s="37"/>
      <c r="N2848" s="37"/>
      <c r="O2848" s="130"/>
      <c r="P2848" s="132"/>
      <c r="Q2848" s="262"/>
      <c r="R2848" s="92"/>
    </row>
    <row r="2849" spans="3:18" x14ac:dyDescent="0.25">
      <c r="C2849" s="264"/>
      <c r="D2849" s="157"/>
      <c r="E2849" s="44"/>
      <c r="F2849" s="146"/>
      <c r="G2849" s="1"/>
      <c r="H2849" s="161"/>
      <c r="I2849" s="37"/>
      <c r="J2849" s="135"/>
      <c r="K2849" s="112"/>
      <c r="L2849" s="37"/>
      <c r="M2849" s="37"/>
      <c r="N2849" s="37"/>
      <c r="O2849" s="130"/>
      <c r="P2849" s="132"/>
      <c r="Q2849" s="262"/>
      <c r="R2849" s="92"/>
    </row>
    <row r="2850" spans="3:18" x14ac:dyDescent="0.25">
      <c r="C2850" s="264"/>
      <c r="D2850" s="157"/>
      <c r="E2850" s="44"/>
      <c r="F2850" s="146"/>
      <c r="G2850" s="1"/>
      <c r="H2850" s="161"/>
      <c r="I2850" s="37"/>
      <c r="J2850" s="135"/>
      <c r="K2850" s="112"/>
      <c r="L2850" s="37"/>
      <c r="M2850" s="37"/>
      <c r="N2850" s="37"/>
      <c r="O2850" s="130"/>
      <c r="P2850" s="132"/>
      <c r="Q2850" s="262"/>
      <c r="R2850" s="92"/>
    </row>
    <row r="2851" spans="3:18" x14ac:dyDescent="0.25">
      <c r="C2851" s="264"/>
      <c r="D2851" s="157"/>
      <c r="E2851" s="44"/>
      <c r="F2851" s="146"/>
      <c r="G2851" s="1"/>
      <c r="H2851" s="161"/>
      <c r="I2851" s="37"/>
      <c r="J2851" s="135"/>
      <c r="K2851" s="112"/>
      <c r="L2851" s="37"/>
      <c r="M2851" s="37"/>
      <c r="N2851" s="37"/>
      <c r="O2851" s="130"/>
      <c r="P2851" s="132"/>
      <c r="Q2851" s="262"/>
      <c r="R2851" s="92"/>
    </row>
    <row r="2852" spans="3:18" x14ac:dyDescent="0.25">
      <c r="C2852" s="264"/>
      <c r="D2852" s="157"/>
      <c r="E2852" s="44"/>
      <c r="F2852" s="146"/>
      <c r="G2852" s="1"/>
      <c r="H2852" s="161"/>
      <c r="I2852" s="37"/>
      <c r="J2852" s="135"/>
      <c r="K2852" s="112"/>
      <c r="L2852" s="37"/>
      <c r="M2852" s="37"/>
      <c r="N2852" s="37"/>
      <c r="O2852" s="130"/>
      <c r="P2852" s="132"/>
      <c r="Q2852" s="262"/>
      <c r="R2852" s="92"/>
    </row>
    <row r="2853" spans="3:18" x14ac:dyDescent="0.25">
      <c r="C2853" s="264"/>
      <c r="D2853" s="157"/>
      <c r="E2853" s="44"/>
      <c r="F2853" s="146"/>
      <c r="G2853" s="1"/>
      <c r="H2853" s="161"/>
      <c r="I2853" s="37"/>
      <c r="J2853" s="135"/>
      <c r="K2853" s="112"/>
      <c r="L2853" s="37"/>
      <c r="M2853" s="37"/>
      <c r="N2853" s="37"/>
      <c r="O2853" s="130"/>
      <c r="P2853" s="132"/>
      <c r="Q2853" s="262"/>
      <c r="R2853" s="92"/>
    </row>
    <row r="2854" spans="3:18" x14ac:dyDescent="0.25">
      <c r="C2854" s="264"/>
      <c r="D2854" s="157"/>
      <c r="E2854" s="44"/>
      <c r="F2854" s="146"/>
      <c r="G2854" s="1"/>
      <c r="H2854" s="161"/>
      <c r="I2854" s="37"/>
      <c r="J2854" s="135"/>
      <c r="K2854" s="112"/>
      <c r="L2854" s="37"/>
      <c r="M2854" s="37"/>
      <c r="N2854" s="37"/>
      <c r="O2854" s="130"/>
      <c r="P2854" s="132"/>
      <c r="Q2854" s="262"/>
      <c r="R2854" s="92"/>
    </row>
    <row r="2855" spans="3:18" x14ac:dyDescent="0.25">
      <c r="C2855" s="264"/>
      <c r="D2855" s="157"/>
      <c r="E2855" s="44"/>
      <c r="F2855" s="146"/>
      <c r="G2855" s="1"/>
      <c r="H2855" s="161"/>
      <c r="I2855" s="37"/>
      <c r="J2855" s="135"/>
      <c r="K2855" s="112"/>
      <c r="L2855" s="37"/>
      <c r="M2855" s="37"/>
      <c r="N2855" s="37"/>
      <c r="O2855" s="130"/>
      <c r="P2855" s="132"/>
      <c r="Q2855" s="262"/>
      <c r="R2855" s="92"/>
    </row>
    <row r="2856" spans="3:18" x14ac:dyDescent="0.25">
      <c r="C2856" s="264"/>
      <c r="D2856" s="157"/>
      <c r="E2856" s="44"/>
      <c r="F2856" s="146"/>
      <c r="G2856" s="1"/>
      <c r="H2856" s="161"/>
      <c r="I2856" s="37"/>
      <c r="J2856" s="135"/>
      <c r="K2856" s="112"/>
      <c r="L2856" s="37"/>
      <c r="M2856" s="37"/>
      <c r="N2856" s="37"/>
      <c r="O2856" s="130"/>
      <c r="P2856" s="132"/>
      <c r="Q2856" s="262"/>
      <c r="R2856" s="92"/>
    </row>
    <row r="2857" spans="3:18" x14ac:dyDescent="0.25">
      <c r="C2857" s="264"/>
      <c r="D2857" s="157"/>
      <c r="E2857" s="44"/>
      <c r="F2857" s="146"/>
      <c r="G2857" s="1"/>
      <c r="H2857" s="161"/>
      <c r="I2857" s="37"/>
      <c r="J2857" s="135"/>
      <c r="K2857" s="112"/>
      <c r="L2857" s="37"/>
      <c r="M2857" s="37"/>
      <c r="N2857" s="37"/>
      <c r="O2857" s="130"/>
      <c r="P2857" s="132"/>
      <c r="Q2857" s="262"/>
      <c r="R2857" s="92"/>
    </row>
    <row r="2858" spans="3:18" x14ac:dyDescent="0.25">
      <c r="C2858" s="264"/>
      <c r="D2858" s="157"/>
      <c r="E2858" s="44"/>
      <c r="F2858" s="146"/>
      <c r="G2858" s="1"/>
      <c r="H2858" s="161"/>
      <c r="I2858" s="37"/>
      <c r="J2858" s="135"/>
      <c r="K2858" s="112"/>
      <c r="L2858" s="37"/>
      <c r="M2858" s="37"/>
      <c r="N2858" s="37"/>
      <c r="O2858" s="130"/>
      <c r="P2858" s="132"/>
      <c r="Q2858" s="262"/>
      <c r="R2858" s="92"/>
    </row>
    <row r="2859" spans="3:18" x14ac:dyDescent="0.25">
      <c r="C2859" s="264"/>
      <c r="D2859" s="157"/>
      <c r="E2859" s="44"/>
      <c r="F2859" s="146"/>
      <c r="G2859" s="1"/>
      <c r="H2859" s="161"/>
      <c r="I2859" s="37"/>
      <c r="J2859" s="135"/>
      <c r="K2859" s="112"/>
      <c r="L2859" s="37"/>
      <c r="M2859" s="37"/>
      <c r="N2859" s="37"/>
      <c r="O2859" s="130"/>
      <c r="P2859" s="132"/>
      <c r="Q2859" s="262"/>
      <c r="R2859" s="92"/>
    </row>
    <row r="2860" spans="3:18" x14ac:dyDescent="0.25">
      <c r="C2860" s="264"/>
      <c r="D2860" s="157"/>
      <c r="E2860" s="44"/>
      <c r="F2860" s="146"/>
      <c r="G2860" s="1"/>
      <c r="H2860" s="161"/>
      <c r="I2860" s="37"/>
      <c r="J2860" s="135"/>
      <c r="K2860" s="112"/>
      <c r="L2860" s="37"/>
      <c r="M2860" s="37"/>
      <c r="N2860" s="37"/>
      <c r="O2860" s="130"/>
      <c r="P2860" s="132"/>
      <c r="Q2860" s="262"/>
      <c r="R2860" s="92"/>
    </row>
    <row r="2861" spans="3:18" x14ac:dyDescent="0.25">
      <c r="C2861" s="264"/>
      <c r="D2861" s="157"/>
      <c r="E2861" s="44"/>
      <c r="F2861" s="146"/>
      <c r="G2861" s="1"/>
      <c r="H2861" s="161"/>
      <c r="I2861" s="37"/>
      <c r="J2861" s="135"/>
      <c r="K2861" s="112"/>
      <c r="L2861" s="37"/>
      <c r="M2861" s="37"/>
      <c r="N2861" s="37"/>
      <c r="O2861" s="130"/>
      <c r="P2861" s="132"/>
      <c r="Q2861" s="262"/>
      <c r="R2861" s="92"/>
    </row>
    <row r="2862" spans="3:18" x14ac:dyDescent="0.25">
      <c r="C2862" s="264"/>
      <c r="D2862" s="157"/>
      <c r="E2862" s="44"/>
      <c r="F2862" s="146"/>
      <c r="G2862" s="1"/>
      <c r="H2862" s="161"/>
      <c r="I2862" s="37"/>
      <c r="J2862" s="135"/>
      <c r="K2862" s="112"/>
      <c r="L2862" s="37"/>
      <c r="M2862" s="37"/>
      <c r="N2862" s="37"/>
      <c r="O2862" s="130"/>
      <c r="P2862" s="132"/>
      <c r="Q2862" s="262"/>
      <c r="R2862" s="92"/>
    </row>
    <row r="2863" spans="3:18" x14ac:dyDescent="0.25">
      <c r="C2863" s="264"/>
      <c r="D2863" s="157"/>
      <c r="E2863" s="44"/>
      <c r="F2863" s="146"/>
      <c r="G2863" s="1"/>
      <c r="H2863" s="161"/>
      <c r="I2863" s="37"/>
      <c r="J2863" s="135"/>
      <c r="K2863" s="112"/>
      <c r="L2863" s="37"/>
      <c r="M2863" s="37"/>
      <c r="N2863" s="37"/>
      <c r="O2863" s="130"/>
      <c r="P2863" s="132"/>
      <c r="Q2863" s="262"/>
      <c r="R2863" s="92"/>
    </row>
    <row r="2864" spans="3:18" x14ac:dyDescent="0.25">
      <c r="C2864" s="264"/>
      <c r="D2864" s="157"/>
      <c r="E2864" s="44"/>
      <c r="F2864" s="146"/>
      <c r="G2864" s="1"/>
      <c r="H2864" s="161"/>
      <c r="I2864" s="37"/>
      <c r="J2864" s="135"/>
      <c r="K2864" s="112"/>
      <c r="L2864" s="37"/>
      <c r="M2864" s="37"/>
      <c r="N2864" s="37"/>
      <c r="O2864" s="130"/>
      <c r="P2864" s="132"/>
      <c r="Q2864" s="262"/>
      <c r="R2864" s="92"/>
    </row>
    <row r="2865" spans="3:18" x14ac:dyDescent="0.25">
      <c r="C2865" s="264"/>
      <c r="D2865" s="157"/>
      <c r="E2865" s="44"/>
      <c r="F2865" s="146"/>
      <c r="G2865" s="1"/>
      <c r="H2865" s="161"/>
      <c r="I2865" s="37"/>
      <c r="J2865" s="135"/>
      <c r="K2865" s="112"/>
      <c r="L2865" s="37"/>
      <c r="M2865" s="37"/>
      <c r="N2865" s="37"/>
      <c r="O2865" s="130"/>
      <c r="P2865" s="132"/>
      <c r="Q2865" s="262"/>
      <c r="R2865" s="92"/>
    </row>
    <row r="2866" spans="3:18" x14ac:dyDescent="0.25">
      <c r="C2866" s="264"/>
      <c r="D2866" s="157"/>
      <c r="E2866" s="44"/>
      <c r="F2866" s="146"/>
      <c r="G2866" s="1"/>
      <c r="H2866" s="161"/>
      <c r="I2866" s="37"/>
      <c r="J2866" s="135"/>
      <c r="K2866" s="112"/>
      <c r="L2866" s="37"/>
      <c r="M2866" s="37"/>
      <c r="N2866" s="37"/>
      <c r="O2866" s="130"/>
      <c r="P2866" s="132"/>
      <c r="Q2866" s="262"/>
      <c r="R2866" s="92"/>
    </row>
    <row r="2867" spans="3:18" x14ac:dyDescent="0.25">
      <c r="C2867" s="264"/>
      <c r="D2867" s="157"/>
      <c r="E2867" s="44"/>
      <c r="F2867" s="146"/>
      <c r="G2867" s="1"/>
      <c r="H2867" s="161"/>
      <c r="I2867" s="37"/>
      <c r="J2867" s="135"/>
      <c r="K2867" s="112"/>
      <c r="L2867" s="37"/>
      <c r="M2867" s="37"/>
      <c r="N2867" s="37"/>
      <c r="O2867" s="130"/>
      <c r="P2867" s="132"/>
      <c r="Q2867" s="262"/>
      <c r="R2867" s="92"/>
    </row>
    <row r="2868" spans="3:18" x14ac:dyDescent="0.25">
      <c r="C2868" s="264"/>
      <c r="D2868" s="157"/>
      <c r="E2868" s="44"/>
      <c r="F2868" s="146"/>
      <c r="G2868" s="1"/>
      <c r="H2868" s="161"/>
      <c r="I2868" s="37"/>
      <c r="J2868" s="135"/>
      <c r="K2868" s="112"/>
      <c r="L2868" s="37"/>
      <c r="M2868" s="37"/>
      <c r="N2868" s="37"/>
      <c r="O2868" s="130"/>
      <c r="P2868" s="132"/>
      <c r="Q2868" s="262"/>
      <c r="R2868" s="92"/>
    </row>
    <row r="2869" spans="3:18" x14ac:dyDescent="0.25">
      <c r="C2869" s="264"/>
      <c r="D2869" s="157"/>
      <c r="E2869" s="44"/>
      <c r="F2869" s="146"/>
      <c r="G2869" s="1"/>
      <c r="H2869" s="161"/>
      <c r="I2869" s="37"/>
      <c r="J2869" s="135"/>
      <c r="K2869" s="112"/>
      <c r="L2869" s="37"/>
      <c r="M2869" s="37"/>
      <c r="N2869" s="37"/>
      <c r="O2869" s="130"/>
      <c r="P2869" s="132"/>
      <c r="Q2869" s="262"/>
      <c r="R2869" s="92"/>
    </row>
    <row r="2870" spans="3:18" x14ac:dyDescent="0.25">
      <c r="C2870" s="264"/>
      <c r="D2870" s="157"/>
      <c r="E2870" s="44"/>
      <c r="F2870" s="146"/>
      <c r="G2870" s="1"/>
      <c r="H2870" s="161"/>
      <c r="I2870" s="37"/>
      <c r="J2870" s="135"/>
      <c r="K2870" s="112"/>
      <c r="L2870" s="37"/>
      <c r="M2870" s="37"/>
      <c r="N2870" s="37"/>
      <c r="O2870" s="130"/>
      <c r="P2870" s="132"/>
      <c r="Q2870" s="262"/>
      <c r="R2870" s="92"/>
    </row>
    <row r="2871" spans="3:18" x14ac:dyDescent="0.25">
      <c r="C2871" s="264"/>
      <c r="D2871" s="157"/>
      <c r="E2871" s="44"/>
      <c r="F2871" s="146"/>
      <c r="G2871" s="1"/>
      <c r="H2871" s="161"/>
      <c r="I2871" s="37"/>
      <c r="J2871" s="135"/>
      <c r="K2871" s="112"/>
      <c r="L2871" s="37"/>
      <c r="M2871" s="37"/>
      <c r="N2871" s="37"/>
      <c r="O2871" s="130"/>
      <c r="P2871" s="132"/>
      <c r="Q2871" s="262"/>
      <c r="R2871" s="92"/>
    </row>
    <row r="2872" spans="3:18" x14ac:dyDescent="0.25">
      <c r="C2872" s="264"/>
      <c r="D2872" s="157"/>
      <c r="E2872" s="44"/>
      <c r="F2872" s="146"/>
      <c r="G2872" s="1"/>
      <c r="H2872" s="161"/>
      <c r="I2872" s="37"/>
      <c r="J2872" s="135"/>
      <c r="K2872" s="112"/>
      <c r="L2872" s="37"/>
      <c r="M2872" s="37"/>
      <c r="N2872" s="37"/>
      <c r="O2872" s="130"/>
      <c r="P2872" s="132"/>
      <c r="Q2872" s="262"/>
      <c r="R2872" s="92"/>
    </row>
    <row r="2873" spans="3:18" x14ac:dyDescent="0.25">
      <c r="C2873" s="264"/>
      <c r="D2873" s="157"/>
      <c r="E2873" s="44"/>
      <c r="F2873" s="146"/>
      <c r="G2873" s="1"/>
      <c r="H2873" s="161"/>
      <c r="I2873" s="37"/>
      <c r="J2873" s="135"/>
      <c r="K2873" s="112"/>
      <c r="L2873" s="37"/>
      <c r="M2873" s="37"/>
      <c r="N2873" s="37"/>
      <c r="O2873" s="130"/>
      <c r="P2873" s="132"/>
      <c r="Q2873" s="262"/>
      <c r="R2873" s="92"/>
    </row>
    <row r="2874" spans="3:18" x14ac:dyDescent="0.25">
      <c r="C2874" s="264"/>
      <c r="D2874" s="157"/>
      <c r="E2874" s="44"/>
      <c r="F2874" s="146"/>
      <c r="G2874" s="1"/>
      <c r="H2874" s="161"/>
      <c r="I2874" s="37"/>
      <c r="J2874" s="135"/>
      <c r="K2874" s="112"/>
      <c r="L2874" s="37"/>
      <c r="M2874" s="37"/>
      <c r="N2874" s="37"/>
      <c r="O2874" s="130"/>
      <c r="P2874" s="132"/>
      <c r="Q2874" s="262"/>
      <c r="R2874" s="92"/>
    </row>
    <row r="2875" spans="3:18" x14ac:dyDescent="0.25">
      <c r="C2875" s="264"/>
      <c r="D2875" s="157"/>
      <c r="E2875" s="44"/>
      <c r="F2875" s="146"/>
      <c r="G2875" s="1"/>
      <c r="H2875" s="161"/>
      <c r="I2875" s="37"/>
      <c r="J2875" s="135"/>
      <c r="K2875" s="112"/>
      <c r="L2875" s="37"/>
      <c r="M2875" s="37"/>
      <c r="N2875" s="37"/>
      <c r="O2875" s="130"/>
      <c r="P2875" s="132"/>
      <c r="Q2875" s="262"/>
      <c r="R2875" s="92"/>
    </row>
    <row r="2876" spans="3:18" x14ac:dyDescent="0.25">
      <c r="C2876" s="264"/>
      <c r="D2876" s="157"/>
      <c r="E2876" s="44"/>
      <c r="F2876" s="146"/>
      <c r="G2876" s="1"/>
      <c r="H2876" s="161"/>
      <c r="I2876" s="37"/>
      <c r="J2876" s="135"/>
      <c r="K2876" s="112"/>
      <c r="L2876" s="37"/>
      <c r="M2876" s="37"/>
      <c r="N2876" s="37"/>
      <c r="O2876" s="130"/>
      <c r="P2876" s="132"/>
      <c r="Q2876" s="262"/>
      <c r="R2876" s="92"/>
    </row>
    <row r="2877" spans="3:18" x14ac:dyDescent="0.25">
      <c r="C2877" s="264"/>
      <c r="D2877" s="157"/>
      <c r="E2877" s="44"/>
      <c r="F2877" s="146"/>
      <c r="G2877" s="1"/>
      <c r="H2877" s="161"/>
      <c r="I2877" s="37"/>
      <c r="J2877" s="135"/>
      <c r="K2877" s="112"/>
      <c r="L2877" s="37"/>
      <c r="M2877" s="37"/>
      <c r="N2877" s="37"/>
      <c r="O2877" s="130"/>
      <c r="P2877" s="132"/>
      <c r="Q2877" s="262"/>
      <c r="R2877" s="92"/>
    </row>
    <row r="2878" spans="3:18" x14ac:dyDescent="0.25">
      <c r="C2878" s="264"/>
      <c r="D2878" s="157"/>
      <c r="E2878" s="44"/>
      <c r="F2878" s="146"/>
      <c r="G2878" s="1"/>
      <c r="H2878" s="161"/>
      <c r="I2878" s="37"/>
      <c r="J2878" s="135"/>
      <c r="K2878" s="112"/>
      <c r="L2878" s="37"/>
      <c r="M2878" s="37"/>
      <c r="N2878" s="37"/>
      <c r="O2878" s="130"/>
      <c r="P2878" s="132"/>
      <c r="Q2878" s="262"/>
      <c r="R2878" s="92"/>
    </row>
    <row r="2879" spans="3:18" x14ac:dyDescent="0.25">
      <c r="C2879" s="264"/>
      <c r="D2879" s="157"/>
      <c r="E2879" s="44"/>
      <c r="F2879" s="146"/>
      <c r="G2879" s="1"/>
      <c r="H2879" s="161"/>
      <c r="I2879" s="37"/>
      <c r="J2879" s="135"/>
      <c r="K2879" s="112"/>
      <c r="L2879" s="37"/>
      <c r="M2879" s="37"/>
      <c r="N2879" s="37"/>
      <c r="O2879" s="130"/>
      <c r="P2879" s="132"/>
      <c r="Q2879" s="262"/>
      <c r="R2879" s="92"/>
    </row>
    <row r="2880" spans="3:18" x14ac:dyDescent="0.25">
      <c r="C2880" s="264"/>
      <c r="D2880" s="157"/>
      <c r="E2880" s="44"/>
      <c r="F2880" s="146"/>
      <c r="G2880" s="1"/>
      <c r="H2880" s="161"/>
      <c r="I2880" s="37"/>
      <c r="J2880" s="135"/>
      <c r="K2880" s="112"/>
      <c r="L2880" s="37"/>
      <c r="M2880" s="37"/>
      <c r="N2880" s="37"/>
      <c r="O2880" s="130"/>
      <c r="P2880" s="132"/>
      <c r="Q2880" s="262"/>
      <c r="R2880" s="92"/>
    </row>
    <row r="2881" spans="3:18" x14ac:dyDescent="0.25">
      <c r="C2881" s="264"/>
      <c r="D2881" s="157"/>
      <c r="E2881" s="44"/>
      <c r="F2881" s="146"/>
      <c r="G2881" s="1"/>
      <c r="H2881" s="161"/>
      <c r="I2881" s="37"/>
      <c r="J2881" s="135"/>
      <c r="K2881" s="112"/>
      <c r="L2881" s="37"/>
      <c r="M2881" s="37"/>
      <c r="N2881" s="37"/>
      <c r="O2881" s="130"/>
      <c r="P2881" s="132"/>
      <c r="Q2881" s="262"/>
      <c r="R2881" s="92"/>
    </row>
    <row r="2882" spans="3:18" x14ac:dyDescent="0.25">
      <c r="C2882" s="264"/>
      <c r="D2882" s="157"/>
      <c r="E2882" s="44"/>
      <c r="F2882" s="146"/>
      <c r="G2882" s="1"/>
      <c r="H2882" s="161"/>
      <c r="I2882" s="37"/>
      <c r="J2882" s="135"/>
      <c r="K2882" s="112"/>
      <c r="L2882" s="37"/>
      <c r="M2882" s="37"/>
      <c r="N2882" s="37"/>
      <c r="O2882" s="130"/>
      <c r="P2882" s="132"/>
      <c r="Q2882" s="262"/>
      <c r="R2882" s="92"/>
    </row>
    <row r="2883" spans="3:18" x14ac:dyDescent="0.25">
      <c r="C2883" s="264"/>
      <c r="D2883" s="157"/>
      <c r="E2883" s="44"/>
      <c r="F2883" s="146"/>
      <c r="G2883" s="1"/>
      <c r="H2883" s="161"/>
      <c r="I2883" s="37"/>
      <c r="J2883" s="135"/>
      <c r="K2883" s="112"/>
      <c r="L2883" s="37"/>
      <c r="M2883" s="37"/>
      <c r="N2883" s="37"/>
      <c r="O2883" s="130"/>
      <c r="P2883" s="132"/>
      <c r="Q2883" s="262"/>
      <c r="R2883" s="92"/>
    </row>
    <row r="2884" spans="3:18" x14ac:dyDescent="0.25">
      <c r="C2884" s="264"/>
      <c r="D2884" s="157"/>
      <c r="E2884" s="44"/>
      <c r="F2884" s="146"/>
      <c r="G2884" s="1"/>
      <c r="H2884" s="161"/>
      <c r="I2884" s="37"/>
      <c r="J2884" s="135"/>
      <c r="K2884" s="112"/>
      <c r="L2884" s="37"/>
      <c r="M2884" s="37"/>
      <c r="N2884" s="37"/>
      <c r="O2884" s="130"/>
      <c r="P2884" s="132"/>
      <c r="Q2884" s="262"/>
      <c r="R2884" s="92"/>
    </row>
    <row r="2885" spans="3:18" x14ac:dyDescent="0.25">
      <c r="C2885" s="264"/>
      <c r="D2885" s="157"/>
      <c r="E2885" s="44"/>
      <c r="F2885" s="146"/>
      <c r="G2885" s="1"/>
      <c r="H2885" s="161"/>
      <c r="I2885" s="37"/>
      <c r="J2885" s="135"/>
      <c r="K2885" s="112"/>
      <c r="L2885" s="37"/>
      <c r="M2885" s="37"/>
      <c r="N2885" s="37"/>
      <c r="O2885" s="130"/>
      <c r="P2885" s="132"/>
      <c r="Q2885" s="262"/>
      <c r="R2885" s="92"/>
    </row>
    <row r="2886" spans="3:18" x14ac:dyDescent="0.25">
      <c r="C2886" s="264"/>
      <c r="D2886" s="157"/>
      <c r="E2886" s="44"/>
      <c r="F2886" s="146"/>
      <c r="G2886" s="1"/>
      <c r="H2886" s="161"/>
      <c r="I2886" s="37"/>
      <c r="J2886" s="135"/>
      <c r="K2886" s="112"/>
      <c r="L2886" s="37"/>
      <c r="M2886" s="37"/>
      <c r="N2886" s="37"/>
      <c r="O2886" s="130"/>
      <c r="P2886" s="132"/>
      <c r="Q2886" s="262"/>
      <c r="R2886" s="92"/>
    </row>
    <row r="2887" spans="3:18" x14ac:dyDescent="0.25">
      <c r="C2887" s="264"/>
      <c r="D2887" s="157"/>
      <c r="E2887" s="44"/>
      <c r="F2887" s="146"/>
      <c r="G2887" s="1"/>
      <c r="H2887" s="161"/>
      <c r="I2887" s="37"/>
      <c r="J2887" s="135"/>
      <c r="K2887" s="112"/>
      <c r="L2887" s="37"/>
      <c r="M2887" s="37"/>
      <c r="N2887" s="37"/>
      <c r="O2887" s="130"/>
      <c r="P2887" s="132"/>
      <c r="Q2887" s="262"/>
      <c r="R2887" s="92"/>
    </row>
    <row r="2888" spans="3:18" x14ac:dyDescent="0.25">
      <c r="C2888" s="264"/>
      <c r="D2888" s="157"/>
      <c r="E2888" s="44"/>
      <c r="F2888" s="146"/>
      <c r="G2888" s="1"/>
      <c r="H2888" s="161"/>
      <c r="I2888" s="37"/>
      <c r="J2888" s="135"/>
      <c r="K2888" s="112"/>
      <c r="L2888" s="37"/>
      <c r="M2888" s="37"/>
      <c r="N2888" s="37"/>
      <c r="O2888" s="130"/>
      <c r="P2888" s="132"/>
      <c r="Q2888" s="262"/>
      <c r="R2888" s="92"/>
    </row>
    <row r="2889" spans="3:18" x14ac:dyDescent="0.25">
      <c r="C2889" s="264"/>
      <c r="D2889" s="157"/>
      <c r="E2889" s="44"/>
      <c r="F2889" s="146"/>
      <c r="G2889" s="1"/>
      <c r="H2889" s="161"/>
      <c r="I2889" s="37"/>
      <c r="J2889" s="135"/>
      <c r="K2889" s="112"/>
      <c r="L2889" s="37"/>
      <c r="M2889" s="37"/>
      <c r="N2889" s="37"/>
      <c r="O2889" s="130"/>
      <c r="P2889" s="132"/>
      <c r="Q2889" s="262"/>
      <c r="R2889" s="92"/>
    </row>
    <row r="2890" spans="3:18" x14ac:dyDescent="0.25">
      <c r="C2890" s="264"/>
      <c r="D2890" s="157"/>
      <c r="E2890" s="44"/>
      <c r="F2890" s="146"/>
      <c r="G2890" s="1"/>
      <c r="H2890" s="161"/>
      <c r="I2890" s="37"/>
      <c r="J2890" s="135"/>
      <c r="K2890" s="112"/>
      <c r="L2890" s="37"/>
      <c r="M2890" s="37"/>
      <c r="N2890" s="37"/>
      <c r="O2890" s="130"/>
      <c r="P2890" s="132"/>
      <c r="Q2890" s="262"/>
      <c r="R2890" s="92"/>
    </row>
    <row r="2891" spans="3:18" x14ac:dyDescent="0.25">
      <c r="C2891" s="264"/>
      <c r="D2891" s="157"/>
      <c r="E2891" s="44"/>
      <c r="F2891" s="146"/>
      <c r="G2891" s="1"/>
      <c r="H2891" s="161"/>
      <c r="I2891" s="37"/>
      <c r="J2891" s="135"/>
      <c r="K2891" s="112"/>
      <c r="L2891" s="37"/>
      <c r="M2891" s="37"/>
      <c r="N2891" s="37"/>
      <c r="O2891" s="130"/>
      <c r="P2891" s="132"/>
      <c r="Q2891" s="262"/>
      <c r="R2891" s="92"/>
    </row>
    <row r="2892" spans="3:18" x14ac:dyDescent="0.25">
      <c r="C2892" s="264"/>
      <c r="D2892" s="157"/>
      <c r="E2892" s="44"/>
      <c r="F2892" s="146"/>
      <c r="G2892" s="1"/>
      <c r="H2892" s="161"/>
      <c r="I2892" s="37"/>
      <c r="J2892" s="135"/>
      <c r="K2892" s="112"/>
      <c r="L2892" s="37"/>
      <c r="M2892" s="37"/>
      <c r="N2892" s="37"/>
      <c r="O2892" s="130"/>
      <c r="P2892" s="132"/>
      <c r="Q2892" s="262"/>
      <c r="R2892" s="92"/>
    </row>
    <row r="2893" spans="3:18" x14ac:dyDescent="0.25">
      <c r="C2893" s="264"/>
      <c r="D2893" s="157"/>
      <c r="E2893" s="44"/>
      <c r="F2893" s="146"/>
      <c r="G2893" s="1"/>
      <c r="H2893" s="161"/>
      <c r="I2893" s="37"/>
      <c r="J2893" s="135"/>
      <c r="K2893" s="112"/>
      <c r="L2893" s="37"/>
      <c r="M2893" s="37"/>
      <c r="N2893" s="37"/>
      <c r="O2893" s="130"/>
      <c r="P2893" s="132"/>
      <c r="Q2893" s="262"/>
      <c r="R2893" s="92"/>
    </row>
    <row r="2894" spans="3:18" x14ac:dyDescent="0.25">
      <c r="C2894" s="264"/>
      <c r="D2894" s="157"/>
      <c r="E2894" s="44"/>
      <c r="F2894" s="146"/>
      <c r="G2894" s="1"/>
      <c r="H2894" s="161"/>
      <c r="I2894" s="37"/>
      <c r="J2894" s="135"/>
      <c r="K2894" s="112"/>
      <c r="L2894" s="37"/>
      <c r="M2894" s="37"/>
      <c r="N2894" s="37"/>
      <c r="O2894" s="130"/>
      <c r="P2894" s="132"/>
      <c r="Q2894" s="262"/>
      <c r="R2894" s="92"/>
    </row>
    <row r="2895" spans="3:18" x14ac:dyDescent="0.25">
      <c r="C2895" s="264"/>
      <c r="D2895" s="157"/>
      <c r="E2895" s="44"/>
      <c r="F2895" s="146"/>
      <c r="G2895" s="1"/>
      <c r="H2895" s="161"/>
      <c r="I2895" s="37"/>
      <c r="J2895" s="135"/>
      <c r="K2895" s="112"/>
      <c r="L2895" s="37"/>
      <c r="M2895" s="37"/>
      <c r="N2895" s="37"/>
      <c r="O2895" s="130"/>
      <c r="P2895" s="132"/>
      <c r="Q2895" s="262"/>
      <c r="R2895" s="92"/>
    </row>
    <row r="2896" spans="3:18" x14ac:dyDescent="0.25">
      <c r="C2896" s="264"/>
      <c r="D2896" s="157"/>
      <c r="E2896" s="44"/>
      <c r="F2896" s="146"/>
      <c r="G2896" s="1"/>
      <c r="H2896" s="161"/>
      <c r="I2896" s="37"/>
      <c r="J2896" s="135"/>
      <c r="K2896" s="112"/>
      <c r="L2896" s="37"/>
      <c r="M2896" s="37"/>
      <c r="N2896" s="37"/>
      <c r="O2896" s="130"/>
      <c r="P2896" s="132"/>
      <c r="Q2896" s="262"/>
      <c r="R2896" s="92"/>
    </row>
    <row r="2897" spans="3:18" x14ac:dyDescent="0.25">
      <c r="C2897" s="264"/>
      <c r="D2897" s="157"/>
      <c r="E2897" s="44"/>
      <c r="F2897" s="146"/>
      <c r="G2897" s="1"/>
      <c r="H2897" s="161"/>
      <c r="I2897" s="37"/>
      <c r="J2897" s="135"/>
      <c r="K2897" s="112"/>
      <c r="L2897" s="37"/>
      <c r="M2897" s="37"/>
      <c r="N2897" s="37"/>
      <c r="O2897" s="130"/>
      <c r="P2897" s="132"/>
      <c r="Q2897" s="262"/>
      <c r="R2897" s="92"/>
    </row>
    <row r="2898" spans="3:18" x14ac:dyDescent="0.25">
      <c r="C2898" s="264"/>
      <c r="D2898" s="157"/>
      <c r="E2898" s="44"/>
      <c r="F2898" s="146"/>
      <c r="G2898" s="1"/>
      <c r="H2898" s="161"/>
      <c r="I2898" s="37"/>
      <c r="J2898" s="135"/>
      <c r="K2898" s="112"/>
      <c r="L2898" s="37"/>
      <c r="M2898" s="37"/>
      <c r="N2898" s="37"/>
      <c r="O2898" s="130"/>
      <c r="P2898" s="132"/>
      <c r="Q2898" s="262"/>
      <c r="R2898" s="92"/>
    </row>
    <row r="2899" spans="3:18" x14ac:dyDescent="0.25">
      <c r="C2899" s="264"/>
      <c r="D2899" s="157"/>
      <c r="E2899" s="44"/>
      <c r="F2899" s="146"/>
      <c r="G2899" s="1"/>
      <c r="H2899" s="161"/>
      <c r="I2899" s="37"/>
      <c r="J2899" s="135"/>
      <c r="K2899" s="112"/>
      <c r="L2899" s="37"/>
      <c r="M2899" s="37"/>
      <c r="N2899" s="37"/>
      <c r="O2899" s="130"/>
      <c r="P2899" s="132"/>
      <c r="Q2899" s="262"/>
      <c r="R2899" s="92"/>
    </row>
    <row r="2900" spans="3:18" x14ac:dyDescent="0.25">
      <c r="C2900" s="264"/>
      <c r="D2900" s="157"/>
      <c r="E2900" s="44"/>
      <c r="F2900" s="146"/>
      <c r="G2900" s="1"/>
      <c r="H2900" s="161"/>
      <c r="I2900" s="37"/>
      <c r="J2900" s="135"/>
      <c r="K2900" s="112"/>
      <c r="L2900" s="37"/>
      <c r="M2900" s="37"/>
      <c r="N2900" s="37"/>
      <c r="O2900" s="130"/>
      <c r="P2900" s="132"/>
      <c r="Q2900" s="262"/>
      <c r="R2900" s="92"/>
    </row>
    <row r="2901" spans="3:18" x14ac:dyDescent="0.25">
      <c r="C2901" s="264"/>
      <c r="D2901" s="157"/>
      <c r="E2901" s="44"/>
      <c r="F2901" s="146"/>
      <c r="G2901" s="1"/>
      <c r="H2901" s="161"/>
      <c r="I2901" s="37"/>
      <c r="J2901" s="135"/>
      <c r="K2901" s="112"/>
      <c r="L2901" s="37"/>
      <c r="M2901" s="37"/>
      <c r="N2901" s="37"/>
      <c r="O2901" s="130"/>
      <c r="P2901" s="132"/>
      <c r="Q2901" s="262"/>
      <c r="R2901" s="92"/>
    </row>
    <row r="2902" spans="3:18" x14ac:dyDescent="0.25">
      <c r="C2902" s="264"/>
      <c r="D2902" s="157"/>
      <c r="E2902" s="44"/>
      <c r="F2902" s="146"/>
      <c r="G2902" s="1"/>
      <c r="H2902" s="161"/>
      <c r="I2902" s="37"/>
      <c r="J2902" s="135"/>
      <c r="K2902" s="112"/>
      <c r="L2902" s="37"/>
      <c r="M2902" s="37"/>
      <c r="N2902" s="37"/>
      <c r="O2902" s="130"/>
      <c r="P2902" s="132"/>
      <c r="Q2902" s="262"/>
      <c r="R2902" s="92"/>
    </row>
    <row r="2903" spans="3:18" x14ac:dyDescent="0.25">
      <c r="C2903" s="264"/>
      <c r="D2903" s="157"/>
      <c r="E2903" s="44"/>
      <c r="F2903" s="146"/>
      <c r="G2903" s="1"/>
      <c r="H2903" s="161"/>
      <c r="I2903" s="37"/>
      <c r="J2903" s="135"/>
      <c r="K2903" s="112"/>
      <c r="L2903" s="37"/>
      <c r="M2903" s="37"/>
      <c r="N2903" s="37"/>
      <c r="O2903" s="130"/>
      <c r="P2903" s="132"/>
      <c r="Q2903" s="262"/>
      <c r="R2903" s="92"/>
    </row>
    <row r="2904" spans="3:18" x14ac:dyDescent="0.25">
      <c r="C2904" s="264"/>
      <c r="D2904" s="157"/>
      <c r="E2904" s="44"/>
      <c r="F2904" s="146"/>
      <c r="G2904" s="1"/>
      <c r="H2904" s="161"/>
      <c r="I2904" s="37"/>
      <c r="J2904" s="135"/>
      <c r="K2904" s="112"/>
      <c r="L2904" s="37"/>
      <c r="M2904" s="37"/>
      <c r="N2904" s="37"/>
      <c r="O2904" s="130"/>
      <c r="P2904" s="132"/>
      <c r="Q2904" s="262"/>
      <c r="R2904" s="92"/>
    </row>
    <row r="2905" spans="3:18" x14ac:dyDescent="0.25">
      <c r="C2905" s="264"/>
      <c r="D2905" s="157"/>
      <c r="E2905" s="44"/>
      <c r="F2905" s="146"/>
      <c r="G2905" s="1"/>
      <c r="H2905" s="161"/>
      <c r="I2905" s="37"/>
      <c r="J2905" s="135"/>
      <c r="K2905" s="112"/>
      <c r="L2905" s="37"/>
      <c r="M2905" s="37"/>
      <c r="N2905" s="37"/>
      <c r="O2905" s="130"/>
      <c r="P2905" s="132"/>
      <c r="Q2905" s="262"/>
      <c r="R2905" s="92"/>
    </row>
    <row r="2906" spans="3:18" x14ac:dyDescent="0.25">
      <c r="C2906" s="264"/>
      <c r="D2906" s="157"/>
      <c r="E2906" s="44"/>
      <c r="F2906" s="146"/>
      <c r="G2906" s="1"/>
      <c r="H2906" s="161"/>
      <c r="I2906" s="37"/>
      <c r="J2906" s="135"/>
      <c r="K2906" s="112"/>
      <c r="L2906" s="37"/>
      <c r="M2906" s="37"/>
      <c r="N2906" s="37"/>
      <c r="O2906" s="130"/>
      <c r="P2906" s="132"/>
      <c r="Q2906" s="262"/>
      <c r="R2906" s="92"/>
    </row>
    <row r="2907" spans="3:18" x14ac:dyDescent="0.25">
      <c r="C2907" s="264"/>
      <c r="D2907" s="157"/>
      <c r="E2907" s="44"/>
      <c r="F2907" s="146"/>
      <c r="G2907" s="1"/>
      <c r="H2907" s="161"/>
      <c r="I2907" s="37"/>
      <c r="J2907" s="135"/>
      <c r="K2907" s="112"/>
      <c r="L2907" s="37"/>
      <c r="M2907" s="37"/>
      <c r="N2907" s="37"/>
      <c r="O2907" s="130"/>
      <c r="P2907" s="132"/>
      <c r="Q2907" s="262"/>
      <c r="R2907" s="92"/>
    </row>
    <row r="2908" spans="3:18" x14ac:dyDescent="0.25">
      <c r="C2908" s="264"/>
      <c r="D2908" s="157"/>
      <c r="E2908" s="44"/>
      <c r="F2908" s="146"/>
      <c r="G2908" s="1"/>
      <c r="H2908" s="161"/>
      <c r="I2908" s="37"/>
      <c r="J2908" s="135"/>
      <c r="K2908" s="112"/>
      <c r="L2908" s="37"/>
      <c r="M2908" s="37"/>
      <c r="N2908" s="37"/>
      <c r="O2908" s="130"/>
      <c r="P2908" s="132"/>
      <c r="Q2908" s="262"/>
      <c r="R2908" s="92"/>
    </row>
    <row r="2909" spans="3:18" x14ac:dyDescent="0.25">
      <c r="C2909" s="264"/>
      <c r="D2909" s="157"/>
      <c r="E2909" s="44"/>
      <c r="F2909" s="146"/>
      <c r="G2909" s="1"/>
      <c r="H2909" s="161"/>
      <c r="I2909" s="37"/>
      <c r="J2909" s="135"/>
      <c r="K2909" s="112"/>
      <c r="L2909" s="37"/>
      <c r="M2909" s="37"/>
      <c r="N2909" s="37"/>
      <c r="O2909" s="130"/>
      <c r="P2909" s="132"/>
      <c r="Q2909" s="262"/>
      <c r="R2909" s="92"/>
    </row>
    <row r="2910" spans="3:18" x14ac:dyDescent="0.25">
      <c r="C2910" s="264"/>
      <c r="D2910" s="157"/>
      <c r="E2910" s="44"/>
      <c r="F2910" s="146"/>
      <c r="G2910" s="1"/>
      <c r="H2910" s="161"/>
      <c r="I2910" s="37"/>
      <c r="J2910" s="135"/>
      <c r="K2910" s="112"/>
      <c r="L2910" s="37"/>
      <c r="M2910" s="37"/>
      <c r="N2910" s="37"/>
      <c r="O2910" s="130"/>
      <c r="P2910" s="132"/>
      <c r="Q2910" s="262"/>
      <c r="R2910" s="92"/>
    </row>
    <row r="2911" spans="3:18" x14ac:dyDescent="0.25">
      <c r="C2911" s="264"/>
      <c r="D2911" s="157"/>
      <c r="E2911" s="44"/>
      <c r="F2911" s="146"/>
      <c r="G2911" s="1"/>
      <c r="H2911" s="161"/>
      <c r="I2911" s="37"/>
      <c r="J2911" s="135"/>
      <c r="K2911" s="112"/>
      <c r="L2911" s="37"/>
      <c r="M2911" s="37"/>
      <c r="N2911" s="37"/>
      <c r="O2911" s="130"/>
      <c r="P2911" s="132"/>
      <c r="Q2911" s="262"/>
      <c r="R2911" s="92"/>
    </row>
    <row r="2912" spans="3:18" x14ac:dyDescent="0.25">
      <c r="C2912" s="264"/>
      <c r="D2912" s="157"/>
      <c r="E2912" s="44"/>
      <c r="F2912" s="146"/>
      <c r="G2912" s="1"/>
      <c r="H2912" s="161"/>
      <c r="I2912" s="37"/>
      <c r="J2912" s="135"/>
      <c r="K2912" s="112"/>
      <c r="L2912" s="37"/>
      <c r="M2912" s="37"/>
      <c r="N2912" s="37"/>
      <c r="O2912" s="130"/>
      <c r="P2912" s="132"/>
      <c r="Q2912" s="262"/>
      <c r="R2912" s="92"/>
    </row>
    <row r="2913" spans="3:18" x14ac:dyDescent="0.25">
      <c r="C2913" s="264"/>
      <c r="D2913" s="157"/>
      <c r="E2913" s="44"/>
      <c r="F2913" s="146"/>
      <c r="G2913" s="1"/>
      <c r="H2913" s="161"/>
      <c r="I2913" s="37"/>
      <c r="J2913" s="135"/>
      <c r="K2913" s="112"/>
      <c r="L2913" s="37"/>
      <c r="M2913" s="37"/>
      <c r="N2913" s="37"/>
      <c r="O2913" s="130"/>
      <c r="P2913" s="132"/>
      <c r="Q2913" s="262"/>
      <c r="R2913" s="92"/>
    </row>
    <row r="2914" spans="3:18" x14ac:dyDescent="0.25">
      <c r="C2914" s="264"/>
      <c r="D2914" s="157"/>
      <c r="E2914" s="44"/>
      <c r="F2914" s="146"/>
      <c r="G2914" s="1"/>
      <c r="H2914" s="161"/>
      <c r="I2914" s="37"/>
      <c r="J2914" s="135"/>
      <c r="K2914" s="112"/>
      <c r="L2914" s="37"/>
      <c r="M2914" s="37"/>
      <c r="N2914" s="37"/>
      <c r="O2914" s="130"/>
      <c r="P2914" s="132"/>
      <c r="Q2914" s="262"/>
      <c r="R2914" s="92"/>
    </row>
    <row r="2915" spans="3:18" x14ac:dyDescent="0.25">
      <c r="C2915" s="264"/>
      <c r="D2915" s="157"/>
      <c r="E2915" s="44"/>
      <c r="F2915" s="146"/>
      <c r="G2915" s="1"/>
      <c r="H2915" s="161"/>
      <c r="I2915" s="37"/>
      <c r="J2915" s="135"/>
      <c r="K2915" s="112"/>
      <c r="L2915" s="37"/>
      <c r="M2915" s="37"/>
      <c r="N2915" s="37"/>
      <c r="O2915" s="130"/>
      <c r="P2915" s="132"/>
      <c r="Q2915" s="262"/>
      <c r="R2915" s="92"/>
    </row>
    <row r="2916" spans="3:18" x14ac:dyDescent="0.25">
      <c r="C2916" s="264"/>
      <c r="D2916" s="157"/>
      <c r="E2916" s="44"/>
      <c r="F2916" s="146"/>
      <c r="G2916" s="1"/>
      <c r="H2916" s="161"/>
      <c r="I2916" s="37"/>
      <c r="J2916" s="135"/>
      <c r="K2916" s="112"/>
      <c r="L2916" s="37"/>
      <c r="M2916" s="37"/>
      <c r="N2916" s="37"/>
      <c r="O2916" s="130"/>
      <c r="P2916" s="132"/>
      <c r="Q2916" s="262"/>
      <c r="R2916" s="92"/>
    </row>
    <row r="2917" spans="3:18" x14ac:dyDescent="0.25">
      <c r="C2917" s="264"/>
      <c r="D2917" s="157"/>
      <c r="E2917" s="44"/>
      <c r="F2917" s="146"/>
      <c r="G2917" s="1"/>
      <c r="H2917" s="161"/>
      <c r="I2917" s="37"/>
      <c r="J2917" s="135"/>
      <c r="K2917" s="112"/>
      <c r="L2917" s="37"/>
      <c r="M2917" s="37"/>
      <c r="N2917" s="37"/>
      <c r="O2917" s="130"/>
      <c r="P2917" s="132"/>
      <c r="Q2917" s="262"/>
      <c r="R2917" s="92"/>
    </row>
    <row r="2918" spans="3:18" x14ac:dyDescent="0.25">
      <c r="C2918" s="264"/>
      <c r="D2918" s="157"/>
      <c r="E2918" s="44"/>
      <c r="F2918" s="146"/>
      <c r="G2918" s="1"/>
      <c r="H2918" s="161"/>
      <c r="I2918" s="37"/>
      <c r="J2918" s="135"/>
      <c r="K2918" s="112"/>
      <c r="L2918" s="37"/>
      <c r="M2918" s="37"/>
      <c r="N2918" s="37"/>
      <c r="O2918" s="130"/>
      <c r="P2918" s="132"/>
      <c r="Q2918" s="262"/>
      <c r="R2918" s="92"/>
    </row>
    <row r="2919" spans="3:18" x14ac:dyDescent="0.25">
      <c r="C2919" s="264"/>
      <c r="D2919" s="157"/>
      <c r="E2919" s="44"/>
      <c r="F2919" s="146"/>
      <c r="G2919" s="1"/>
      <c r="H2919" s="161"/>
      <c r="I2919" s="37"/>
      <c r="J2919" s="135"/>
      <c r="K2919" s="112"/>
      <c r="L2919" s="37"/>
      <c r="M2919" s="37"/>
      <c r="N2919" s="37"/>
      <c r="O2919" s="130"/>
      <c r="P2919" s="132"/>
      <c r="Q2919" s="262"/>
      <c r="R2919" s="92"/>
    </row>
    <row r="2920" spans="3:18" x14ac:dyDescent="0.25">
      <c r="C2920" s="264"/>
      <c r="D2920" s="157"/>
      <c r="E2920" s="44"/>
      <c r="F2920" s="146"/>
      <c r="G2920" s="1"/>
      <c r="H2920" s="161"/>
      <c r="I2920" s="37"/>
      <c r="J2920" s="135"/>
      <c r="K2920" s="112"/>
      <c r="L2920" s="37"/>
      <c r="M2920" s="37"/>
      <c r="N2920" s="37"/>
      <c r="O2920" s="130"/>
      <c r="P2920" s="132"/>
      <c r="Q2920" s="262"/>
      <c r="R2920" s="92"/>
    </row>
    <row r="2921" spans="3:18" x14ac:dyDescent="0.25">
      <c r="C2921" s="264"/>
      <c r="D2921" s="157"/>
      <c r="E2921" s="44"/>
      <c r="F2921" s="146"/>
      <c r="G2921" s="1"/>
      <c r="H2921" s="161"/>
      <c r="I2921" s="37"/>
      <c r="J2921" s="135"/>
      <c r="K2921" s="112"/>
      <c r="L2921" s="37"/>
      <c r="M2921" s="37"/>
      <c r="N2921" s="37"/>
      <c r="O2921" s="130"/>
      <c r="P2921" s="132"/>
      <c r="Q2921" s="262"/>
      <c r="R2921" s="92"/>
    </row>
    <row r="2922" spans="3:18" x14ac:dyDescent="0.25">
      <c r="C2922" s="264"/>
      <c r="D2922" s="157"/>
      <c r="E2922" s="44"/>
      <c r="F2922" s="146"/>
      <c r="G2922" s="1"/>
      <c r="H2922" s="161"/>
      <c r="I2922" s="37"/>
      <c r="J2922" s="135"/>
      <c r="K2922" s="112"/>
      <c r="L2922" s="37"/>
      <c r="M2922" s="37"/>
      <c r="N2922" s="37"/>
      <c r="O2922" s="130"/>
      <c r="P2922" s="132"/>
      <c r="Q2922" s="262"/>
      <c r="R2922" s="92"/>
    </row>
    <row r="2923" spans="3:18" x14ac:dyDescent="0.25">
      <c r="C2923" s="264"/>
      <c r="D2923" s="157"/>
      <c r="E2923" s="44"/>
      <c r="F2923" s="146"/>
      <c r="G2923" s="1"/>
      <c r="H2923" s="161"/>
      <c r="I2923" s="37"/>
      <c r="J2923" s="135"/>
      <c r="K2923" s="112"/>
      <c r="L2923" s="37"/>
      <c r="M2923" s="37"/>
      <c r="N2923" s="37"/>
      <c r="O2923" s="130"/>
      <c r="P2923" s="132"/>
      <c r="Q2923" s="262"/>
      <c r="R2923" s="92"/>
    </row>
    <row r="2924" spans="3:18" x14ac:dyDescent="0.25">
      <c r="C2924" s="264"/>
      <c r="D2924" s="157"/>
      <c r="E2924" s="44"/>
      <c r="F2924" s="146"/>
      <c r="G2924" s="1"/>
      <c r="H2924" s="161"/>
      <c r="I2924" s="37"/>
      <c r="J2924" s="135"/>
      <c r="K2924" s="112"/>
      <c r="L2924" s="37"/>
      <c r="M2924" s="37"/>
      <c r="N2924" s="37"/>
      <c r="O2924" s="130"/>
      <c r="P2924" s="132"/>
      <c r="Q2924" s="262"/>
      <c r="R2924" s="92"/>
    </row>
    <row r="2925" spans="3:18" x14ac:dyDescent="0.25">
      <c r="C2925" s="264"/>
      <c r="D2925" s="157"/>
      <c r="E2925" s="44"/>
      <c r="F2925" s="146"/>
      <c r="G2925" s="1"/>
      <c r="H2925" s="161"/>
      <c r="I2925" s="37"/>
      <c r="J2925" s="135"/>
      <c r="K2925" s="112"/>
      <c r="L2925" s="37"/>
      <c r="M2925" s="37"/>
      <c r="N2925" s="37"/>
      <c r="O2925" s="130"/>
      <c r="P2925" s="132"/>
      <c r="Q2925" s="262"/>
      <c r="R2925" s="92"/>
    </row>
    <row r="2926" spans="3:18" x14ac:dyDescent="0.25">
      <c r="C2926" s="264"/>
      <c r="D2926" s="157"/>
      <c r="E2926" s="44"/>
      <c r="F2926" s="146"/>
      <c r="G2926" s="1"/>
      <c r="H2926" s="161"/>
      <c r="I2926" s="37"/>
      <c r="J2926" s="135"/>
      <c r="K2926" s="112"/>
      <c r="L2926" s="37"/>
      <c r="M2926" s="37"/>
      <c r="N2926" s="37"/>
      <c r="O2926" s="130"/>
      <c r="P2926" s="132"/>
      <c r="Q2926" s="262"/>
      <c r="R2926" s="92"/>
    </row>
    <row r="2927" spans="3:18" x14ac:dyDescent="0.25">
      <c r="C2927" s="264"/>
      <c r="D2927" s="157"/>
      <c r="E2927" s="44"/>
      <c r="F2927" s="146"/>
      <c r="G2927" s="1"/>
      <c r="H2927" s="161"/>
      <c r="I2927" s="37"/>
      <c r="J2927" s="135"/>
      <c r="K2927" s="112"/>
      <c r="L2927" s="37"/>
      <c r="M2927" s="37"/>
      <c r="N2927" s="37"/>
      <c r="O2927" s="130"/>
      <c r="P2927" s="132"/>
      <c r="Q2927" s="262"/>
      <c r="R2927" s="92"/>
    </row>
    <row r="2928" spans="3:18" x14ac:dyDescent="0.25">
      <c r="C2928" s="264"/>
      <c r="D2928" s="157"/>
      <c r="E2928" s="44"/>
      <c r="F2928" s="146"/>
      <c r="G2928" s="1"/>
      <c r="H2928" s="161"/>
      <c r="I2928" s="37"/>
      <c r="J2928" s="135"/>
      <c r="K2928" s="112"/>
      <c r="L2928" s="37"/>
      <c r="M2928" s="37"/>
      <c r="N2928" s="37"/>
      <c r="O2928" s="130"/>
      <c r="P2928" s="132"/>
      <c r="Q2928" s="262"/>
      <c r="R2928" s="92"/>
    </row>
    <row r="2929" spans="3:18" x14ac:dyDescent="0.25">
      <c r="C2929" s="264"/>
      <c r="D2929" s="157"/>
      <c r="E2929" s="44"/>
      <c r="F2929" s="146"/>
      <c r="G2929" s="1"/>
      <c r="H2929" s="161"/>
      <c r="I2929" s="37"/>
      <c r="J2929" s="135"/>
      <c r="K2929" s="112"/>
      <c r="L2929" s="37"/>
      <c r="M2929" s="37"/>
      <c r="N2929" s="37"/>
      <c r="O2929" s="130"/>
      <c r="P2929" s="132"/>
      <c r="Q2929" s="262"/>
      <c r="R2929" s="92"/>
    </row>
    <row r="2930" spans="3:18" x14ac:dyDescent="0.25">
      <c r="C2930" s="264"/>
      <c r="D2930" s="157"/>
      <c r="E2930" s="44"/>
      <c r="F2930" s="146"/>
      <c r="G2930" s="1"/>
      <c r="H2930" s="161"/>
      <c r="I2930" s="37"/>
      <c r="J2930" s="135"/>
      <c r="K2930" s="112"/>
      <c r="L2930" s="37"/>
      <c r="M2930" s="37"/>
      <c r="N2930" s="37"/>
      <c r="O2930" s="130"/>
      <c r="P2930" s="132"/>
      <c r="Q2930" s="262"/>
      <c r="R2930" s="92"/>
    </row>
    <row r="2931" spans="3:18" x14ac:dyDescent="0.25">
      <c r="C2931" s="264"/>
      <c r="D2931" s="157"/>
      <c r="E2931" s="44"/>
      <c r="F2931" s="146"/>
      <c r="G2931" s="1"/>
      <c r="H2931" s="161"/>
      <c r="I2931" s="37"/>
      <c r="J2931" s="135"/>
      <c r="K2931" s="112"/>
      <c r="L2931" s="37"/>
      <c r="M2931" s="37"/>
      <c r="N2931" s="37"/>
      <c r="O2931" s="130"/>
      <c r="P2931" s="132"/>
      <c r="Q2931" s="262"/>
      <c r="R2931" s="92"/>
    </row>
    <row r="2932" spans="3:18" x14ac:dyDescent="0.25">
      <c r="C2932" s="264"/>
      <c r="D2932" s="157"/>
      <c r="E2932" s="44"/>
      <c r="F2932" s="146"/>
      <c r="G2932" s="1"/>
      <c r="H2932" s="161"/>
      <c r="I2932" s="37"/>
      <c r="J2932" s="135"/>
      <c r="K2932" s="112"/>
      <c r="L2932" s="37"/>
      <c r="M2932" s="37"/>
      <c r="N2932" s="37"/>
      <c r="O2932" s="130"/>
      <c r="P2932" s="132"/>
      <c r="Q2932" s="262"/>
      <c r="R2932" s="92"/>
    </row>
    <row r="2933" spans="3:18" x14ac:dyDescent="0.25">
      <c r="C2933" s="264"/>
      <c r="D2933" s="157"/>
      <c r="E2933" s="44"/>
      <c r="F2933" s="146"/>
      <c r="G2933" s="1"/>
      <c r="H2933" s="161"/>
      <c r="I2933" s="37"/>
      <c r="J2933" s="135"/>
      <c r="K2933" s="112"/>
      <c r="L2933" s="37"/>
      <c r="M2933" s="37"/>
      <c r="N2933" s="37"/>
      <c r="O2933" s="130"/>
      <c r="P2933" s="132"/>
      <c r="Q2933" s="262"/>
      <c r="R2933" s="92"/>
    </row>
    <row r="2934" spans="3:18" x14ac:dyDescent="0.25">
      <c r="C2934" s="264"/>
      <c r="D2934" s="157"/>
      <c r="E2934" s="44"/>
      <c r="F2934" s="146"/>
      <c r="G2934" s="1"/>
      <c r="H2934" s="161"/>
      <c r="I2934" s="37"/>
      <c r="J2934" s="135"/>
      <c r="K2934" s="112"/>
      <c r="L2934" s="37"/>
      <c r="M2934" s="37"/>
      <c r="N2934" s="37"/>
      <c r="O2934" s="130"/>
      <c r="P2934" s="132"/>
      <c r="Q2934" s="262"/>
      <c r="R2934" s="92"/>
    </row>
    <row r="2935" spans="3:18" x14ac:dyDescent="0.25">
      <c r="C2935" s="264"/>
      <c r="D2935" s="157"/>
      <c r="E2935" s="44"/>
      <c r="F2935" s="146"/>
      <c r="G2935" s="1"/>
      <c r="H2935" s="161"/>
      <c r="I2935" s="37"/>
      <c r="J2935" s="135"/>
      <c r="K2935" s="112"/>
      <c r="L2935" s="37"/>
      <c r="M2935" s="37"/>
      <c r="N2935" s="37"/>
      <c r="O2935" s="130"/>
      <c r="P2935" s="132"/>
      <c r="Q2935" s="262"/>
      <c r="R2935" s="92"/>
    </row>
    <row r="2936" spans="3:18" x14ac:dyDescent="0.25">
      <c r="C2936" s="264"/>
      <c r="D2936" s="157"/>
      <c r="E2936" s="44"/>
      <c r="F2936" s="146"/>
      <c r="G2936" s="1"/>
      <c r="H2936" s="161"/>
      <c r="I2936" s="37"/>
      <c r="J2936" s="135"/>
      <c r="K2936" s="112"/>
      <c r="L2936" s="37"/>
      <c r="M2936" s="37"/>
      <c r="N2936" s="37"/>
      <c r="O2936" s="130"/>
      <c r="P2936" s="132"/>
      <c r="Q2936" s="262"/>
      <c r="R2936" s="92"/>
    </row>
    <row r="2937" spans="3:18" x14ac:dyDescent="0.25">
      <c r="C2937" s="264"/>
      <c r="D2937" s="157"/>
      <c r="E2937" s="44"/>
      <c r="F2937" s="146"/>
      <c r="G2937" s="1"/>
      <c r="H2937" s="161"/>
      <c r="I2937" s="37"/>
      <c r="J2937" s="135"/>
      <c r="K2937" s="112"/>
      <c r="L2937" s="37"/>
      <c r="M2937" s="37"/>
      <c r="N2937" s="37"/>
      <c r="O2937" s="130"/>
      <c r="P2937" s="132"/>
      <c r="Q2937" s="262"/>
      <c r="R2937" s="92"/>
    </row>
    <row r="2938" spans="3:18" x14ac:dyDescent="0.25">
      <c r="C2938" s="264"/>
      <c r="D2938" s="157"/>
      <c r="E2938" s="44"/>
      <c r="F2938" s="146"/>
      <c r="G2938" s="1"/>
      <c r="H2938" s="161"/>
      <c r="I2938" s="37"/>
      <c r="J2938" s="135"/>
      <c r="K2938" s="112"/>
      <c r="L2938" s="37"/>
      <c r="M2938" s="37"/>
      <c r="N2938" s="37"/>
      <c r="O2938" s="130"/>
      <c r="P2938" s="132"/>
      <c r="Q2938" s="262"/>
      <c r="R2938" s="92"/>
    </row>
    <row r="2939" spans="3:18" x14ac:dyDescent="0.25">
      <c r="C2939" s="264"/>
      <c r="D2939" s="157"/>
      <c r="E2939" s="44"/>
      <c r="F2939" s="146"/>
      <c r="G2939" s="1"/>
      <c r="H2939" s="161"/>
      <c r="I2939" s="37"/>
      <c r="J2939" s="135"/>
      <c r="K2939" s="112"/>
      <c r="L2939" s="37"/>
      <c r="M2939" s="37"/>
      <c r="N2939" s="37"/>
      <c r="O2939" s="130"/>
      <c r="P2939" s="132"/>
      <c r="Q2939" s="262"/>
      <c r="R2939" s="92"/>
    </row>
    <row r="2940" spans="3:18" x14ac:dyDescent="0.25">
      <c r="C2940" s="264"/>
      <c r="D2940" s="157"/>
      <c r="E2940" s="44"/>
      <c r="F2940" s="146"/>
      <c r="G2940" s="1"/>
      <c r="H2940" s="161"/>
      <c r="I2940" s="37"/>
      <c r="J2940" s="135"/>
      <c r="K2940" s="112"/>
      <c r="L2940" s="37"/>
      <c r="M2940" s="37"/>
      <c r="N2940" s="37"/>
      <c r="O2940" s="130"/>
      <c r="P2940" s="132"/>
      <c r="Q2940" s="262"/>
      <c r="R2940" s="92"/>
    </row>
    <row r="2941" spans="3:18" x14ac:dyDescent="0.25">
      <c r="C2941" s="264"/>
      <c r="D2941" s="157"/>
      <c r="E2941" s="44"/>
      <c r="F2941" s="146"/>
      <c r="G2941" s="1"/>
      <c r="H2941" s="161"/>
      <c r="I2941" s="37"/>
      <c r="J2941" s="135"/>
      <c r="K2941" s="112"/>
      <c r="L2941" s="37"/>
      <c r="M2941" s="37"/>
      <c r="N2941" s="37"/>
      <c r="O2941" s="130"/>
      <c r="P2941" s="132"/>
      <c r="Q2941" s="262"/>
      <c r="R2941" s="92"/>
    </row>
    <row r="2942" spans="3:18" x14ac:dyDescent="0.25">
      <c r="C2942" s="264"/>
      <c r="D2942" s="157"/>
      <c r="E2942" s="44"/>
      <c r="F2942" s="146"/>
      <c r="G2942" s="1"/>
      <c r="H2942" s="161"/>
      <c r="I2942" s="37"/>
      <c r="J2942" s="135"/>
      <c r="K2942" s="112"/>
      <c r="L2942" s="37"/>
      <c r="M2942" s="37"/>
      <c r="N2942" s="37"/>
      <c r="O2942" s="130"/>
      <c r="P2942" s="132"/>
      <c r="Q2942" s="262"/>
      <c r="R2942" s="92"/>
    </row>
    <row r="2943" spans="3:18" x14ac:dyDescent="0.25">
      <c r="C2943" s="264"/>
      <c r="D2943" s="157"/>
      <c r="E2943" s="44"/>
      <c r="F2943" s="146"/>
      <c r="G2943" s="1"/>
      <c r="H2943" s="161"/>
      <c r="I2943" s="37"/>
      <c r="J2943" s="135"/>
      <c r="K2943" s="112"/>
      <c r="L2943" s="37"/>
      <c r="M2943" s="37"/>
      <c r="N2943" s="37"/>
      <c r="O2943" s="130"/>
      <c r="P2943" s="132"/>
      <c r="Q2943" s="262"/>
      <c r="R2943" s="92"/>
    </row>
    <row r="2944" spans="3:18" x14ac:dyDescent="0.25">
      <c r="C2944" s="264"/>
      <c r="D2944" s="157"/>
      <c r="E2944" s="44"/>
      <c r="F2944" s="146"/>
      <c r="G2944" s="1"/>
      <c r="H2944" s="161"/>
      <c r="I2944" s="37"/>
      <c r="J2944" s="135"/>
      <c r="K2944" s="112"/>
      <c r="L2944" s="37"/>
      <c r="M2944" s="37"/>
      <c r="N2944" s="37"/>
      <c r="O2944" s="130"/>
      <c r="P2944" s="132"/>
      <c r="Q2944" s="262"/>
      <c r="R2944" s="92"/>
    </row>
    <row r="2945" spans="3:18" x14ac:dyDescent="0.25">
      <c r="C2945" s="264"/>
      <c r="D2945" s="157"/>
      <c r="E2945" s="44"/>
      <c r="F2945" s="146"/>
      <c r="G2945" s="1"/>
      <c r="H2945" s="161"/>
      <c r="I2945" s="37"/>
      <c r="J2945" s="135"/>
      <c r="K2945" s="112"/>
      <c r="L2945" s="37"/>
      <c r="M2945" s="37"/>
      <c r="N2945" s="37"/>
      <c r="O2945" s="130"/>
      <c r="P2945" s="132"/>
      <c r="Q2945" s="262"/>
      <c r="R2945" s="92"/>
    </row>
    <row r="2946" spans="3:18" x14ac:dyDescent="0.25">
      <c r="C2946" s="264"/>
      <c r="D2946" s="157"/>
      <c r="E2946" s="44"/>
      <c r="F2946" s="146"/>
      <c r="G2946" s="1"/>
      <c r="H2946" s="161"/>
      <c r="I2946" s="37"/>
      <c r="J2946" s="135"/>
      <c r="K2946" s="112"/>
      <c r="L2946" s="37"/>
      <c r="M2946" s="37"/>
      <c r="N2946" s="37"/>
      <c r="O2946" s="130"/>
      <c r="P2946" s="132"/>
      <c r="Q2946" s="262"/>
      <c r="R2946" s="92"/>
    </row>
    <row r="2947" spans="3:18" x14ac:dyDescent="0.25">
      <c r="C2947" s="264"/>
      <c r="D2947" s="157"/>
      <c r="E2947" s="44"/>
      <c r="F2947" s="146"/>
      <c r="G2947" s="1"/>
      <c r="H2947" s="161"/>
      <c r="I2947" s="37"/>
      <c r="J2947" s="135"/>
      <c r="K2947" s="112"/>
      <c r="L2947" s="37"/>
      <c r="M2947" s="37"/>
      <c r="N2947" s="37"/>
      <c r="O2947" s="130"/>
      <c r="P2947" s="132"/>
      <c r="Q2947" s="262"/>
      <c r="R2947" s="92"/>
    </row>
    <row r="2948" spans="3:18" x14ac:dyDescent="0.25">
      <c r="C2948" s="264"/>
      <c r="D2948" s="157"/>
      <c r="E2948" s="44"/>
      <c r="F2948" s="146"/>
      <c r="G2948" s="1"/>
      <c r="H2948" s="161"/>
      <c r="I2948" s="37"/>
      <c r="J2948" s="135"/>
      <c r="K2948" s="112"/>
      <c r="L2948" s="37"/>
      <c r="M2948" s="37"/>
      <c r="N2948" s="37"/>
      <c r="O2948" s="130"/>
      <c r="P2948" s="132"/>
      <c r="Q2948" s="262"/>
      <c r="R2948" s="92"/>
    </row>
    <row r="2949" spans="3:18" x14ac:dyDescent="0.25">
      <c r="C2949" s="264"/>
      <c r="D2949" s="157"/>
      <c r="E2949" s="44"/>
      <c r="F2949" s="146"/>
      <c r="G2949" s="1"/>
      <c r="H2949" s="161"/>
      <c r="I2949" s="37"/>
      <c r="J2949" s="135"/>
      <c r="K2949" s="112"/>
      <c r="L2949" s="37"/>
      <c r="M2949" s="37"/>
      <c r="N2949" s="37"/>
      <c r="O2949" s="130"/>
      <c r="P2949" s="132"/>
      <c r="Q2949" s="262"/>
      <c r="R2949" s="92"/>
    </row>
    <row r="2950" spans="3:18" x14ac:dyDescent="0.25">
      <c r="C2950" s="264"/>
      <c r="D2950" s="157"/>
      <c r="E2950" s="44"/>
      <c r="F2950" s="146"/>
      <c r="G2950" s="1"/>
      <c r="H2950" s="161"/>
      <c r="I2950" s="37"/>
      <c r="J2950" s="135"/>
      <c r="K2950" s="112"/>
      <c r="L2950" s="37"/>
      <c r="M2950" s="37"/>
      <c r="N2950" s="37"/>
      <c r="O2950" s="130"/>
      <c r="P2950" s="132"/>
      <c r="Q2950" s="262"/>
      <c r="R2950" s="92"/>
    </row>
    <row r="2951" spans="3:18" x14ac:dyDescent="0.25">
      <c r="C2951" s="264"/>
      <c r="D2951" s="157"/>
      <c r="E2951" s="44"/>
      <c r="F2951" s="146"/>
      <c r="G2951" s="1"/>
      <c r="H2951" s="161"/>
      <c r="I2951" s="37"/>
      <c r="J2951" s="135"/>
      <c r="K2951" s="112"/>
      <c r="L2951" s="37"/>
      <c r="M2951" s="37"/>
      <c r="N2951" s="37"/>
      <c r="O2951" s="130"/>
      <c r="P2951" s="132"/>
      <c r="Q2951" s="262"/>
      <c r="R2951" s="92"/>
    </row>
    <row r="2952" spans="3:18" x14ac:dyDescent="0.25">
      <c r="C2952" s="264"/>
      <c r="D2952" s="157"/>
      <c r="E2952" s="44"/>
      <c r="F2952" s="146"/>
      <c r="G2952" s="1"/>
      <c r="H2952" s="161"/>
      <c r="I2952" s="37"/>
      <c r="J2952" s="135"/>
      <c r="K2952" s="112"/>
      <c r="L2952" s="37"/>
      <c r="M2952" s="37"/>
      <c r="N2952" s="37"/>
      <c r="O2952" s="130"/>
      <c r="P2952" s="132"/>
      <c r="Q2952" s="262"/>
      <c r="R2952" s="92"/>
    </row>
    <row r="2953" spans="3:18" x14ac:dyDescent="0.25">
      <c r="C2953" s="264"/>
      <c r="D2953" s="157"/>
      <c r="E2953" s="44"/>
      <c r="F2953" s="146"/>
      <c r="G2953" s="1"/>
      <c r="H2953" s="161"/>
      <c r="I2953" s="37"/>
      <c r="J2953" s="135"/>
      <c r="K2953" s="112"/>
      <c r="L2953" s="37"/>
      <c r="M2953" s="37"/>
      <c r="N2953" s="37"/>
      <c r="O2953" s="130"/>
      <c r="P2953" s="132"/>
      <c r="Q2953" s="262"/>
      <c r="R2953" s="92"/>
    </row>
    <row r="2954" spans="3:18" x14ac:dyDescent="0.25">
      <c r="C2954" s="264"/>
      <c r="D2954" s="157"/>
      <c r="E2954" s="44"/>
      <c r="F2954" s="146"/>
      <c r="G2954" s="1"/>
      <c r="H2954" s="161"/>
      <c r="I2954" s="37"/>
      <c r="J2954" s="135"/>
      <c r="K2954" s="112"/>
      <c r="L2954" s="37"/>
      <c r="M2954" s="37"/>
      <c r="N2954" s="37"/>
      <c r="O2954" s="130"/>
      <c r="P2954" s="132"/>
      <c r="Q2954" s="262"/>
      <c r="R2954" s="92"/>
    </row>
    <row r="2955" spans="3:18" x14ac:dyDescent="0.25">
      <c r="C2955" s="264"/>
      <c r="D2955" s="157"/>
      <c r="E2955" s="44"/>
      <c r="F2955" s="146"/>
      <c r="G2955" s="1"/>
      <c r="H2955" s="161"/>
      <c r="I2955" s="37"/>
      <c r="J2955" s="135"/>
      <c r="K2955" s="112"/>
      <c r="L2955" s="37"/>
      <c r="M2955" s="37"/>
      <c r="N2955" s="37"/>
      <c r="O2955" s="130"/>
      <c r="P2955" s="132"/>
      <c r="Q2955" s="262"/>
      <c r="R2955" s="92"/>
    </row>
    <row r="2956" spans="3:18" x14ac:dyDescent="0.25">
      <c r="C2956" s="264"/>
      <c r="D2956" s="157"/>
      <c r="E2956" s="44"/>
      <c r="F2956" s="146"/>
      <c r="G2956" s="1"/>
      <c r="H2956" s="161"/>
      <c r="I2956" s="37"/>
      <c r="J2956" s="135"/>
      <c r="K2956" s="112"/>
      <c r="L2956" s="37"/>
      <c r="M2956" s="37"/>
      <c r="N2956" s="37"/>
      <c r="O2956" s="130"/>
      <c r="P2956" s="132"/>
      <c r="Q2956" s="262"/>
      <c r="R2956" s="92"/>
    </row>
    <row r="2957" spans="3:18" x14ac:dyDescent="0.25">
      <c r="C2957" s="264"/>
      <c r="D2957" s="157"/>
      <c r="E2957" s="44"/>
      <c r="F2957" s="146"/>
      <c r="G2957" s="1"/>
      <c r="H2957" s="161"/>
      <c r="I2957" s="37"/>
      <c r="J2957" s="135"/>
      <c r="K2957" s="112"/>
      <c r="L2957" s="37"/>
      <c r="M2957" s="37"/>
      <c r="N2957" s="37"/>
      <c r="O2957" s="130"/>
      <c r="P2957" s="132"/>
      <c r="Q2957" s="262"/>
      <c r="R2957" s="92"/>
    </row>
    <row r="2958" spans="3:18" x14ac:dyDescent="0.25">
      <c r="C2958" s="264"/>
      <c r="D2958" s="157"/>
      <c r="E2958" s="44"/>
      <c r="F2958" s="146"/>
      <c r="G2958" s="1"/>
      <c r="H2958" s="161"/>
      <c r="I2958" s="37"/>
      <c r="J2958" s="135"/>
      <c r="K2958" s="112"/>
      <c r="L2958" s="37"/>
      <c r="M2958" s="37"/>
      <c r="N2958" s="37"/>
      <c r="O2958" s="130"/>
      <c r="P2958" s="132"/>
      <c r="Q2958" s="262"/>
      <c r="R2958" s="92"/>
    </row>
    <row r="2959" spans="3:18" x14ac:dyDescent="0.25">
      <c r="C2959" s="264"/>
      <c r="D2959" s="157"/>
      <c r="E2959" s="44"/>
      <c r="F2959" s="146"/>
      <c r="G2959" s="1"/>
      <c r="H2959" s="161"/>
      <c r="I2959" s="37"/>
      <c r="J2959" s="135"/>
      <c r="K2959" s="112"/>
      <c r="L2959" s="37"/>
      <c r="M2959" s="37"/>
      <c r="N2959" s="37"/>
      <c r="O2959" s="130"/>
      <c r="P2959" s="132"/>
      <c r="Q2959" s="262"/>
      <c r="R2959" s="92"/>
    </row>
    <row r="2960" spans="3:18" x14ac:dyDescent="0.25">
      <c r="C2960" s="264"/>
      <c r="D2960" s="157"/>
      <c r="E2960" s="44"/>
      <c r="F2960" s="146"/>
      <c r="G2960" s="1"/>
      <c r="H2960" s="161"/>
      <c r="I2960" s="37"/>
      <c r="J2960" s="135"/>
      <c r="K2960" s="112"/>
      <c r="L2960" s="37"/>
      <c r="M2960" s="37"/>
      <c r="N2960" s="37"/>
      <c r="O2960" s="130"/>
      <c r="P2960" s="132"/>
      <c r="Q2960" s="262"/>
      <c r="R2960" s="92"/>
    </row>
    <row r="2961" spans="3:18" x14ac:dyDescent="0.25">
      <c r="C2961" s="264"/>
      <c r="D2961" s="157"/>
      <c r="E2961" s="44"/>
      <c r="F2961" s="146"/>
      <c r="G2961" s="1"/>
      <c r="H2961" s="161"/>
      <c r="I2961" s="37"/>
      <c r="J2961" s="135"/>
      <c r="K2961" s="112"/>
      <c r="L2961" s="37"/>
      <c r="M2961" s="37"/>
      <c r="N2961" s="37"/>
      <c r="O2961" s="130"/>
      <c r="P2961" s="132"/>
      <c r="Q2961" s="262"/>
      <c r="R2961" s="92"/>
    </row>
    <row r="2962" spans="3:18" x14ac:dyDescent="0.25">
      <c r="C2962" s="264"/>
      <c r="D2962" s="157"/>
      <c r="E2962" s="44"/>
      <c r="F2962" s="146"/>
      <c r="G2962" s="1"/>
      <c r="H2962" s="161"/>
      <c r="I2962" s="37"/>
      <c r="J2962" s="135"/>
      <c r="K2962" s="112"/>
      <c r="L2962" s="37"/>
      <c r="M2962" s="37"/>
      <c r="N2962" s="37"/>
      <c r="O2962" s="130"/>
      <c r="P2962" s="132"/>
      <c r="Q2962" s="262"/>
      <c r="R2962" s="92"/>
    </row>
    <row r="2963" spans="3:18" x14ac:dyDescent="0.25">
      <c r="C2963" s="264"/>
      <c r="D2963" s="157"/>
      <c r="E2963" s="44"/>
      <c r="F2963" s="146"/>
      <c r="G2963" s="1"/>
      <c r="H2963" s="161"/>
      <c r="I2963" s="37"/>
      <c r="J2963" s="135"/>
      <c r="K2963" s="112"/>
      <c r="L2963" s="37"/>
      <c r="M2963" s="37"/>
      <c r="N2963" s="37"/>
      <c r="O2963" s="130"/>
      <c r="P2963" s="132"/>
      <c r="Q2963" s="262"/>
      <c r="R2963" s="92"/>
    </row>
    <row r="2964" spans="3:18" x14ac:dyDescent="0.25">
      <c r="C2964" s="264"/>
      <c r="D2964" s="157"/>
      <c r="E2964" s="44"/>
      <c r="F2964" s="146"/>
      <c r="G2964" s="1"/>
      <c r="H2964" s="161"/>
      <c r="I2964" s="37"/>
      <c r="J2964" s="135"/>
      <c r="K2964" s="112"/>
      <c r="L2964" s="37"/>
      <c r="M2964" s="37"/>
      <c r="N2964" s="37"/>
      <c r="O2964" s="130"/>
      <c r="P2964" s="132"/>
      <c r="Q2964" s="262"/>
      <c r="R2964" s="92"/>
    </row>
    <row r="2965" spans="3:18" x14ac:dyDescent="0.25">
      <c r="C2965" s="264"/>
      <c r="D2965" s="157"/>
      <c r="E2965" s="44"/>
      <c r="F2965" s="146"/>
      <c r="G2965" s="1"/>
      <c r="H2965" s="161"/>
      <c r="I2965" s="37"/>
      <c r="J2965" s="135"/>
      <c r="K2965" s="112"/>
      <c r="L2965" s="37"/>
      <c r="M2965" s="37"/>
      <c r="N2965" s="37"/>
      <c r="O2965" s="130"/>
      <c r="P2965" s="132"/>
      <c r="Q2965" s="262"/>
      <c r="R2965" s="92"/>
    </row>
    <row r="2966" spans="3:18" x14ac:dyDescent="0.25">
      <c r="C2966" s="264"/>
      <c r="D2966" s="157"/>
      <c r="E2966" s="44"/>
      <c r="F2966" s="146"/>
      <c r="G2966" s="1"/>
      <c r="H2966" s="161"/>
      <c r="I2966" s="37"/>
      <c r="J2966" s="135"/>
      <c r="K2966" s="112"/>
      <c r="L2966" s="37"/>
      <c r="M2966" s="37"/>
      <c r="N2966" s="37"/>
      <c r="O2966" s="130"/>
      <c r="P2966" s="132"/>
      <c r="Q2966" s="262"/>
      <c r="R2966" s="92"/>
    </row>
    <row r="2967" spans="3:18" x14ac:dyDescent="0.25">
      <c r="C2967" s="264"/>
      <c r="D2967" s="157"/>
      <c r="E2967" s="44"/>
      <c r="F2967" s="146"/>
      <c r="G2967" s="1"/>
      <c r="H2967" s="161"/>
      <c r="I2967" s="37"/>
      <c r="J2967" s="135"/>
      <c r="K2967" s="112"/>
      <c r="L2967" s="37"/>
      <c r="M2967" s="37"/>
      <c r="N2967" s="37"/>
      <c r="O2967" s="130"/>
      <c r="P2967" s="132"/>
      <c r="Q2967" s="262"/>
      <c r="R2967" s="92"/>
    </row>
    <row r="2968" spans="3:18" x14ac:dyDescent="0.25">
      <c r="C2968" s="264"/>
      <c r="D2968" s="157"/>
      <c r="E2968" s="44"/>
      <c r="F2968" s="146"/>
      <c r="G2968" s="1"/>
      <c r="H2968" s="161"/>
      <c r="I2968" s="37"/>
      <c r="J2968" s="135"/>
      <c r="K2968" s="112"/>
      <c r="L2968" s="37"/>
      <c r="M2968" s="37"/>
      <c r="N2968" s="37"/>
      <c r="O2968" s="130"/>
      <c r="P2968" s="132"/>
      <c r="Q2968" s="262"/>
      <c r="R2968" s="92"/>
    </row>
    <row r="2969" spans="3:18" x14ac:dyDescent="0.25">
      <c r="C2969" s="264"/>
      <c r="D2969" s="157"/>
      <c r="E2969" s="44"/>
      <c r="F2969" s="146"/>
      <c r="G2969" s="1"/>
      <c r="H2969" s="161"/>
      <c r="I2969" s="37"/>
      <c r="J2969" s="135"/>
      <c r="K2969" s="112"/>
      <c r="L2969" s="37"/>
      <c r="M2969" s="37"/>
      <c r="N2969" s="37"/>
      <c r="O2969" s="130"/>
      <c r="P2969" s="132"/>
      <c r="Q2969" s="262"/>
      <c r="R2969" s="92"/>
    </row>
    <row r="2970" spans="3:18" x14ac:dyDescent="0.25">
      <c r="C2970" s="264"/>
      <c r="D2970" s="157"/>
      <c r="E2970" s="44"/>
      <c r="F2970" s="146"/>
      <c r="G2970" s="1"/>
      <c r="H2970" s="161"/>
      <c r="I2970" s="37"/>
      <c r="J2970" s="135"/>
      <c r="K2970" s="112"/>
      <c r="L2970" s="37"/>
      <c r="M2970" s="37"/>
      <c r="N2970" s="37"/>
      <c r="O2970" s="130"/>
      <c r="P2970" s="132"/>
      <c r="Q2970" s="262"/>
      <c r="R2970" s="92"/>
    </row>
    <row r="2971" spans="3:18" x14ac:dyDescent="0.25">
      <c r="C2971" s="264"/>
      <c r="D2971" s="157"/>
      <c r="E2971" s="44"/>
      <c r="F2971" s="146"/>
      <c r="G2971" s="1"/>
      <c r="H2971" s="161"/>
      <c r="I2971" s="37"/>
      <c r="J2971" s="135"/>
      <c r="K2971" s="112"/>
      <c r="L2971" s="37"/>
      <c r="M2971" s="37"/>
      <c r="N2971" s="37"/>
      <c r="O2971" s="130"/>
      <c r="P2971" s="132"/>
      <c r="Q2971" s="262"/>
      <c r="R2971" s="92"/>
    </row>
    <row r="2972" spans="3:18" x14ac:dyDescent="0.25">
      <c r="C2972" s="264"/>
      <c r="D2972" s="157"/>
      <c r="E2972" s="44"/>
      <c r="F2972" s="146"/>
      <c r="G2972" s="1"/>
      <c r="H2972" s="161"/>
      <c r="I2972" s="37"/>
      <c r="J2972" s="135"/>
      <c r="K2972" s="112"/>
      <c r="L2972" s="37"/>
      <c r="M2972" s="37"/>
      <c r="N2972" s="37"/>
      <c r="O2972" s="130"/>
      <c r="P2972" s="132"/>
      <c r="Q2972" s="262"/>
      <c r="R2972" s="92"/>
    </row>
    <row r="2973" spans="3:18" x14ac:dyDescent="0.25">
      <c r="C2973" s="264"/>
      <c r="D2973" s="157"/>
      <c r="E2973" s="44"/>
      <c r="F2973" s="146"/>
      <c r="G2973" s="1"/>
      <c r="H2973" s="161"/>
      <c r="I2973" s="37"/>
      <c r="J2973" s="135"/>
      <c r="K2973" s="112"/>
      <c r="L2973" s="37"/>
      <c r="M2973" s="37"/>
      <c r="N2973" s="37"/>
      <c r="O2973" s="130"/>
      <c r="P2973" s="132"/>
      <c r="Q2973" s="262"/>
      <c r="R2973" s="92"/>
    </row>
    <row r="2974" spans="3:18" x14ac:dyDescent="0.25">
      <c r="C2974" s="264"/>
      <c r="D2974" s="157"/>
      <c r="E2974" s="44"/>
      <c r="F2974" s="146"/>
      <c r="G2974" s="1"/>
      <c r="H2974" s="161"/>
      <c r="I2974" s="37"/>
      <c r="J2974" s="135"/>
      <c r="K2974" s="112"/>
      <c r="L2974" s="37"/>
      <c r="M2974" s="37"/>
      <c r="N2974" s="37"/>
      <c r="O2974" s="130"/>
      <c r="P2974" s="132"/>
      <c r="Q2974" s="262"/>
      <c r="R2974" s="92"/>
    </row>
    <row r="2975" spans="3:18" x14ac:dyDescent="0.25">
      <c r="C2975" s="264"/>
      <c r="D2975" s="157"/>
      <c r="E2975" s="44"/>
      <c r="F2975" s="146"/>
      <c r="G2975" s="1"/>
      <c r="H2975" s="161"/>
      <c r="I2975" s="37"/>
      <c r="J2975" s="135"/>
      <c r="K2975" s="112"/>
      <c r="L2975" s="37"/>
      <c r="M2975" s="37"/>
      <c r="N2975" s="37"/>
      <c r="O2975" s="130"/>
      <c r="P2975" s="132"/>
      <c r="Q2975" s="262"/>
      <c r="R2975" s="92"/>
    </row>
    <row r="2976" spans="3:18" x14ac:dyDescent="0.25">
      <c r="C2976" s="264"/>
      <c r="D2976" s="157"/>
      <c r="E2976" s="44"/>
      <c r="F2976" s="146"/>
      <c r="G2976" s="1"/>
      <c r="H2976" s="161"/>
      <c r="I2976" s="37"/>
      <c r="J2976" s="135"/>
      <c r="K2976" s="112"/>
      <c r="L2976" s="37"/>
      <c r="M2976" s="37"/>
      <c r="N2976" s="37"/>
      <c r="O2976" s="130"/>
      <c r="P2976" s="132"/>
      <c r="Q2976" s="262"/>
      <c r="R2976" s="92"/>
    </row>
    <row r="2977" spans="3:18" x14ac:dyDescent="0.25">
      <c r="C2977" s="264"/>
      <c r="D2977" s="157"/>
      <c r="E2977" s="44"/>
      <c r="F2977" s="146"/>
      <c r="G2977" s="1"/>
      <c r="H2977" s="161"/>
      <c r="I2977" s="37"/>
      <c r="J2977" s="135"/>
      <c r="K2977" s="112"/>
      <c r="L2977" s="37"/>
      <c r="M2977" s="37"/>
      <c r="N2977" s="37"/>
      <c r="O2977" s="130"/>
      <c r="P2977" s="132"/>
      <c r="Q2977" s="262"/>
      <c r="R2977" s="92"/>
    </row>
    <row r="2978" spans="3:18" x14ac:dyDescent="0.25">
      <c r="C2978" s="264"/>
      <c r="D2978" s="157"/>
      <c r="E2978" s="44"/>
      <c r="F2978" s="146"/>
      <c r="G2978" s="1"/>
      <c r="H2978" s="161"/>
      <c r="I2978" s="37"/>
      <c r="J2978" s="135"/>
      <c r="K2978" s="112"/>
      <c r="L2978" s="37"/>
      <c r="M2978" s="37"/>
      <c r="N2978" s="37"/>
      <c r="O2978" s="130"/>
      <c r="P2978" s="132"/>
      <c r="Q2978" s="262"/>
      <c r="R2978" s="92"/>
    </row>
    <row r="2979" spans="3:18" x14ac:dyDescent="0.25">
      <c r="C2979" s="264"/>
      <c r="D2979" s="157"/>
      <c r="E2979" s="44"/>
      <c r="F2979" s="146"/>
      <c r="G2979" s="1"/>
      <c r="H2979" s="161"/>
      <c r="I2979" s="37"/>
      <c r="J2979" s="135"/>
      <c r="K2979" s="112"/>
      <c r="L2979" s="37"/>
      <c r="M2979" s="37"/>
      <c r="N2979" s="37"/>
      <c r="O2979" s="130"/>
      <c r="P2979" s="132"/>
      <c r="Q2979" s="262"/>
      <c r="R2979" s="92"/>
    </row>
    <row r="2980" spans="3:18" x14ac:dyDescent="0.25">
      <c r="C2980" s="264"/>
      <c r="D2980" s="157"/>
      <c r="E2980" s="44"/>
      <c r="F2980" s="146"/>
      <c r="G2980" s="1"/>
      <c r="H2980" s="161"/>
      <c r="I2980" s="37"/>
      <c r="J2980" s="135"/>
      <c r="K2980" s="112"/>
      <c r="L2980" s="37"/>
      <c r="M2980" s="37"/>
      <c r="N2980" s="37"/>
      <c r="O2980" s="130"/>
      <c r="P2980" s="132"/>
      <c r="Q2980" s="262"/>
      <c r="R2980" s="92"/>
    </row>
    <row r="2981" spans="3:18" x14ac:dyDescent="0.25">
      <c r="C2981" s="264"/>
      <c r="D2981" s="157"/>
      <c r="E2981" s="44"/>
      <c r="F2981" s="146"/>
      <c r="G2981" s="1"/>
      <c r="H2981" s="161"/>
      <c r="I2981" s="37"/>
      <c r="J2981" s="135"/>
      <c r="K2981" s="112"/>
      <c r="L2981" s="37"/>
      <c r="M2981" s="37"/>
      <c r="N2981" s="37"/>
      <c r="O2981" s="130"/>
      <c r="P2981" s="132"/>
      <c r="Q2981" s="262"/>
      <c r="R2981" s="92"/>
    </row>
    <row r="2982" spans="3:18" x14ac:dyDescent="0.25">
      <c r="C2982" s="264"/>
      <c r="D2982" s="157"/>
      <c r="E2982" s="44"/>
      <c r="F2982" s="146"/>
      <c r="G2982" s="1"/>
      <c r="H2982" s="161"/>
      <c r="I2982" s="37"/>
      <c r="J2982" s="135"/>
      <c r="K2982" s="112"/>
      <c r="L2982" s="37"/>
      <c r="M2982" s="37"/>
      <c r="N2982" s="37"/>
      <c r="O2982" s="130"/>
      <c r="P2982" s="132"/>
      <c r="Q2982" s="262"/>
      <c r="R2982" s="92"/>
    </row>
    <row r="2983" spans="3:18" x14ac:dyDescent="0.25">
      <c r="C2983" s="264"/>
      <c r="D2983" s="157"/>
      <c r="E2983" s="44"/>
      <c r="F2983" s="146"/>
      <c r="G2983" s="1"/>
      <c r="H2983" s="161"/>
      <c r="I2983" s="37"/>
      <c r="J2983" s="135"/>
      <c r="K2983" s="112"/>
      <c r="L2983" s="37"/>
      <c r="M2983" s="37"/>
      <c r="N2983" s="37"/>
      <c r="O2983" s="130"/>
      <c r="P2983" s="132"/>
      <c r="Q2983" s="262"/>
      <c r="R2983" s="92"/>
    </row>
    <row r="2984" spans="3:18" x14ac:dyDescent="0.25">
      <c r="C2984" s="264"/>
      <c r="D2984" s="157"/>
      <c r="E2984" s="44"/>
      <c r="F2984" s="146"/>
      <c r="G2984" s="1"/>
      <c r="H2984" s="161"/>
      <c r="I2984" s="37"/>
      <c r="J2984" s="135"/>
      <c r="K2984" s="112"/>
      <c r="L2984" s="37"/>
      <c r="M2984" s="37"/>
      <c r="N2984" s="37"/>
      <c r="O2984" s="130"/>
      <c r="P2984" s="132"/>
      <c r="Q2984" s="262"/>
      <c r="R2984" s="92"/>
    </row>
    <row r="2985" spans="3:18" x14ac:dyDescent="0.25">
      <c r="C2985" s="264"/>
      <c r="D2985" s="157"/>
      <c r="E2985" s="44"/>
      <c r="F2985" s="146"/>
      <c r="G2985" s="1"/>
      <c r="H2985" s="161"/>
      <c r="I2985" s="37"/>
      <c r="J2985" s="135"/>
      <c r="K2985" s="112"/>
      <c r="L2985" s="37"/>
      <c r="M2985" s="37"/>
      <c r="N2985" s="37"/>
      <c r="O2985" s="130"/>
      <c r="P2985" s="132"/>
      <c r="Q2985" s="262"/>
      <c r="R2985" s="92"/>
    </row>
    <row r="2986" spans="3:18" x14ac:dyDescent="0.25">
      <c r="C2986" s="264"/>
      <c r="D2986" s="157"/>
      <c r="E2986" s="44"/>
      <c r="F2986" s="146"/>
      <c r="G2986" s="1"/>
      <c r="H2986" s="161"/>
      <c r="I2986" s="37"/>
      <c r="J2986" s="135"/>
      <c r="K2986" s="112"/>
      <c r="L2986" s="37"/>
      <c r="M2986" s="37"/>
      <c r="N2986" s="37"/>
      <c r="O2986" s="130"/>
      <c r="P2986" s="132"/>
      <c r="Q2986" s="262"/>
      <c r="R2986" s="92"/>
    </row>
    <row r="2987" spans="3:18" x14ac:dyDescent="0.25">
      <c r="C2987" s="264"/>
      <c r="D2987" s="157"/>
      <c r="E2987" s="44"/>
      <c r="F2987" s="146"/>
      <c r="G2987" s="1"/>
      <c r="H2987" s="161"/>
      <c r="I2987" s="37"/>
      <c r="J2987" s="135"/>
      <c r="K2987" s="112"/>
      <c r="L2987" s="37"/>
      <c r="M2987" s="37"/>
      <c r="N2987" s="37"/>
      <c r="O2987" s="130"/>
      <c r="P2987" s="132"/>
      <c r="Q2987" s="262"/>
      <c r="R2987" s="92"/>
    </row>
    <row r="2988" spans="3:18" x14ac:dyDescent="0.25">
      <c r="C2988" s="264"/>
      <c r="D2988" s="157"/>
      <c r="E2988" s="44"/>
      <c r="F2988" s="146"/>
      <c r="G2988" s="1"/>
      <c r="H2988" s="161"/>
      <c r="I2988" s="37"/>
      <c r="J2988" s="135"/>
      <c r="K2988" s="112"/>
      <c r="L2988" s="37"/>
      <c r="M2988" s="37"/>
      <c r="N2988" s="37"/>
      <c r="O2988" s="130"/>
      <c r="P2988" s="132"/>
      <c r="Q2988" s="262"/>
      <c r="R2988" s="92"/>
    </row>
    <row r="2989" spans="3:18" x14ac:dyDescent="0.25">
      <c r="C2989" s="264"/>
      <c r="D2989" s="157"/>
      <c r="E2989" s="44"/>
      <c r="F2989" s="146"/>
      <c r="G2989" s="1"/>
      <c r="H2989" s="161"/>
      <c r="I2989" s="37"/>
      <c r="J2989" s="135"/>
      <c r="K2989" s="112"/>
      <c r="L2989" s="37"/>
      <c r="M2989" s="37"/>
      <c r="N2989" s="37"/>
      <c r="O2989" s="130"/>
      <c r="P2989" s="132"/>
      <c r="Q2989" s="262"/>
      <c r="R2989" s="92"/>
    </row>
    <row r="2990" spans="3:18" x14ac:dyDescent="0.25">
      <c r="C2990" s="264"/>
      <c r="D2990" s="157"/>
      <c r="E2990" s="44"/>
      <c r="F2990" s="146"/>
      <c r="G2990" s="1"/>
      <c r="H2990" s="161"/>
      <c r="I2990" s="37"/>
      <c r="J2990" s="135"/>
      <c r="K2990" s="112"/>
      <c r="L2990" s="37"/>
      <c r="M2990" s="37"/>
      <c r="N2990" s="37"/>
      <c r="O2990" s="130"/>
      <c r="P2990" s="132"/>
      <c r="Q2990" s="262"/>
      <c r="R2990" s="92"/>
    </row>
    <row r="2991" spans="3:18" x14ac:dyDescent="0.25">
      <c r="C2991" s="264"/>
      <c r="D2991" s="157"/>
      <c r="E2991" s="44"/>
      <c r="F2991" s="146"/>
      <c r="G2991" s="1"/>
      <c r="H2991" s="161"/>
      <c r="I2991" s="37"/>
      <c r="J2991" s="135"/>
      <c r="K2991" s="112"/>
      <c r="L2991" s="37"/>
      <c r="M2991" s="37"/>
      <c r="N2991" s="37"/>
      <c r="O2991" s="130"/>
      <c r="P2991" s="132"/>
      <c r="Q2991" s="262"/>
      <c r="R2991" s="92"/>
    </row>
    <row r="2992" spans="3:18" x14ac:dyDescent="0.25">
      <c r="C2992" s="264"/>
      <c r="D2992" s="157"/>
      <c r="E2992" s="44"/>
      <c r="F2992" s="146"/>
      <c r="G2992" s="1"/>
      <c r="H2992" s="161"/>
      <c r="I2992" s="37"/>
      <c r="J2992" s="135"/>
      <c r="K2992" s="112"/>
      <c r="L2992" s="37"/>
      <c r="M2992" s="37"/>
      <c r="N2992" s="37"/>
      <c r="O2992" s="130"/>
      <c r="P2992" s="132"/>
      <c r="Q2992" s="262"/>
      <c r="R2992" s="92"/>
    </row>
    <row r="2993" spans="3:18" x14ac:dyDescent="0.25">
      <c r="C2993" s="264"/>
      <c r="D2993" s="157"/>
      <c r="E2993" s="44"/>
      <c r="F2993" s="146"/>
      <c r="G2993" s="1"/>
      <c r="H2993" s="161"/>
      <c r="I2993" s="37"/>
      <c r="J2993" s="135"/>
      <c r="K2993" s="112"/>
      <c r="L2993" s="37"/>
      <c r="M2993" s="37"/>
      <c r="N2993" s="37"/>
      <c r="O2993" s="130"/>
      <c r="P2993" s="132"/>
      <c r="Q2993" s="262"/>
      <c r="R2993" s="92"/>
    </row>
    <row r="2994" spans="3:18" x14ac:dyDescent="0.25">
      <c r="C2994" s="264"/>
      <c r="D2994" s="157"/>
      <c r="E2994" s="44"/>
      <c r="F2994" s="146"/>
      <c r="G2994" s="1"/>
      <c r="H2994" s="161"/>
      <c r="I2994" s="37"/>
      <c r="J2994" s="135"/>
      <c r="K2994" s="112"/>
      <c r="L2994" s="37"/>
      <c r="M2994" s="37"/>
      <c r="N2994" s="37"/>
      <c r="O2994" s="130"/>
      <c r="P2994" s="132"/>
      <c r="Q2994" s="262"/>
      <c r="R2994" s="92"/>
    </row>
    <row r="2995" spans="3:18" x14ac:dyDescent="0.25">
      <c r="C2995" s="264"/>
      <c r="D2995" s="157"/>
      <c r="E2995" s="44"/>
      <c r="F2995" s="146"/>
      <c r="G2995" s="1"/>
      <c r="H2995" s="161"/>
      <c r="I2995" s="37"/>
      <c r="J2995" s="135"/>
      <c r="K2995" s="112"/>
      <c r="L2995" s="37"/>
      <c r="M2995" s="37"/>
      <c r="N2995" s="37"/>
      <c r="O2995" s="130"/>
      <c r="P2995" s="132"/>
      <c r="Q2995" s="262"/>
      <c r="R2995" s="92"/>
    </row>
    <row r="2996" spans="3:18" x14ac:dyDescent="0.25">
      <c r="C2996" s="264"/>
      <c r="D2996" s="157"/>
      <c r="E2996" s="44"/>
      <c r="F2996" s="146"/>
      <c r="G2996" s="1"/>
      <c r="H2996" s="161"/>
      <c r="I2996" s="37"/>
      <c r="J2996" s="135"/>
      <c r="K2996" s="112"/>
      <c r="L2996" s="37"/>
      <c r="M2996" s="37"/>
      <c r="N2996" s="37"/>
      <c r="O2996" s="130"/>
      <c r="P2996" s="132"/>
      <c r="Q2996" s="262"/>
      <c r="R2996" s="92"/>
    </row>
    <row r="2997" spans="3:18" x14ac:dyDescent="0.25">
      <c r="C2997" s="264"/>
      <c r="D2997" s="157"/>
      <c r="E2997" s="44"/>
      <c r="F2997" s="146"/>
      <c r="G2997" s="1"/>
      <c r="H2997" s="161"/>
      <c r="I2997" s="37"/>
      <c r="J2997" s="135"/>
      <c r="K2997" s="112"/>
      <c r="L2997" s="37"/>
      <c r="M2997" s="37"/>
      <c r="N2997" s="37"/>
      <c r="O2997" s="130"/>
      <c r="P2997" s="132"/>
      <c r="Q2997" s="262"/>
      <c r="R2997" s="92"/>
    </row>
    <row r="2998" spans="3:18" x14ac:dyDescent="0.25">
      <c r="C2998" s="264"/>
      <c r="D2998" s="157"/>
      <c r="E2998" s="44"/>
      <c r="F2998" s="146"/>
      <c r="G2998" s="1"/>
      <c r="H2998" s="161"/>
      <c r="I2998" s="37"/>
      <c r="J2998" s="135"/>
      <c r="K2998" s="112"/>
      <c r="L2998" s="37"/>
      <c r="M2998" s="37"/>
      <c r="N2998" s="37"/>
      <c r="O2998" s="130"/>
      <c r="P2998" s="132"/>
      <c r="Q2998" s="262"/>
      <c r="R2998" s="92"/>
    </row>
    <row r="2999" spans="3:18" x14ac:dyDescent="0.25">
      <c r="C2999" s="264"/>
      <c r="D2999" s="157"/>
      <c r="E2999" s="44"/>
      <c r="F2999" s="146"/>
      <c r="G2999" s="1"/>
      <c r="H2999" s="161"/>
      <c r="I2999" s="37"/>
      <c r="J2999" s="135"/>
      <c r="K2999" s="112"/>
      <c r="L2999" s="37"/>
      <c r="M2999" s="37"/>
      <c r="N2999" s="37"/>
      <c r="O2999" s="130"/>
      <c r="P2999" s="132"/>
      <c r="Q2999" s="262"/>
      <c r="R2999" s="92"/>
    </row>
    <row r="3000" spans="3:18" x14ac:dyDescent="0.25">
      <c r="C3000" s="264"/>
      <c r="D3000" s="157"/>
      <c r="E3000" s="44"/>
      <c r="F3000" s="146"/>
      <c r="G3000" s="1"/>
      <c r="H3000" s="161"/>
      <c r="I3000" s="37"/>
      <c r="J3000" s="135"/>
      <c r="K3000" s="112"/>
      <c r="L3000" s="37"/>
      <c r="M3000" s="37"/>
      <c r="N3000" s="37"/>
      <c r="O3000" s="130"/>
      <c r="P3000" s="132"/>
      <c r="Q3000" s="262"/>
      <c r="R3000" s="92"/>
    </row>
    <row r="3001" spans="3:18" x14ac:dyDescent="0.25">
      <c r="C3001" s="264"/>
      <c r="D3001" s="157"/>
      <c r="E3001" s="44"/>
      <c r="F3001" s="146"/>
      <c r="G3001" s="1"/>
      <c r="H3001" s="161"/>
      <c r="I3001" s="37"/>
      <c r="J3001" s="135"/>
      <c r="K3001" s="112"/>
      <c r="L3001" s="37"/>
      <c r="M3001" s="37"/>
      <c r="N3001" s="37"/>
      <c r="O3001" s="130"/>
      <c r="P3001" s="132"/>
      <c r="Q3001" s="262"/>
      <c r="R3001" s="92"/>
    </row>
    <row r="3002" spans="3:18" x14ac:dyDescent="0.25">
      <c r="C3002" s="264"/>
      <c r="D3002" s="157"/>
      <c r="E3002" s="44"/>
      <c r="F3002" s="146"/>
      <c r="G3002" s="1"/>
      <c r="H3002" s="161"/>
      <c r="I3002" s="37"/>
      <c r="J3002" s="135"/>
      <c r="K3002" s="112"/>
      <c r="L3002" s="37"/>
      <c r="M3002" s="37"/>
      <c r="N3002" s="37"/>
      <c r="O3002" s="130"/>
      <c r="P3002" s="132"/>
      <c r="Q3002" s="262"/>
      <c r="R3002" s="92"/>
    </row>
    <row r="3003" spans="3:18" x14ac:dyDescent="0.25">
      <c r="C3003" s="264"/>
      <c r="D3003" s="157"/>
      <c r="E3003" s="44"/>
      <c r="F3003" s="146"/>
      <c r="G3003" s="1"/>
      <c r="H3003" s="161"/>
      <c r="I3003" s="37"/>
      <c r="J3003" s="135"/>
      <c r="K3003" s="112"/>
      <c r="L3003" s="37"/>
      <c r="M3003" s="37"/>
      <c r="N3003" s="37"/>
      <c r="O3003" s="130"/>
      <c r="P3003" s="132"/>
      <c r="Q3003" s="262"/>
      <c r="R3003" s="92"/>
    </row>
    <row r="3004" spans="3:18" x14ac:dyDescent="0.25">
      <c r="C3004" s="264"/>
      <c r="D3004" s="157"/>
      <c r="E3004" s="44"/>
      <c r="F3004" s="146"/>
      <c r="G3004" s="1"/>
      <c r="H3004" s="161"/>
      <c r="I3004" s="37"/>
      <c r="J3004" s="135"/>
      <c r="K3004" s="112"/>
      <c r="L3004" s="37"/>
      <c r="M3004" s="37"/>
      <c r="N3004" s="37"/>
      <c r="O3004" s="130"/>
      <c r="P3004" s="132"/>
      <c r="Q3004" s="262"/>
      <c r="R3004" s="92"/>
    </row>
    <row r="3005" spans="3:18" x14ac:dyDescent="0.25">
      <c r="C3005" s="264"/>
      <c r="D3005" s="157"/>
      <c r="E3005" s="44"/>
      <c r="F3005" s="146"/>
      <c r="G3005" s="1"/>
      <c r="H3005" s="161"/>
      <c r="I3005" s="37"/>
      <c r="J3005" s="135"/>
      <c r="K3005" s="112"/>
      <c r="L3005" s="37"/>
      <c r="M3005" s="37"/>
      <c r="N3005" s="37"/>
      <c r="O3005" s="130"/>
      <c r="P3005" s="132"/>
      <c r="Q3005" s="262"/>
      <c r="R3005" s="92"/>
    </row>
    <row r="3006" spans="3:18" x14ac:dyDescent="0.25">
      <c r="C3006" s="264"/>
      <c r="D3006" s="157"/>
      <c r="E3006" s="44"/>
      <c r="F3006" s="146"/>
      <c r="G3006" s="1"/>
      <c r="H3006" s="161"/>
      <c r="I3006" s="37"/>
      <c r="J3006" s="135"/>
      <c r="K3006" s="112"/>
      <c r="L3006" s="37"/>
      <c r="M3006" s="37"/>
      <c r="N3006" s="37"/>
      <c r="O3006" s="130"/>
      <c r="P3006" s="132"/>
      <c r="Q3006" s="262"/>
      <c r="R3006" s="92"/>
    </row>
    <row r="3007" spans="3:18" x14ac:dyDescent="0.25">
      <c r="C3007" s="264"/>
      <c r="D3007" s="157"/>
      <c r="E3007" s="44"/>
      <c r="F3007" s="146"/>
      <c r="G3007" s="1"/>
      <c r="H3007" s="161"/>
      <c r="I3007" s="37"/>
      <c r="J3007" s="135"/>
      <c r="K3007" s="112"/>
      <c r="L3007" s="37"/>
      <c r="M3007" s="37"/>
      <c r="N3007" s="37"/>
      <c r="O3007" s="130"/>
      <c r="P3007" s="132"/>
      <c r="Q3007" s="262"/>
      <c r="R3007" s="92"/>
    </row>
    <row r="3008" spans="3:18" x14ac:dyDescent="0.25">
      <c r="C3008" s="264"/>
      <c r="D3008" s="157"/>
      <c r="E3008" s="44"/>
      <c r="F3008" s="146"/>
      <c r="G3008" s="1"/>
      <c r="H3008" s="161"/>
      <c r="I3008" s="37"/>
      <c r="J3008" s="135"/>
      <c r="K3008" s="112"/>
      <c r="L3008" s="37"/>
      <c r="M3008" s="37"/>
      <c r="N3008" s="37"/>
      <c r="O3008" s="130"/>
      <c r="P3008" s="132"/>
      <c r="Q3008" s="262"/>
      <c r="R3008" s="92"/>
    </row>
    <row r="3009" spans="3:18" x14ac:dyDescent="0.25">
      <c r="C3009" s="264"/>
      <c r="D3009" s="157"/>
      <c r="E3009" s="44"/>
      <c r="F3009" s="146"/>
      <c r="G3009" s="1"/>
      <c r="H3009" s="161"/>
      <c r="I3009" s="37"/>
      <c r="J3009" s="135"/>
      <c r="K3009" s="112"/>
      <c r="L3009" s="37"/>
      <c r="M3009" s="37"/>
      <c r="N3009" s="37"/>
      <c r="O3009" s="130"/>
      <c r="P3009" s="132"/>
      <c r="Q3009" s="262"/>
      <c r="R3009" s="92"/>
    </row>
    <row r="3010" spans="3:18" x14ac:dyDescent="0.25">
      <c r="C3010" s="264"/>
      <c r="D3010" s="157"/>
      <c r="E3010" s="44"/>
      <c r="F3010" s="146"/>
      <c r="G3010" s="1"/>
      <c r="H3010" s="161"/>
      <c r="I3010" s="37"/>
      <c r="J3010" s="135"/>
      <c r="K3010" s="112"/>
      <c r="L3010" s="37"/>
      <c r="M3010" s="37"/>
      <c r="N3010" s="37"/>
      <c r="O3010" s="130"/>
      <c r="P3010" s="132"/>
      <c r="Q3010" s="262"/>
      <c r="R3010" s="92"/>
    </row>
    <row r="3011" spans="3:18" x14ac:dyDescent="0.25">
      <c r="C3011" s="264"/>
      <c r="D3011" s="157"/>
      <c r="E3011" s="44"/>
      <c r="F3011" s="146"/>
      <c r="G3011" s="1"/>
      <c r="H3011" s="161"/>
      <c r="I3011" s="37"/>
      <c r="J3011" s="135"/>
      <c r="K3011" s="112"/>
      <c r="L3011" s="37"/>
      <c r="M3011" s="37"/>
      <c r="N3011" s="37"/>
      <c r="O3011" s="130"/>
      <c r="P3011" s="132"/>
      <c r="Q3011" s="262"/>
      <c r="R3011" s="92"/>
    </row>
    <row r="3012" spans="3:18" x14ac:dyDescent="0.25">
      <c r="C3012" s="264"/>
      <c r="D3012" s="157"/>
      <c r="E3012" s="44"/>
      <c r="F3012" s="146"/>
      <c r="G3012" s="1"/>
      <c r="H3012" s="161"/>
      <c r="I3012" s="37"/>
      <c r="J3012" s="135"/>
      <c r="K3012" s="112"/>
      <c r="L3012" s="37"/>
      <c r="M3012" s="37"/>
      <c r="N3012" s="37"/>
      <c r="O3012" s="130"/>
      <c r="P3012" s="132"/>
      <c r="Q3012" s="262"/>
      <c r="R3012" s="92"/>
    </row>
    <row r="3013" spans="3:18" x14ac:dyDescent="0.25">
      <c r="C3013" s="264"/>
      <c r="D3013" s="157"/>
      <c r="E3013" s="44"/>
      <c r="F3013" s="146"/>
      <c r="G3013" s="1"/>
      <c r="H3013" s="161"/>
      <c r="I3013" s="37"/>
      <c r="J3013" s="135"/>
      <c r="K3013" s="112"/>
      <c r="L3013" s="37"/>
      <c r="M3013" s="37"/>
      <c r="N3013" s="37"/>
      <c r="O3013" s="130"/>
      <c r="P3013" s="132"/>
      <c r="Q3013" s="262"/>
      <c r="R3013" s="92"/>
    </row>
    <row r="3014" spans="3:18" x14ac:dyDescent="0.25">
      <c r="C3014" s="264"/>
      <c r="D3014" s="157"/>
      <c r="E3014" s="44"/>
      <c r="F3014" s="146"/>
      <c r="G3014" s="1"/>
      <c r="H3014" s="161"/>
      <c r="I3014" s="37"/>
      <c r="J3014" s="135"/>
      <c r="K3014" s="112"/>
      <c r="L3014" s="37"/>
      <c r="M3014" s="37"/>
      <c r="N3014" s="37"/>
      <c r="O3014" s="130"/>
      <c r="P3014" s="132"/>
      <c r="Q3014" s="262"/>
      <c r="R3014" s="92"/>
    </row>
    <row r="3015" spans="3:18" x14ac:dyDescent="0.25">
      <c r="C3015" s="264"/>
      <c r="D3015" s="157"/>
      <c r="E3015" s="44"/>
      <c r="F3015" s="146"/>
      <c r="G3015" s="1"/>
      <c r="H3015" s="161"/>
      <c r="I3015" s="37"/>
      <c r="J3015" s="135"/>
      <c r="K3015" s="112"/>
      <c r="L3015" s="37"/>
      <c r="M3015" s="37"/>
      <c r="N3015" s="37"/>
      <c r="O3015" s="130"/>
      <c r="P3015" s="132"/>
      <c r="Q3015" s="262"/>
      <c r="R3015" s="92"/>
    </row>
    <row r="3016" spans="3:18" x14ac:dyDescent="0.25">
      <c r="C3016" s="264"/>
      <c r="D3016" s="157"/>
      <c r="E3016" s="44"/>
      <c r="F3016" s="146"/>
      <c r="G3016" s="1"/>
      <c r="H3016" s="161"/>
      <c r="I3016" s="37"/>
      <c r="J3016" s="135"/>
      <c r="K3016" s="112"/>
      <c r="L3016" s="37"/>
      <c r="M3016" s="37"/>
      <c r="N3016" s="37"/>
      <c r="O3016" s="130"/>
      <c r="P3016" s="132"/>
      <c r="Q3016" s="262"/>
      <c r="R3016" s="92"/>
    </row>
    <row r="3017" spans="3:18" x14ac:dyDescent="0.25">
      <c r="C3017" s="264"/>
      <c r="D3017" s="157"/>
      <c r="E3017" s="44"/>
      <c r="F3017" s="146"/>
      <c r="G3017" s="1"/>
      <c r="H3017" s="161"/>
      <c r="I3017" s="37"/>
      <c r="J3017" s="135"/>
      <c r="K3017" s="112"/>
      <c r="L3017" s="37"/>
      <c r="M3017" s="37"/>
      <c r="N3017" s="37"/>
      <c r="O3017" s="130"/>
      <c r="P3017" s="132"/>
      <c r="Q3017" s="262"/>
      <c r="R3017" s="92"/>
    </row>
    <row r="3018" spans="3:18" x14ac:dyDescent="0.25">
      <c r="C3018" s="264"/>
      <c r="D3018" s="157"/>
      <c r="E3018" s="44"/>
      <c r="F3018" s="146"/>
      <c r="G3018" s="1"/>
      <c r="H3018" s="161"/>
      <c r="I3018" s="37"/>
      <c r="J3018" s="135"/>
      <c r="K3018" s="112"/>
      <c r="L3018" s="37"/>
      <c r="M3018" s="37"/>
      <c r="N3018" s="37"/>
      <c r="O3018" s="130"/>
      <c r="P3018" s="132"/>
      <c r="Q3018" s="262"/>
      <c r="R3018" s="92"/>
    </row>
    <row r="3019" spans="3:18" x14ac:dyDescent="0.25">
      <c r="C3019" s="264"/>
      <c r="D3019" s="157"/>
      <c r="E3019" s="44"/>
      <c r="F3019" s="146"/>
      <c r="G3019" s="1"/>
      <c r="H3019" s="161"/>
      <c r="I3019" s="37"/>
      <c r="J3019" s="135"/>
      <c r="K3019" s="112"/>
      <c r="L3019" s="37"/>
      <c r="M3019" s="37"/>
      <c r="N3019" s="37"/>
      <c r="O3019" s="130"/>
      <c r="P3019" s="132"/>
      <c r="Q3019" s="262"/>
      <c r="R3019" s="92"/>
    </row>
    <row r="3020" spans="3:18" x14ac:dyDescent="0.25">
      <c r="C3020" s="264"/>
      <c r="D3020" s="157"/>
      <c r="E3020" s="44"/>
      <c r="F3020" s="146"/>
      <c r="G3020" s="1"/>
      <c r="H3020" s="161"/>
      <c r="I3020" s="37"/>
      <c r="J3020" s="135"/>
      <c r="K3020" s="112"/>
      <c r="L3020" s="37"/>
      <c r="M3020" s="37"/>
      <c r="N3020" s="37"/>
      <c r="O3020" s="130"/>
      <c r="P3020" s="132"/>
      <c r="Q3020" s="262"/>
      <c r="R3020" s="92"/>
    </row>
    <row r="3021" spans="3:18" x14ac:dyDescent="0.25">
      <c r="C3021" s="264"/>
      <c r="D3021" s="157"/>
      <c r="E3021" s="44"/>
      <c r="F3021" s="146"/>
      <c r="G3021" s="1"/>
      <c r="H3021" s="161"/>
      <c r="I3021" s="37"/>
      <c r="J3021" s="135"/>
      <c r="K3021" s="112"/>
      <c r="L3021" s="37"/>
      <c r="M3021" s="37"/>
      <c r="N3021" s="37"/>
      <c r="O3021" s="130"/>
      <c r="P3021" s="132"/>
      <c r="Q3021" s="262"/>
      <c r="R3021" s="92"/>
    </row>
    <row r="3022" spans="3:18" x14ac:dyDescent="0.25">
      <c r="C3022" s="264"/>
      <c r="D3022" s="157"/>
      <c r="E3022" s="44"/>
      <c r="F3022" s="146"/>
      <c r="G3022" s="1"/>
      <c r="H3022" s="161"/>
      <c r="I3022" s="37"/>
      <c r="J3022" s="135"/>
      <c r="K3022" s="112"/>
      <c r="L3022" s="37"/>
      <c r="M3022" s="37"/>
      <c r="N3022" s="37"/>
      <c r="O3022" s="130"/>
      <c r="P3022" s="132"/>
      <c r="Q3022" s="262"/>
      <c r="R3022" s="92"/>
    </row>
    <row r="3023" spans="3:18" x14ac:dyDescent="0.25">
      <c r="C3023" s="264"/>
      <c r="D3023" s="157"/>
      <c r="E3023" s="44"/>
      <c r="F3023" s="146"/>
      <c r="G3023" s="1"/>
      <c r="H3023" s="161"/>
      <c r="I3023" s="37"/>
      <c r="J3023" s="135"/>
      <c r="K3023" s="112"/>
      <c r="L3023" s="37"/>
      <c r="M3023" s="37"/>
      <c r="N3023" s="37"/>
      <c r="O3023" s="130"/>
      <c r="P3023" s="132"/>
      <c r="Q3023" s="262"/>
      <c r="R3023" s="92"/>
    </row>
    <row r="3024" spans="3:18" x14ac:dyDescent="0.25">
      <c r="C3024" s="264"/>
      <c r="D3024" s="157"/>
      <c r="E3024" s="44"/>
      <c r="F3024" s="146"/>
      <c r="G3024" s="1"/>
      <c r="H3024" s="161"/>
      <c r="I3024" s="37"/>
      <c r="J3024" s="135"/>
      <c r="K3024" s="112"/>
      <c r="L3024" s="37"/>
      <c r="M3024" s="37"/>
      <c r="N3024" s="37"/>
      <c r="O3024" s="130"/>
      <c r="P3024" s="132"/>
      <c r="Q3024" s="262"/>
      <c r="R3024" s="92"/>
    </row>
    <row r="3025" spans="3:18" x14ac:dyDescent="0.25">
      <c r="C3025" s="264"/>
      <c r="D3025" s="157"/>
      <c r="E3025" s="44"/>
      <c r="F3025" s="146"/>
      <c r="G3025" s="1"/>
      <c r="H3025" s="161"/>
      <c r="I3025" s="37"/>
      <c r="J3025" s="135"/>
      <c r="K3025" s="112"/>
      <c r="L3025" s="37"/>
      <c r="M3025" s="37"/>
      <c r="N3025" s="37"/>
      <c r="O3025" s="130"/>
      <c r="P3025" s="132"/>
      <c r="Q3025" s="262"/>
      <c r="R3025" s="92"/>
    </row>
    <row r="3026" spans="3:18" x14ac:dyDescent="0.25">
      <c r="C3026" s="264"/>
      <c r="D3026" s="157"/>
      <c r="E3026" s="44"/>
      <c r="F3026" s="146"/>
      <c r="G3026" s="1"/>
      <c r="H3026" s="161"/>
      <c r="I3026" s="37"/>
      <c r="J3026" s="135"/>
      <c r="K3026" s="112"/>
      <c r="L3026" s="37"/>
      <c r="M3026" s="37"/>
      <c r="N3026" s="37"/>
      <c r="O3026" s="130"/>
      <c r="P3026" s="132"/>
      <c r="Q3026" s="262"/>
      <c r="R3026" s="92"/>
    </row>
    <row r="3027" spans="3:18" x14ac:dyDescent="0.25">
      <c r="C3027" s="264"/>
      <c r="D3027" s="157"/>
      <c r="E3027" s="44"/>
      <c r="F3027" s="146"/>
      <c r="G3027" s="1"/>
      <c r="H3027" s="161"/>
      <c r="I3027" s="37"/>
      <c r="J3027" s="135"/>
      <c r="K3027" s="112"/>
      <c r="L3027" s="37"/>
      <c r="M3027" s="37"/>
      <c r="N3027" s="37"/>
      <c r="O3027" s="130"/>
      <c r="P3027" s="132"/>
      <c r="Q3027" s="262"/>
      <c r="R3027" s="92"/>
    </row>
    <row r="3028" spans="3:18" x14ac:dyDescent="0.25">
      <c r="C3028" s="264"/>
      <c r="D3028" s="157"/>
      <c r="E3028" s="44"/>
      <c r="F3028" s="146"/>
      <c r="G3028" s="1"/>
      <c r="H3028" s="161"/>
      <c r="I3028" s="37"/>
      <c r="J3028" s="135"/>
      <c r="K3028" s="112"/>
      <c r="L3028" s="37"/>
      <c r="M3028" s="37"/>
      <c r="N3028" s="37"/>
      <c r="O3028" s="130"/>
      <c r="P3028" s="132"/>
      <c r="Q3028" s="262"/>
      <c r="R3028" s="92"/>
    </row>
    <row r="3029" spans="3:18" x14ac:dyDescent="0.25">
      <c r="C3029" s="264"/>
      <c r="D3029" s="157"/>
      <c r="E3029" s="44"/>
      <c r="F3029" s="146"/>
      <c r="G3029" s="1"/>
      <c r="H3029" s="161"/>
      <c r="I3029" s="37"/>
      <c r="J3029" s="135"/>
      <c r="K3029" s="112"/>
      <c r="L3029" s="37"/>
      <c r="M3029" s="37"/>
      <c r="N3029" s="37"/>
      <c r="O3029" s="130"/>
      <c r="P3029" s="132"/>
      <c r="Q3029" s="262"/>
      <c r="R3029" s="92"/>
    </row>
    <row r="3030" spans="3:18" x14ac:dyDescent="0.25">
      <c r="C3030" s="264"/>
      <c r="D3030" s="157"/>
      <c r="E3030" s="44"/>
      <c r="F3030" s="146"/>
      <c r="G3030" s="1"/>
      <c r="H3030" s="161"/>
      <c r="I3030" s="37"/>
      <c r="J3030" s="135"/>
      <c r="K3030" s="112"/>
      <c r="L3030" s="37"/>
      <c r="M3030" s="37"/>
      <c r="N3030" s="37"/>
      <c r="O3030" s="130"/>
      <c r="P3030" s="132"/>
      <c r="Q3030" s="262"/>
      <c r="R3030" s="92"/>
    </row>
    <row r="3031" spans="3:18" x14ac:dyDescent="0.25">
      <c r="C3031" s="264"/>
      <c r="D3031" s="157"/>
      <c r="E3031" s="44"/>
      <c r="F3031" s="146"/>
      <c r="G3031" s="1"/>
      <c r="H3031" s="161"/>
      <c r="I3031" s="37"/>
      <c r="J3031" s="135"/>
      <c r="K3031" s="112"/>
      <c r="L3031" s="37"/>
      <c r="M3031" s="37"/>
      <c r="N3031" s="37"/>
      <c r="O3031" s="130"/>
      <c r="P3031" s="132"/>
      <c r="Q3031" s="262"/>
      <c r="R3031" s="92"/>
    </row>
    <row r="3032" spans="3:18" x14ac:dyDescent="0.25">
      <c r="C3032" s="264"/>
      <c r="D3032" s="157"/>
      <c r="E3032" s="44"/>
      <c r="F3032" s="146"/>
      <c r="G3032" s="1"/>
      <c r="H3032" s="161"/>
      <c r="I3032" s="37"/>
      <c r="J3032" s="135"/>
      <c r="K3032" s="112"/>
      <c r="L3032" s="37"/>
      <c r="M3032" s="37"/>
      <c r="N3032" s="37"/>
      <c r="O3032" s="130"/>
      <c r="P3032" s="132"/>
      <c r="Q3032" s="262"/>
      <c r="R3032" s="92"/>
    </row>
    <row r="3033" spans="3:18" x14ac:dyDescent="0.25">
      <c r="C3033" s="264"/>
      <c r="D3033" s="157"/>
      <c r="E3033" s="44"/>
      <c r="F3033" s="146"/>
      <c r="G3033" s="1"/>
      <c r="H3033" s="161"/>
      <c r="I3033" s="37"/>
      <c r="J3033" s="135"/>
      <c r="K3033" s="112"/>
      <c r="L3033" s="37"/>
      <c r="M3033" s="37"/>
      <c r="N3033" s="37"/>
      <c r="O3033" s="130"/>
      <c r="P3033" s="132"/>
      <c r="Q3033" s="262"/>
      <c r="R3033" s="92"/>
    </row>
    <row r="3034" spans="3:18" x14ac:dyDescent="0.25">
      <c r="C3034" s="264"/>
      <c r="D3034" s="157"/>
      <c r="E3034" s="44"/>
      <c r="F3034" s="146"/>
      <c r="G3034" s="1"/>
      <c r="H3034" s="161"/>
      <c r="I3034" s="37"/>
      <c r="J3034" s="135"/>
      <c r="K3034" s="112"/>
      <c r="L3034" s="37"/>
      <c r="M3034" s="37"/>
      <c r="N3034" s="37"/>
      <c r="O3034" s="130"/>
      <c r="P3034" s="132"/>
      <c r="Q3034" s="262"/>
      <c r="R3034" s="92"/>
    </row>
    <row r="3035" spans="3:18" x14ac:dyDescent="0.25">
      <c r="C3035" s="264"/>
      <c r="D3035" s="157"/>
      <c r="E3035" s="44"/>
      <c r="F3035" s="146"/>
      <c r="G3035" s="1"/>
      <c r="H3035" s="161"/>
      <c r="I3035" s="37"/>
      <c r="J3035" s="135"/>
      <c r="K3035" s="112"/>
      <c r="L3035" s="37"/>
      <c r="M3035" s="37"/>
      <c r="N3035" s="37"/>
      <c r="O3035" s="130"/>
      <c r="P3035" s="132"/>
      <c r="Q3035" s="262"/>
      <c r="R3035" s="92"/>
    </row>
    <row r="3036" spans="3:18" x14ac:dyDescent="0.25">
      <c r="C3036" s="264"/>
      <c r="D3036" s="157"/>
      <c r="E3036" s="44"/>
      <c r="F3036" s="146"/>
      <c r="G3036" s="1"/>
      <c r="H3036" s="161"/>
      <c r="I3036" s="37"/>
      <c r="J3036" s="135"/>
      <c r="K3036" s="112"/>
      <c r="L3036" s="37"/>
      <c r="M3036" s="37"/>
      <c r="N3036" s="37"/>
      <c r="O3036" s="130"/>
      <c r="P3036" s="132"/>
      <c r="Q3036" s="262"/>
      <c r="R3036" s="92"/>
    </row>
    <row r="3037" spans="3:18" x14ac:dyDescent="0.25">
      <c r="C3037" s="264"/>
      <c r="D3037" s="157"/>
      <c r="E3037" s="44"/>
      <c r="F3037" s="146"/>
      <c r="G3037" s="1"/>
      <c r="H3037" s="161"/>
      <c r="I3037" s="37"/>
      <c r="J3037" s="135"/>
      <c r="K3037" s="112"/>
      <c r="L3037" s="37"/>
      <c r="M3037" s="37"/>
      <c r="N3037" s="37"/>
      <c r="O3037" s="130"/>
      <c r="P3037" s="132"/>
      <c r="Q3037" s="262"/>
      <c r="R3037" s="92"/>
    </row>
    <row r="3038" spans="3:18" x14ac:dyDescent="0.25">
      <c r="C3038" s="264"/>
      <c r="D3038" s="157"/>
      <c r="E3038" s="44"/>
      <c r="F3038" s="146"/>
      <c r="G3038" s="1"/>
      <c r="H3038" s="161"/>
      <c r="I3038" s="37"/>
      <c r="J3038" s="135"/>
      <c r="K3038" s="112"/>
      <c r="L3038" s="37"/>
      <c r="M3038" s="37"/>
      <c r="N3038" s="37"/>
      <c r="O3038" s="130"/>
      <c r="P3038" s="132"/>
      <c r="Q3038" s="262"/>
      <c r="R3038" s="92"/>
    </row>
    <row r="3039" spans="3:18" x14ac:dyDescent="0.25">
      <c r="C3039" s="264"/>
      <c r="D3039" s="157"/>
      <c r="E3039" s="44"/>
      <c r="F3039" s="146"/>
      <c r="G3039" s="1"/>
      <c r="H3039" s="161"/>
      <c r="I3039" s="37"/>
      <c r="J3039" s="135"/>
      <c r="K3039" s="112"/>
      <c r="L3039" s="37"/>
      <c r="M3039" s="37"/>
      <c r="N3039" s="37"/>
      <c r="O3039" s="130"/>
      <c r="P3039" s="132"/>
      <c r="Q3039" s="262"/>
      <c r="R3039" s="92"/>
    </row>
    <row r="3040" spans="3:18" x14ac:dyDescent="0.25">
      <c r="C3040" s="264"/>
      <c r="D3040" s="157"/>
      <c r="E3040" s="44"/>
      <c r="F3040" s="146"/>
      <c r="G3040" s="1"/>
      <c r="H3040" s="161"/>
      <c r="I3040" s="37"/>
      <c r="J3040" s="135"/>
      <c r="K3040" s="112"/>
      <c r="L3040" s="37"/>
      <c r="M3040" s="37"/>
      <c r="N3040" s="37"/>
      <c r="O3040" s="130"/>
      <c r="P3040" s="132"/>
      <c r="Q3040" s="262"/>
      <c r="R3040" s="92"/>
    </row>
    <row r="3041" spans="3:17" x14ac:dyDescent="0.25">
      <c r="C3041" s="264"/>
      <c r="D3041" s="157"/>
      <c r="E3041" s="44"/>
      <c r="F3041" s="146"/>
      <c r="G3041" s="1"/>
      <c r="H3041" s="161"/>
      <c r="I3041" s="37"/>
      <c r="J3041" s="135"/>
      <c r="K3041" s="112"/>
      <c r="L3041" s="37"/>
      <c r="M3041" s="37"/>
      <c r="N3041" s="37"/>
      <c r="O3041" s="130"/>
      <c r="P3041" s="132"/>
      <c r="Q3041" s="262"/>
    </row>
    <row r="3042" spans="3:17" x14ac:dyDescent="0.25">
      <c r="C3042" s="264"/>
      <c r="D3042" s="157"/>
      <c r="E3042" s="44"/>
      <c r="F3042" s="146"/>
      <c r="G3042" s="1"/>
      <c r="H3042" s="161"/>
      <c r="I3042" s="37"/>
      <c r="J3042" s="135"/>
      <c r="K3042" s="112"/>
      <c r="L3042" s="37"/>
      <c r="M3042" s="37"/>
      <c r="N3042" s="37"/>
      <c r="O3042" s="130"/>
      <c r="P3042" s="132"/>
      <c r="Q3042" s="262"/>
    </row>
    <row r="3043" spans="3:17" x14ac:dyDescent="0.25">
      <c r="C3043" s="264"/>
      <c r="D3043" s="157"/>
      <c r="E3043" s="44"/>
      <c r="F3043" s="146"/>
      <c r="G3043" s="1"/>
      <c r="H3043" s="161"/>
      <c r="I3043" s="37"/>
      <c r="J3043" s="135"/>
      <c r="K3043" s="112"/>
      <c r="L3043" s="37"/>
      <c r="M3043" s="37"/>
      <c r="N3043" s="37"/>
      <c r="O3043" s="130"/>
      <c r="P3043" s="132"/>
      <c r="Q3043" s="262"/>
    </row>
    <row r="3044" spans="3:17" x14ac:dyDescent="0.25">
      <c r="C3044" s="264"/>
      <c r="D3044" s="157"/>
      <c r="E3044" s="44"/>
      <c r="F3044" s="146"/>
      <c r="G3044" s="1"/>
      <c r="H3044" s="161"/>
      <c r="I3044" s="37"/>
      <c r="J3044" s="135"/>
      <c r="K3044" s="112"/>
      <c r="L3044" s="37"/>
      <c r="M3044" s="37"/>
      <c r="N3044" s="37"/>
      <c r="O3044" s="130"/>
      <c r="P3044" s="132"/>
      <c r="Q3044" s="262"/>
    </row>
    <row r="3045" spans="3:17" x14ac:dyDescent="0.25">
      <c r="C3045" s="264"/>
      <c r="D3045" s="157"/>
      <c r="E3045" s="44"/>
      <c r="F3045" s="146"/>
      <c r="G3045" s="1"/>
      <c r="H3045" s="161"/>
      <c r="I3045" s="37"/>
      <c r="J3045" s="135"/>
      <c r="K3045" s="112"/>
      <c r="L3045" s="37"/>
      <c r="M3045" s="37"/>
      <c r="N3045" s="37"/>
      <c r="O3045" s="130"/>
      <c r="P3045" s="132"/>
      <c r="Q3045" s="262"/>
    </row>
    <row r="3046" spans="3:17" x14ac:dyDescent="0.25">
      <c r="C3046" s="264"/>
      <c r="D3046" s="157"/>
      <c r="E3046" s="44"/>
      <c r="F3046" s="146"/>
      <c r="G3046" s="1"/>
      <c r="H3046" s="161"/>
      <c r="I3046" s="37"/>
      <c r="J3046" s="135"/>
      <c r="K3046" s="112"/>
      <c r="L3046" s="37"/>
      <c r="M3046" s="37"/>
      <c r="N3046" s="37"/>
      <c r="O3046" s="130"/>
      <c r="P3046" s="132"/>
      <c r="Q3046" s="262"/>
    </row>
    <row r="3047" spans="3:17" x14ac:dyDescent="0.25">
      <c r="C3047" s="264"/>
      <c r="D3047" s="157"/>
      <c r="E3047" s="44"/>
      <c r="F3047" s="146"/>
      <c r="G3047" s="1"/>
      <c r="H3047" s="161"/>
      <c r="I3047" s="37"/>
      <c r="J3047" s="135"/>
      <c r="K3047" s="112"/>
      <c r="L3047" s="37"/>
      <c r="M3047" s="37"/>
      <c r="N3047" s="37"/>
      <c r="O3047" s="130"/>
      <c r="P3047" s="132"/>
      <c r="Q3047" s="262"/>
    </row>
    <row r="3048" spans="3:17" x14ac:dyDescent="0.25">
      <c r="C3048" s="264"/>
      <c r="D3048" s="157"/>
      <c r="E3048" s="44"/>
      <c r="F3048" s="146"/>
      <c r="G3048" s="1"/>
      <c r="H3048" s="161"/>
      <c r="I3048" s="37"/>
      <c r="J3048" s="135"/>
      <c r="K3048" s="112"/>
      <c r="L3048" s="37"/>
      <c r="M3048" s="37"/>
      <c r="N3048" s="37"/>
      <c r="O3048" s="130"/>
      <c r="P3048" s="132"/>
      <c r="Q3048" s="262"/>
    </row>
    <row r="3049" spans="3:17" x14ac:dyDescent="0.25">
      <c r="C3049" s="264"/>
      <c r="D3049" s="157"/>
      <c r="E3049" s="44"/>
      <c r="F3049" s="146"/>
      <c r="G3049" s="1"/>
      <c r="H3049" s="161"/>
      <c r="I3049" s="37"/>
      <c r="J3049" s="135"/>
      <c r="K3049" s="112"/>
      <c r="L3049" s="37"/>
      <c r="M3049" s="37"/>
      <c r="N3049" s="37"/>
      <c r="O3049" s="130"/>
      <c r="P3049" s="132"/>
      <c r="Q3049" s="262"/>
    </row>
    <row r="3050" spans="3:17" x14ac:dyDescent="0.25">
      <c r="C3050" s="264"/>
      <c r="D3050" s="157"/>
      <c r="E3050" s="44"/>
      <c r="F3050" s="146"/>
      <c r="G3050" s="1"/>
      <c r="H3050" s="161"/>
      <c r="I3050" s="37"/>
      <c r="J3050" s="135"/>
      <c r="K3050" s="112"/>
      <c r="L3050" s="37"/>
      <c r="M3050" s="37"/>
      <c r="N3050" s="37"/>
      <c r="O3050" s="130"/>
      <c r="P3050" s="132"/>
      <c r="Q3050" s="262"/>
    </row>
    <row r="3051" spans="3:17" x14ac:dyDescent="0.25">
      <c r="C3051" s="264"/>
      <c r="D3051" s="157"/>
      <c r="E3051" s="44"/>
      <c r="F3051" s="146"/>
      <c r="G3051" s="1"/>
      <c r="H3051" s="161"/>
      <c r="I3051" s="37"/>
      <c r="J3051" s="135"/>
      <c r="K3051" s="112"/>
      <c r="L3051" s="37"/>
      <c r="M3051" s="37"/>
      <c r="N3051" s="37"/>
      <c r="O3051" s="130"/>
      <c r="P3051" s="132"/>
      <c r="Q3051" s="262"/>
    </row>
    <row r="3052" spans="3:17" x14ac:dyDescent="0.25">
      <c r="C3052" s="264"/>
      <c r="D3052" s="157"/>
      <c r="E3052" s="44"/>
      <c r="F3052" s="146"/>
      <c r="G3052" s="1"/>
      <c r="H3052" s="161"/>
      <c r="I3052" s="37"/>
      <c r="J3052" s="135"/>
      <c r="K3052" s="112"/>
      <c r="L3052" s="37"/>
      <c r="M3052" s="37"/>
      <c r="N3052" s="37"/>
      <c r="O3052" s="130" t="str">
        <f t="shared" ref="O3052:O3055" si="95">IF(N3052="","-",L3052*N3052)</f>
        <v>-</v>
      </c>
      <c r="P3052" s="132"/>
      <c r="Q3052" s="262"/>
    </row>
    <row r="3053" spans="3:17" x14ac:dyDescent="0.25">
      <c r="C3053" s="264"/>
      <c r="D3053" s="157"/>
      <c r="E3053" s="44"/>
      <c r="F3053" s="146"/>
      <c r="G3053" s="1"/>
      <c r="H3053" s="161"/>
      <c r="I3053" s="37"/>
      <c r="J3053" s="135"/>
      <c r="K3053" s="112"/>
      <c r="L3053" s="37"/>
      <c r="M3053" s="37"/>
      <c r="N3053" s="37"/>
      <c r="O3053" s="130" t="str">
        <f t="shared" si="95"/>
        <v>-</v>
      </c>
      <c r="P3053" s="132"/>
      <c r="Q3053" s="262"/>
    </row>
    <row r="3054" spans="3:17" x14ac:dyDescent="0.25">
      <c r="C3054" s="264"/>
      <c r="D3054" s="157"/>
      <c r="E3054" s="44"/>
      <c r="F3054" s="146"/>
      <c r="G3054" s="1"/>
      <c r="H3054" s="161"/>
      <c r="I3054" s="37"/>
      <c r="J3054" s="135"/>
      <c r="K3054" s="112"/>
      <c r="L3054" s="37"/>
      <c r="M3054" s="37"/>
      <c r="N3054" s="37"/>
      <c r="O3054" s="130" t="str">
        <f t="shared" si="95"/>
        <v>-</v>
      </c>
      <c r="P3054" s="132"/>
      <c r="Q3054" s="262"/>
    </row>
    <row r="3055" spans="3:17" x14ac:dyDescent="0.25">
      <c r="C3055" s="264"/>
      <c r="D3055" s="157"/>
      <c r="E3055" s="44"/>
      <c r="F3055" s="146"/>
      <c r="G3055" s="1"/>
      <c r="H3055" s="161"/>
      <c r="I3055" s="37"/>
      <c r="J3055" s="135"/>
      <c r="K3055" s="112"/>
      <c r="L3055" s="37"/>
      <c r="M3055" s="37"/>
      <c r="N3055" s="37"/>
      <c r="O3055" s="130" t="str">
        <f t="shared" si="95"/>
        <v>-</v>
      </c>
      <c r="P3055" s="132"/>
      <c r="Q3055" s="262"/>
    </row>
  </sheetData>
  <phoneticPr fontId="29" type="noConversion"/>
  <conditionalFormatting sqref="J23:J3055">
    <cfRule type="cellIs" dxfId="24" priority="21" operator="equal">
      <formula>1</formula>
    </cfRule>
  </conditionalFormatting>
  <conditionalFormatting sqref="F840:F1352">
    <cfRule type="containsText" dxfId="23" priority="20" operator="containsText" text="ERROR">
      <formula>NOT(ISERROR(SEARCH("ERROR",F840)))</formula>
    </cfRule>
  </conditionalFormatting>
  <conditionalFormatting sqref="F22">
    <cfRule type="containsText" dxfId="22" priority="18" operator="containsText" text="ERROR">
      <formula>NOT(ISERROR(SEARCH("ERROR",F22)))</formula>
    </cfRule>
  </conditionalFormatting>
  <conditionalFormatting sqref="J29:J108">
    <cfRule type="cellIs" dxfId="21" priority="15" operator="equal">
      <formula>1</formula>
    </cfRule>
  </conditionalFormatting>
  <conditionalFormatting sqref="E22:E536">
    <cfRule type="expression" dxfId="20" priority="13">
      <formula>$A22&gt;2004</formula>
    </cfRule>
  </conditionalFormatting>
  <conditionalFormatting sqref="E840:E1342">
    <cfRule type="expression" dxfId="19" priority="12">
      <formula>$A840&gt;2004</formula>
    </cfRule>
  </conditionalFormatting>
  <conditionalFormatting sqref="F1353 F1360:F3055">
    <cfRule type="containsText" dxfId="18" priority="11" operator="containsText" text="ERROR">
      <formula>NOT(ISERROR(SEARCH("ERROR",F1353)))</formula>
    </cfRule>
  </conditionalFormatting>
  <conditionalFormatting sqref="E1343:E1344 E1353 E1360:E3055">
    <cfRule type="expression" dxfId="17" priority="9">
      <formula>$A1343&gt;2004</formula>
    </cfRule>
  </conditionalFormatting>
  <conditionalFormatting sqref="E1345:E1352">
    <cfRule type="expression" dxfId="16" priority="8">
      <formula>$A1345&gt;2004</formula>
    </cfRule>
  </conditionalFormatting>
  <conditionalFormatting sqref="F1354:F1359">
    <cfRule type="containsText" dxfId="15" priority="7" operator="containsText" text="ERROR">
      <formula>NOT(ISERROR(SEARCH("ERROR",F1354)))</formula>
    </cfRule>
  </conditionalFormatting>
  <conditionalFormatting sqref="E1354:E1359">
    <cfRule type="expression" dxfId="14" priority="6">
      <formula>$A1354&gt;2004</formula>
    </cfRule>
  </conditionalFormatting>
  <conditionalFormatting sqref="F23:F536">
    <cfRule type="containsText" dxfId="13" priority="5" operator="containsText" text="ERROR">
      <formula>NOT(ISERROR(SEARCH("ERROR",F23)))</formula>
    </cfRule>
  </conditionalFormatting>
  <conditionalFormatting sqref="F537:F839">
    <cfRule type="containsText" dxfId="12" priority="3" operator="containsText" text="ERROR">
      <formula>NOT(ISERROR(SEARCH("ERROR",F537)))</formula>
    </cfRule>
  </conditionalFormatting>
  <conditionalFormatting sqref="E537:E839">
    <cfRule type="expression" dxfId="11" priority="2">
      <formula>$A537&gt;2004</formula>
    </cfRule>
  </conditionalFormatting>
  <conditionalFormatting sqref="J22">
    <cfRule type="cellIs" dxfId="10"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3049"/>
  <sheetViews>
    <sheetView showGridLines="0" zoomScale="70" zoomScaleNormal="70" workbookViewId="0">
      <pane ySplit="21" topLeftCell="A22" activePane="bottomLeft" state="frozen"/>
      <selection activeCell="R21" sqref="R21"/>
      <selection pane="bottomLeft" activeCell="M27" sqref="M27"/>
    </sheetView>
  </sheetViews>
  <sheetFormatPr defaultRowHeight="11.5" outlineLevelRow="1" x14ac:dyDescent="0.25"/>
  <cols>
    <col min="1" max="1" width="10.09765625" style="326" bestFit="1" customWidth="1"/>
    <col min="2" max="2" width="12" style="326"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5" width="15.69921875" customWidth="1"/>
    <col min="16" max="16" width="15.69921875" style="327" customWidth="1"/>
    <col min="17" max="17" width="11.8984375" style="327" customWidth="1"/>
    <col min="18" max="18" width="9.09765625" customWidth="1"/>
  </cols>
  <sheetData>
    <row r="1" spans="3:18" x14ac:dyDescent="0.25">
      <c r="E1" s="42"/>
      <c r="P1"/>
      <c r="Q1"/>
    </row>
    <row r="2" spans="3:18" x14ac:dyDescent="0.25">
      <c r="E2" s="42"/>
      <c r="F2" s="42"/>
      <c r="P2"/>
      <c r="Q2"/>
    </row>
    <row r="3" spans="3:18" ht="20" x14ac:dyDescent="0.4">
      <c r="C3" s="70" t="s">
        <v>204</v>
      </c>
      <c r="P3"/>
      <c r="Q3"/>
    </row>
    <row r="4" spans="3:18" hidden="1" outlineLevel="1" x14ac:dyDescent="0.25">
      <c r="P4"/>
      <c r="Q4"/>
    </row>
    <row r="5" spans="3:18" hidden="1" outlineLevel="1" x14ac:dyDescent="0.25">
      <c r="P5"/>
      <c r="Q5"/>
    </row>
    <row r="6" spans="3:18" ht="12" hidden="1" customHeight="1" outlineLevel="1" x14ac:dyDescent="0.25">
      <c r="C6" s="147"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08" t="str">
        <f ca="1">"Hyperlink to the '"&amp;MID(CELL("filename",'Asset exclusions'!A1),FIND("]",CELL("filename",'Asset exclusions'!A1))+1,255)&amp;"' worksheet:"</f>
        <v>Hyperlink to the 'Asset exclusions' worksheet:</v>
      </c>
      <c r="E7" s="209" t="s">
        <v>188</v>
      </c>
      <c r="G7" s="92"/>
      <c r="H7" s="92"/>
      <c r="I7" s="92"/>
      <c r="J7" s="92"/>
      <c r="K7" s="92"/>
      <c r="L7" s="92"/>
      <c r="M7" s="92"/>
      <c r="N7" s="92"/>
      <c r="O7" s="92"/>
      <c r="P7" s="92"/>
      <c r="Q7" s="92"/>
      <c r="R7" s="92"/>
    </row>
    <row r="8" spans="3:18" hidden="1" outlineLevel="1" x14ac:dyDescent="0.25">
      <c r="C8" s="208"/>
      <c r="E8" s="209"/>
      <c r="G8" s="92"/>
      <c r="H8" s="92"/>
      <c r="I8" s="92"/>
      <c r="J8" s="92"/>
      <c r="K8" s="92"/>
      <c r="L8" s="92"/>
      <c r="M8" s="92"/>
      <c r="N8" s="92"/>
      <c r="O8" s="92"/>
      <c r="P8" s="92"/>
      <c r="Q8" s="92"/>
      <c r="R8" s="92"/>
    </row>
    <row r="9" spans="3:18" hidden="1" outlineLevel="1" x14ac:dyDescent="0.25">
      <c r="C9" s="208" t="s">
        <v>243</v>
      </c>
      <c r="E9" s="209"/>
      <c r="G9" s="92"/>
      <c r="H9" s="92"/>
      <c r="I9" s="92"/>
      <c r="J9" s="92"/>
      <c r="K9" s="92"/>
      <c r="L9" s="92"/>
      <c r="M9" s="92"/>
      <c r="N9" s="92"/>
      <c r="O9" s="92"/>
      <c r="P9" s="92"/>
      <c r="Q9" s="92"/>
      <c r="R9" s="92"/>
    </row>
    <row r="10" spans="3:18" hidden="1" outlineLevel="1" x14ac:dyDescent="0.25">
      <c r="C10" s="208" t="s">
        <v>246</v>
      </c>
      <c r="E10" s="209"/>
      <c r="G10" s="92"/>
      <c r="H10" s="92"/>
      <c r="I10" s="92"/>
      <c r="J10" s="92"/>
      <c r="K10" s="92"/>
      <c r="L10" s="92"/>
      <c r="M10" s="92"/>
      <c r="N10" s="92"/>
      <c r="O10" s="92"/>
      <c r="P10" s="92"/>
      <c r="Q10" s="92"/>
      <c r="R10" s="92"/>
    </row>
    <row r="11" spans="3:18" hidden="1" outlineLevel="1" x14ac:dyDescent="0.25">
      <c r="C11" s="208" t="s">
        <v>245</v>
      </c>
      <c r="E11" s="209"/>
      <c r="G11" s="92"/>
      <c r="H11" s="92"/>
      <c r="I11" s="92"/>
      <c r="J11" s="92"/>
      <c r="K11" s="92"/>
      <c r="L11" s="92"/>
      <c r="M11" s="92"/>
      <c r="N11" s="92"/>
      <c r="O11" s="92"/>
      <c r="P11" s="92"/>
      <c r="Q11" s="92"/>
      <c r="R11" s="92"/>
    </row>
    <row r="12" spans="3:18" hidden="1" outlineLevel="1" x14ac:dyDescent="0.25">
      <c r="C12" s="208" t="s">
        <v>244</v>
      </c>
      <c r="E12" s="209"/>
      <c r="G12" s="92"/>
      <c r="H12" s="92"/>
      <c r="I12" s="92"/>
      <c r="J12" s="92"/>
      <c r="K12" s="92"/>
      <c r="L12" s="92"/>
      <c r="M12" s="92"/>
      <c r="N12" s="92"/>
      <c r="O12" s="92"/>
      <c r="P12" s="92"/>
      <c r="Q12" s="92"/>
      <c r="R12" s="92"/>
    </row>
    <row r="13" spans="3:18" collapsed="1" x14ac:dyDescent="0.25">
      <c r="C13" s="92"/>
      <c r="D13" s="92"/>
      <c r="E13" s="92"/>
      <c r="F13" s="92"/>
      <c r="G13" s="92"/>
      <c r="H13" s="92"/>
      <c r="I13" s="92"/>
      <c r="J13" s="92"/>
      <c r="K13" s="92"/>
      <c r="L13" s="92"/>
      <c r="M13" s="92"/>
      <c r="N13" s="92"/>
      <c r="O13" s="92"/>
      <c r="P13" s="92"/>
      <c r="Q13" s="92"/>
      <c r="R13" s="92"/>
    </row>
    <row r="14" spans="3:18" x14ac:dyDescent="0.25">
      <c r="C14" s="122" t="s">
        <v>54</v>
      </c>
      <c r="D14" s="92"/>
      <c r="E14" s="92"/>
      <c r="F14" s="92"/>
      <c r="G14" s="92"/>
      <c r="H14" s="92"/>
      <c r="I14" s="92"/>
      <c r="J14" s="92"/>
      <c r="K14" s="92"/>
      <c r="L14" s="92"/>
      <c r="M14" s="92"/>
      <c r="N14" s="92"/>
      <c r="O14" s="92"/>
      <c r="P14" s="92"/>
      <c r="Q14" s="92"/>
      <c r="R14" s="92"/>
    </row>
    <row r="15" spans="3:18" ht="12" x14ac:dyDescent="0.3">
      <c r="C15" s="123" t="s">
        <v>58</v>
      </c>
      <c r="D15" s="92"/>
      <c r="E15" s="137">
        <f>'General inputs'!$H$18+1</f>
        <v>44378</v>
      </c>
      <c r="F15" s="92"/>
      <c r="G15" s="92"/>
      <c r="H15" s="265" t="s">
        <v>273</v>
      </c>
      <c r="I15" s="91"/>
      <c r="J15" s="268"/>
      <c r="K15" s="91"/>
      <c r="L15" s="91"/>
      <c r="M15" s="92"/>
      <c r="N15" s="92"/>
      <c r="O15" s="92"/>
      <c r="P15" s="92"/>
      <c r="Q15" s="92"/>
      <c r="R15" s="92"/>
    </row>
    <row r="16" spans="3:18" ht="12" x14ac:dyDescent="0.3">
      <c r="C16" s="123"/>
      <c r="D16" s="92"/>
      <c r="E16" s="92"/>
      <c r="F16" s="92"/>
      <c r="G16" s="92"/>
      <c r="H16" s="266" t="s">
        <v>283</v>
      </c>
      <c r="I16" s="267">
        <f>SUMIF($B$22:$B$150,H16,$P$22:$P$150)/$J$22</f>
        <v>291346645.86152399</v>
      </c>
      <c r="J16" s="269"/>
      <c r="K16" s="91"/>
      <c r="L16" s="274"/>
      <c r="M16" s="92"/>
      <c r="N16" s="92"/>
      <c r="O16" s="92"/>
      <c r="P16" s="92"/>
      <c r="Q16" s="92"/>
      <c r="R16" s="92"/>
    </row>
    <row r="17" spans="1:18" ht="12" x14ac:dyDescent="0.3">
      <c r="C17" s="92"/>
      <c r="D17" s="92"/>
      <c r="E17" s="92"/>
      <c r="F17" s="92"/>
      <c r="G17" s="92"/>
      <c r="H17" s="268" t="s">
        <v>284</v>
      </c>
      <c r="I17" s="269">
        <f>SUMIF($B$22:$B$150,H17,$P$22:$P$150)/$J$22</f>
        <v>551421526.15157318</v>
      </c>
      <c r="J17" s="269"/>
      <c r="K17" s="91"/>
      <c r="L17" s="274"/>
      <c r="M17" s="92"/>
      <c r="N17" s="92"/>
      <c r="O17" s="92"/>
      <c r="P17" s="92"/>
      <c r="Q17" s="92"/>
      <c r="R17" s="92"/>
    </row>
    <row r="18" spans="1:18" ht="15.5" x14ac:dyDescent="0.35">
      <c r="C18" s="229" t="s">
        <v>210</v>
      </c>
      <c r="E18" s="92"/>
      <c r="F18" s="92"/>
      <c r="G18" s="92"/>
      <c r="H18" s="270" t="s">
        <v>285</v>
      </c>
      <c r="I18" s="271">
        <f>SUMIF($B$22:$B$150,H18,$P$22:$P$150)/$J$22</f>
        <v>472700603.35285407</v>
      </c>
      <c r="J18" s="269"/>
      <c r="K18" s="91"/>
      <c r="L18" s="274"/>
      <c r="M18" s="92"/>
      <c r="N18" s="92"/>
      <c r="O18" s="92"/>
      <c r="P18" s="92"/>
      <c r="Q18" s="92"/>
      <c r="R18" s="92"/>
    </row>
    <row r="19" spans="1:18" ht="12" x14ac:dyDescent="0.3">
      <c r="C19" s="92"/>
      <c r="D19" s="92"/>
      <c r="E19" s="92"/>
      <c r="F19" s="92"/>
      <c r="G19" s="92"/>
      <c r="H19" s="270" t="s">
        <v>287</v>
      </c>
      <c r="I19" s="271">
        <f>SUMIF($B$22:$B$150,H19,$P$22:$P$150)/$J$22</f>
        <v>1173408984</v>
      </c>
      <c r="J19" s="269"/>
      <c r="K19" s="91"/>
      <c r="L19" s="274"/>
      <c r="M19" s="92"/>
      <c r="N19" s="92"/>
      <c r="O19" s="92"/>
      <c r="P19" s="92"/>
      <c r="Q19" s="92"/>
      <c r="R19" s="92"/>
    </row>
    <row r="20" spans="1:18" x14ac:dyDescent="0.25">
      <c r="C20" s="122" t="s">
        <v>16</v>
      </c>
      <c r="D20" s="92"/>
      <c r="E20" s="92"/>
      <c r="F20" s="92"/>
      <c r="G20" s="92"/>
      <c r="H20" s="122" t="s">
        <v>17</v>
      </c>
      <c r="I20" s="92"/>
      <c r="J20" s="92"/>
      <c r="K20" s="92"/>
      <c r="L20" s="122" t="s">
        <v>18</v>
      </c>
      <c r="M20" s="122"/>
      <c r="N20" s="92"/>
      <c r="O20" s="92"/>
      <c r="P20" s="92"/>
      <c r="Q20" s="92"/>
      <c r="R20" s="92"/>
    </row>
    <row r="21" spans="1:18" ht="46" x14ac:dyDescent="0.25">
      <c r="C21" s="35" t="s">
        <v>13</v>
      </c>
      <c r="D21" s="35" t="s">
        <v>12</v>
      </c>
      <c r="E21" s="35" t="s">
        <v>14</v>
      </c>
      <c r="F21" s="35" t="s">
        <v>25</v>
      </c>
      <c r="G21" s="92"/>
      <c r="H21" s="35" t="s">
        <v>30</v>
      </c>
      <c r="I21" s="35" t="s">
        <v>90</v>
      </c>
      <c r="J21" s="35" t="s">
        <v>88</v>
      </c>
      <c r="K21" s="92"/>
      <c r="L21" s="35" t="s">
        <v>89</v>
      </c>
      <c r="M21" s="35" t="s">
        <v>114</v>
      </c>
      <c r="N21" s="35" t="s">
        <v>552</v>
      </c>
      <c r="O21" s="35" t="s">
        <v>553</v>
      </c>
      <c r="P21" s="35" t="s">
        <v>554</v>
      </c>
      <c r="Q21" s="260" t="s">
        <v>531</v>
      </c>
      <c r="R21" s="92"/>
    </row>
    <row r="22" spans="1:18" ht="28.25" customHeight="1" x14ac:dyDescent="0.25">
      <c r="A22" s="326">
        <v>2026</v>
      </c>
      <c r="B22" s="326" t="s">
        <v>283</v>
      </c>
      <c r="C22" s="263"/>
      <c r="D22" s="156"/>
      <c r="E22" s="43"/>
      <c r="F22" s="126"/>
      <c r="G22" s="1"/>
      <c r="H22" s="160"/>
      <c r="I22" s="36"/>
      <c r="J22" s="134">
        <v>1</v>
      </c>
      <c r="K22" s="112"/>
      <c r="L22" s="36"/>
      <c r="M22" s="36"/>
      <c r="N22" s="36"/>
      <c r="O22" s="129"/>
      <c r="P22" s="131"/>
      <c r="Q22" s="262"/>
      <c r="R22" s="92"/>
    </row>
    <row r="23" spans="1:18" ht="46" x14ac:dyDescent="0.25">
      <c r="A23" s="326">
        <v>2022</v>
      </c>
      <c r="B23" s="326" t="s">
        <v>283</v>
      </c>
      <c r="C23" s="264"/>
      <c r="D23" s="157" t="s">
        <v>485</v>
      </c>
      <c r="E23" s="44">
        <f t="shared" ref="E23:E28" si="0">DATEVALUE("30 Jun "&amp;A23)</f>
        <v>44742</v>
      </c>
      <c r="F23" s="127" t="str">
        <f t="shared" ref="F23:F51" si="1">IF(E23="","-",IF(E23&lt;$E$15,"ERROR - date outside of range",IF(MONTH(E23)&gt;=7,YEAR(E23)&amp;"-"&amp;RIGHT(YEAR(E23),2)+1,YEAR(E23)-1&amp;"-"&amp;RIGHT(YEAR(E23),2))))</f>
        <v>2021-22</v>
      </c>
      <c r="G23" s="1"/>
      <c r="H23" s="161"/>
      <c r="I23" s="37"/>
      <c r="J23" s="135">
        <f>J22</f>
        <v>1</v>
      </c>
      <c r="K23" s="112"/>
      <c r="L23" s="37">
        <v>1</v>
      </c>
      <c r="M23" s="37" t="s">
        <v>519</v>
      </c>
      <c r="N23" s="37">
        <v>4200101</v>
      </c>
      <c r="O23" s="130">
        <f t="shared" ref="O23:O28" si="2">IF(N23="","-",L23*N23)</f>
        <v>4200101</v>
      </c>
      <c r="P23" s="132">
        <f>IF(O23="-","-",IF(E23&lt;$E$15,0,O23*J23)*Q23)</f>
        <v>4200101</v>
      </c>
      <c r="Q23" s="262">
        <v>1</v>
      </c>
      <c r="R23" s="136"/>
    </row>
    <row r="24" spans="1:18" ht="23" x14ac:dyDescent="0.25">
      <c r="A24" s="326">
        <v>2022</v>
      </c>
      <c r="B24" s="326" t="s">
        <v>283</v>
      </c>
      <c r="C24" s="264"/>
      <c r="D24" s="157" t="s">
        <v>486</v>
      </c>
      <c r="E24" s="44">
        <f t="shared" si="0"/>
        <v>44742</v>
      </c>
      <c r="F24" s="127" t="str">
        <f t="shared" si="1"/>
        <v>2021-22</v>
      </c>
      <c r="G24" s="1"/>
      <c r="H24" s="158"/>
      <c r="I24" s="37"/>
      <c r="J24" s="135">
        <f t="shared" ref="J24:J40" si="3">J23</f>
        <v>1</v>
      </c>
      <c r="K24" s="112"/>
      <c r="L24" s="37">
        <v>1</v>
      </c>
      <c r="M24" s="37" t="s">
        <v>519</v>
      </c>
      <c r="N24" s="37">
        <v>957069</v>
      </c>
      <c r="O24" s="130">
        <f t="shared" si="2"/>
        <v>957069</v>
      </c>
      <c r="P24" s="132">
        <f t="shared" ref="P24:P51" si="4">IF(O24="-","-",IF(E24&lt;$E$15,0,O24*J24)*Q24)</f>
        <v>957069</v>
      </c>
      <c r="Q24" s="262">
        <v>1</v>
      </c>
      <c r="R24" s="92"/>
    </row>
    <row r="25" spans="1:18" ht="46" x14ac:dyDescent="0.25">
      <c r="A25" s="326">
        <v>2022</v>
      </c>
      <c r="B25" s="326" t="s">
        <v>283</v>
      </c>
      <c r="C25" s="264"/>
      <c r="D25" s="157" t="s">
        <v>487</v>
      </c>
      <c r="E25" s="44">
        <f t="shared" si="0"/>
        <v>44742</v>
      </c>
      <c r="F25" s="127" t="str">
        <f t="shared" si="1"/>
        <v>2021-22</v>
      </c>
      <c r="G25" s="1"/>
      <c r="H25" s="158"/>
      <c r="I25" s="37"/>
      <c r="J25" s="135">
        <f t="shared" si="3"/>
        <v>1</v>
      </c>
      <c r="K25" s="112"/>
      <c r="L25" s="37">
        <v>1</v>
      </c>
      <c r="M25" s="37" t="s">
        <v>519</v>
      </c>
      <c r="N25" s="37">
        <v>2464320</v>
      </c>
      <c r="O25" s="130">
        <f t="shared" si="2"/>
        <v>2464320</v>
      </c>
      <c r="P25" s="132">
        <f t="shared" si="4"/>
        <v>2464320</v>
      </c>
      <c r="Q25" s="262">
        <v>1</v>
      </c>
      <c r="R25" s="92"/>
    </row>
    <row r="26" spans="1:18" ht="46" x14ac:dyDescent="0.25">
      <c r="A26" s="326">
        <v>2022</v>
      </c>
      <c r="B26" s="326" t="s">
        <v>283</v>
      </c>
      <c r="C26" s="264"/>
      <c r="D26" s="157" t="s">
        <v>488</v>
      </c>
      <c r="E26" s="44">
        <f t="shared" si="0"/>
        <v>44742</v>
      </c>
      <c r="F26" s="127" t="str">
        <f t="shared" si="1"/>
        <v>2021-22</v>
      </c>
      <c r="G26" s="1"/>
      <c r="H26" s="158"/>
      <c r="I26" s="37"/>
      <c r="J26" s="135">
        <f t="shared" si="3"/>
        <v>1</v>
      </c>
      <c r="K26" s="112"/>
      <c r="L26" s="37">
        <v>1</v>
      </c>
      <c r="M26" s="37" t="s">
        <v>519</v>
      </c>
      <c r="N26" s="37">
        <v>5024938</v>
      </c>
      <c r="O26" s="130">
        <f t="shared" si="2"/>
        <v>5024938</v>
      </c>
      <c r="P26" s="132">
        <f t="shared" si="4"/>
        <v>5024938</v>
      </c>
      <c r="Q26" s="262">
        <v>1</v>
      </c>
      <c r="R26" s="92"/>
    </row>
    <row r="27" spans="1:18" ht="23" x14ac:dyDescent="0.25">
      <c r="A27" s="326">
        <v>2023</v>
      </c>
      <c r="B27" s="326" t="s">
        <v>283</v>
      </c>
      <c r="C27" s="264"/>
      <c r="D27" s="157" t="s">
        <v>489</v>
      </c>
      <c r="E27" s="44">
        <f t="shared" si="0"/>
        <v>45107</v>
      </c>
      <c r="F27" s="127" t="str">
        <f t="shared" si="1"/>
        <v>2022-23</v>
      </c>
      <c r="G27" s="1"/>
      <c r="H27" s="158"/>
      <c r="I27" s="37"/>
      <c r="J27" s="135">
        <f t="shared" si="3"/>
        <v>1</v>
      </c>
      <c r="K27" s="112"/>
      <c r="L27" s="37">
        <v>1</v>
      </c>
      <c r="M27" s="37" t="s">
        <v>519</v>
      </c>
      <c r="N27" s="37">
        <v>7603156</v>
      </c>
      <c r="O27" s="130">
        <f t="shared" si="2"/>
        <v>7603156</v>
      </c>
      <c r="P27" s="132">
        <f t="shared" si="4"/>
        <v>7603156</v>
      </c>
      <c r="Q27" s="262">
        <v>1</v>
      </c>
      <c r="R27" s="92"/>
    </row>
    <row r="28" spans="1:18" ht="23" x14ac:dyDescent="0.25">
      <c r="A28" s="326">
        <v>2022</v>
      </c>
      <c r="B28" s="326" t="s">
        <v>283</v>
      </c>
      <c r="C28" s="264"/>
      <c r="D28" s="157" t="s">
        <v>490</v>
      </c>
      <c r="E28" s="44">
        <f t="shared" si="0"/>
        <v>44742</v>
      </c>
      <c r="F28" s="127" t="str">
        <f t="shared" si="1"/>
        <v>2021-22</v>
      </c>
      <c r="G28" s="1"/>
      <c r="H28" s="158"/>
      <c r="I28" s="37"/>
      <c r="J28" s="135">
        <f t="shared" si="3"/>
        <v>1</v>
      </c>
      <c r="K28" s="112"/>
      <c r="L28" s="37">
        <v>1</v>
      </c>
      <c r="M28" s="37" t="s">
        <v>519</v>
      </c>
      <c r="N28" s="37">
        <v>1283822</v>
      </c>
      <c r="O28" s="130">
        <f t="shared" si="2"/>
        <v>1283822</v>
      </c>
      <c r="P28" s="132">
        <f t="shared" si="4"/>
        <v>1283822</v>
      </c>
      <c r="Q28" s="262">
        <v>1</v>
      </c>
      <c r="R28" s="92"/>
    </row>
    <row r="29" spans="1:18" x14ac:dyDescent="0.25">
      <c r="C29" s="264"/>
      <c r="D29" s="157"/>
      <c r="E29" s="44"/>
      <c r="F29" s="127"/>
      <c r="G29" s="1"/>
      <c r="H29" s="158"/>
      <c r="I29" s="37"/>
      <c r="J29" s="135"/>
      <c r="K29" s="112"/>
      <c r="L29" s="37"/>
      <c r="M29" s="37"/>
      <c r="N29" s="37"/>
      <c r="O29" s="130"/>
      <c r="P29" s="132"/>
      <c r="Q29" s="262"/>
      <c r="R29" s="92"/>
    </row>
    <row r="30" spans="1:18" x14ac:dyDescent="0.25">
      <c r="A30" s="326">
        <v>2026</v>
      </c>
      <c r="B30" s="326" t="s">
        <v>284</v>
      </c>
      <c r="C30" s="264"/>
      <c r="D30" s="157" t="s">
        <v>491</v>
      </c>
      <c r="E30" s="44">
        <f t="shared" ref="E30" si="5">DATEVALUE("30 Jun "&amp;A30)</f>
        <v>46203</v>
      </c>
      <c r="F30" s="127" t="str">
        <f t="shared" si="1"/>
        <v>2025-26</v>
      </c>
      <c r="G30" s="1"/>
      <c r="H30" s="158"/>
      <c r="I30" s="37"/>
      <c r="J30" s="135">
        <f>J28</f>
        <v>1</v>
      </c>
      <c r="K30" s="112"/>
      <c r="L30" s="37">
        <v>1</v>
      </c>
      <c r="M30" s="37" t="s">
        <v>528</v>
      </c>
      <c r="N30" s="37"/>
      <c r="O30" s="130" t="str">
        <f t="shared" ref="O30:O31" si="6">IF(N30="","-",L30*N30)</f>
        <v>-</v>
      </c>
      <c r="P30" s="132" t="str">
        <f t="shared" si="4"/>
        <v>-</v>
      </c>
      <c r="Q30" s="262">
        <v>1</v>
      </c>
      <c r="R30" s="92"/>
    </row>
    <row r="31" spans="1:18" x14ac:dyDescent="0.25">
      <c r="A31" s="326">
        <v>2026</v>
      </c>
      <c r="B31" s="326" t="s">
        <v>284</v>
      </c>
      <c r="C31" s="264"/>
      <c r="D31" s="157" t="s">
        <v>492</v>
      </c>
      <c r="E31" s="44">
        <f t="shared" ref="E31" si="7">DATEVALUE("30 Jun "&amp;A31)</f>
        <v>46203</v>
      </c>
      <c r="F31" s="127" t="str">
        <f t="shared" si="1"/>
        <v>2025-26</v>
      </c>
      <c r="G31" s="1"/>
      <c r="H31" s="158"/>
      <c r="I31" s="37"/>
      <c r="J31" s="135">
        <f t="shared" si="3"/>
        <v>1</v>
      </c>
      <c r="K31" s="112"/>
      <c r="L31" s="37">
        <v>1</v>
      </c>
      <c r="M31" s="37" t="s">
        <v>528</v>
      </c>
      <c r="N31" s="37">
        <v>11064448</v>
      </c>
      <c r="O31" s="130">
        <f t="shared" si="6"/>
        <v>11064448</v>
      </c>
      <c r="P31" s="132">
        <f t="shared" si="4"/>
        <v>11064448</v>
      </c>
      <c r="Q31" s="262">
        <v>1</v>
      </c>
      <c r="R31" s="92"/>
    </row>
    <row r="32" spans="1:18" x14ac:dyDescent="0.25">
      <c r="C32" s="264"/>
      <c r="D32" s="157"/>
      <c r="E32" s="44"/>
      <c r="F32" s="127"/>
      <c r="G32" s="1"/>
      <c r="H32" s="158"/>
      <c r="I32" s="37"/>
      <c r="J32" s="135"/>
      <c r="K32" s="112"/>
      <c r="L32" s="37"/>
      <c r="M32" s="37"/>
      <c r="N32" s="37"/>
      <c r="O32" s="130"/>
      <c r="P32" s="132"/>
      <c r="Q32" s="262"/>
      <c r="R32" s="92"/>
    </row>
    <row r="33" spans="1:18" ht="23" x14ac:dyDescent="0.25">
      <c r="A33" s="326">
        <v>2023</v>
      </c>
      <c r="B33" s="326" t="s">
        <v>285</v>
      </c>
      <c r="C33" s="264" t="s">
        <v>477</v>
      </c>
      <c r="D33" s="157" t="s">
        <v>536</v>
      </c>
      <c r="E33" s="44">
        <f t="shared" ref="E33:E40" si="8">DATEVALUE("30 Jun "&amp;A33)</f>
        <v>45107</v>
      </c>
      <c r="F33" s="127" t="str">
        <f t="shared" si="1"/>
        <v>2022-23</v>
      </c>
      <c r="G33" s="1"/>
      <c r="H33" s="158"/>
      <c r="I33" s="37"/>
      <c r="J33" s="135">
        <f>J31</f>
        <v>1</v>
      </c>
      <c r="K33" s="112"/>
      <c r="L33" s="37">
        <v>1</v>
      </c>
      <c r="M33" s="37" t="s">
        <v>529</v>
      </c>
      <c r="N33" s="37">
        <v>17382286</v>
      </c>
      <c r="O33" s="130">
        <f t="shared" ref="O33:O40" si="9">IF(N33="","-",L33*N33)</f>
        <v>17382286</v>
      </c>
      <c r="P33" s="132">
        <f t="shared" si="4"/>
        <v>17382286</v>
      </c>
      <c r="Q33" s="262">
        <v>1</v>
      </c>
      <c r="R33" s="92"/>
    </row>
    <row r="34" spans="1:18" ht="23" x14ac:dyDescent="0.25">
      <c r="A34" s="326">
        <v>2023</v>
      </c>
      <c r="B34" s="326" t="s">
        <v>285</v>
      </c>
      <c r="C34" s="264" t="s">
        <v>477</v>
      </c>
      <c r="D34" s="157" t="s">
        <v>537</v>
      </c>
      <c r="E34" s="44">
        <f t="shared" si="8"/>
        <v>45107</v>
      </c>
      <c r="F34" s="127" t="str">
        <f t="shared" si="1"/>
        <v>2022-23</v>
      </c>
      <c r="G34" s="1"/>
      <c r="H34" s="158"/>
      <c r="I34" s="37"/>
      <c r="J34" s="135">
        <f t="shared" si="3"/>
        <v>1</v>
      </c>
      <c r="K34" s="112"/>
      <c r="L34" s="37">
        <v>1</v>
      </c>
      <c r="M34" s="37" t="s">
        <v>529</v>
      </c>
      <c r="N34" s="37">
        <v>13477631</v>
      </c>
      <c r="O34" s="130">
        <f t="shared" si="9"/>
        <v>13477631</v>
      </c>
      <c r="P34" s="132">
        <f t="shared" si="4"/>
        <v>13477631</v>
      </c>
      <c r="Q34" s="262">
        <v>1</v>
      </c>
      <c r="R34" s="92"/>
    </row>
    <row r="35" spans="1:18" x14ac:dyDescent="0.25">
      <c r="A35" s="326">
        <v>2023</v>
      </c>
      <c r="B35" s="326" t="s">
        <v>285</v>
      </c>
      <c r="C35" s="264" t="s">
        <v>493</v>
      </c>
      <c r="D35" s="157" t="s">
        <v>538</v>
      </c>
      <c r="E35" s="44">
        <f t="shared" si="8"/>
        <v>45107</v>
      </c>
      <c r="F35" s="127" t="str">
        <f t="shared" si="1"/>
        <v>2022-23</v>
      </c>
      <c r="G35" s="1"/>
      <c r="H35" s="158"/>
      <c r="I35" s="37"/>
      <c r="J35" s="135">
        <f t="shared" si="3"/>
        <v>1</v>
      </c>
      <c r="K35" s="112"/>
      <c r="L35" s="37">
        <v>1</v>
      </c>
      <c r="M35" s="37" t="s">
        <v>529</v>
      </c>
      <c r="N35" s="37">
        <v>21261638</v>
      </c>
      <c r="O35" s="130">
        <f t="shared" si="9"/>
        <v>21261638</v>
      </c>
      <c r="P35" s="132">
        <f t="shared" si="4"/>
        <v>21261638</v>
      </c>
      <c r="Q35" s="262">
        <v>1</v>
      </c>
      <c r="R35" s="92"/>
    </row>
    <row r="36" spans="1:18" x14ac:dyDescent="0.25">
      <c r="A36" s="326">
        <v>2023</v>
      </c>
      <c r="B36" s="326" t="s">
        <v>285</v>
      </c>
      <c r="C36" s="264" t="s">
        <v>493</v>
      </c>
      <c r="D36" s="157" t="s">
        <v>539</v>
      </c>
      <c r="E36" s="44">
        <f t="shared" si="8"/>
        <v>45107</v>
      </c>
      <c r="F36" s="127" t="str">
        <f t="shared" si="1"/>
        <v>2022-23</v>
      </c>
      <c r="G36" s="1"/>
      <c r="H36" s="158"/>
      <c r="I36" s="37"/>
      <c r="J36" s="135">
        <f t="shared" si="3"/>
        <v>1</v>
      </c>
      <c r="K36" s="112"/>
      <c r="L36" s="37">
        <v>1</v>
      </c>
      <c r="M36" s="37" t="s">
        <v>529</v>
      </c>
      <c r="N36" s="37">
        <v>7380908</v>
      </c>
      <c r="O36" s="130">
        <f t="shared" si="9"/>
        <v>7380908</v>
      </c>
      <c r="P36" s="132">
        <f t="shared" si="4"/>
        <v>7380908</v>
      </c>
      <c r="Q36" s="262">
        <v>1</v>
      </c>
      <c r="R36" s="92"/>
    </row>
    <row r="37" spans="1:18" x14ac:dyDescent="0.25">
      <c r="A37" s="326">
        <v>2026</v>
      </c>
      <c r="B37" s="326" t="s">
        <v>285</v>
      </c>
      <c r="C37" s="264"/>
      <c r="D37" s="157" t="s">
        <v>540</v>
      </c>
      <c r="E37" s="44">
        <f t="shared" si="8"/>
        <v>46203</v>
      </c>
      <c r="F37" s="127" t="str">
        <f t="shared" si="1"/>
        <v>2025-26</v>
      </c>
      <c r="G37" s="1"/>
      <c r="H37" s="158"/>
      <c r="I37" s="37"/>
      <c r="J37" s="135">
        <f>J36</f>
        <v>1</v>
      </c>
      <c r="K37" s="112"/>
      <c r="L37" s="37">
        <v>1</v>
      </c>
      <c r="M37" s="37" t="s">
        <v>529</v>
      </c>
      <c r="N37" s="37"/>
      <c r="O37" s="130" t="str">
        <f t="shared" si="9"/>
        <v>-</v>
      </c>
      <c r="P37" s="132" t="str">
        <f t="shared" si="4"/>
        <v>-</v>
      </c>
      <c r="Q37" s="262">
        <v>1</v>
      </c>
      <c r="R37" s="92"/>
    </row>
    <row r="38" spans="1:18" x14ac:dyDescent="0.25">
      <c r="A38" s="326">
        <v>2026</v>
      </c>
      <c r="B38" s="326" t="s">
        <v>285</v>
      </c>
      <c r="C38" s="264"/>
      <c r="D38" s="157" t="s">
        <v>541</v>
      </c>
      <c r="E38" s="44">
        <f t="shared" si="8"/>
        <v>46203</v>
      </c>
      <c r="F38" s="127" t="str">
        <f t="shared" si="1"/>
        <v>2025-26</v>
      </c>
      <c r="G38" s="1"/>
      <c r="H38" s="158"/>
      <c r="I38" s="37"/>
      <c r="J38" s="135">
        <f t="shared" si="3"/>
        <v>1</v>
      </c>
      <c r="K38" s="112"/>
      <c r="L38" s="37">
        <v>1</v>
      </c>
      <c r="M38" s="37" t="s">
        <v>529</v>
      </c>
      <c r="N38" s="37"/>
      <c r="O38" s="130" t="str">
        <f t="shared" si="9"/>
        <v>-</v>
      </c>
      <c r="P38" s="132" t="str">
        <f t="shared" si="4"/>
        <v>-</v>
      </c>
      <c r="Q38" s="262">
        <v>1</v>
      </c>
      <c r="R38" s="92"/>
    </row>
    <row r="39" spans="1:18" x14ac:dyDescent="0.25">
      <c r="A39" s="326">
        <v>2022</v>
      </c>
      <c r="B39" s="326" t="s">
        <v>285</v>
      </c>
      <c r="C39" s="264"/>
      <c r="D39" s="157" t="s">
        <v>542</v>
      </c>
      <c r="E39" s="44">
        <f t="shared" si="8"/>
        <v>44742</v>
      </c>
      <c r="F39" s="127" t="str">
        <f t="shared" si="1"/>
        <v>2021-22</v>
      </c>
      <c r="G39" s="1"/>
      <c r="H39" s="158"/>
      <c r="I39" s="37"/>
      <c r="J39" s="135">
        <f t="shared" si="3"/>
        <v>1</v>
      </c>
      <c r="K39" s="112"/>
      <c r="L39" s="37">
        <v>1</v>
      </c>
      <c r="M39" s="37" t="s">
        <v>529</v>
      </c>
      <c r="N39" s="37">
        <v>1815453</v>
      </c>
      <c r="O39" s="130">
        <f t="shared" si="9"/>
        <v>1815453</v>
      </c>
      <c r="P39" s="132">
        <f t="shared" si="4"/>
        <v>1815453</v>
      </c>
      <c r="Q39" s="262">
        <v>1</v>
      </c>
      <c r="R39" s="92"/>
    </row>
    <row r="40" spans="1:18" x14ac:dyDescent="0.25">
      <c r="A40" s="326">
        <v>2026</v>
      </c>
      <c r="B40" s="326" t="s">
        <v>285</v>
      </c>
      <c r="C40" s="264"/>
      <c r="D40" s="157" t="s">
        <v>543</v>
      </c>
      <c r="E40" s="44">
        <f t="shared" si="8"/>
        <v>46203</v>
      </c>
      <c r="F40" s="127" t="str">
        <f t="shared" si="1"/>
        <v>2025-26</v>
      </c>
      <c r="G40" s="1"/>
      <c r="H40" s="158"/>
      <c r="I40" s="37"/>
      <c r="J40" s="135">
        <f t="shared" si="3"/>
        <v>1</v>
      </c>
      <c r="K40" s="112"/>
      <c r="L40" s="37">
        <v>1</v>
      </c>
      <c r="M40" s="37" t="s">
        <v>529</v>
      </c>
      <c r="N40" s="37">
        <v>1150405</v>
      </c>
      <c r="O40" s="130">
        <f t="shared" si="9"/>
        <v>1150405</v>
      </c>
      <c r="P40" s="132">
        <f t="shared" si="4"/>
        <v>1150405</v>
      </c>
      <c r="Q40" s="262">
        <v>1</v>
      </c>
      <c r="R40" s="92"/>
    </row>
    <row r="41" spans="1:18" x14ac:dyDescent="0.25">
      <c r="C41" s="264"/>
      <c r="D41" s="157"/>
      <c r="E41" s="44"/>
      <c r="F41" s="127" t="str">
        <f t="shared" ref="F41:F42" si="10">IF(E41="","-",IF(E41&lt;$E$15,"ERROR - date outside of range",IF(MONTH(E41)&gt;=7,YEAR(E41)&amp;"-"&amp;RIGHT(YEAR(E41),2)+1,YEAR(E41)-1&amp;"-"&amp;RIGHT(YEAR(E41),2))))</f>
        <v>-</v>
      </c>
      <c r="G41" s="1"/>
      <c r="H41" s="158"/>
      <c r="I41" s="37"/>
      <c r="J41" s="135">
        <f>J40</f>
        <v>1</v>
      </c>
      <c r="K41" s="112"/>
      <c r="L41" s="37"/>
      <c r="M41" s="37"/>
      <c r="N41" s="37"/>
      <c r="O41" s="130" t="str">
        <f t="shared" ref="O41:O42" si="11">IF(N41="","-",L41*N41)</f>
        <v>-</v>
      </c>
      <c r="P41" s="132" t="str">
        <f t="shared" ref="P41:P42" si="12">IF(O41="-","-",IF(E41&lt;$E$15,0,O41*J41)*Q41)</f>
        <v>-</v>
      </c>
      <c r="Q41" s="262">
        <v>1</v>
      </c>
      <c r="R41" s="92"/>
    </row>
    <row r="42" spans="1:18" x14ac:dyDescent="0.25">
      <c r="C42" s="264"/>
      <c r="D42" s="157"/>
      <c r="E42" s="44"/>
      <c r="F42" s="127" t="str">
        <f t="shared" si="10"/>
        <v>-</v>
      </c>
      <c r="G42" s="1"/>
      <c r="H42" s="158"/>
      <c r="I42" s="37"/>
      <c r="J42" s="135">
        <f>J41</f>
        <v>1</v>
      </c>
      <c r="K42" s="112"/>
      <c r="L42" s="37"/>
      <c r="M42" s="37"/>
      <c r="N42" s="37"/>
      <c r="O42" s="130" t="str">
        <f t="shared" si="11"/>
        <v>-</v>
      </c>
      <c r="P42" s="132" t="str">
        <f t="shared" si="12"/>
        <v>-</v>
      </c>
      <c r="Q42" s="262">
        <v>1</v>
      </c>
      <c r="R42" s="92"/>
    </row>
    <row r="43" spans="1:18" x14ac:dyDescent="0.25">
      <c r="C43" s="264"/>
      <c r="D43" s="157"/>
      <c r="E43" s="44"/>
      <c r="F43" s="127"/>
      <c r="G43" s="1"/>
      <c r="H43" s="158"/>
      <c r="I43" s="37"/>
      <c r="J43" s="135"/>
      <c r="K43" s="112"/>
      <c r="L43" s="37"/>
      <c r="M43" s="37"/>
      <c r="N43" s="37"/>
      <c r="O43" s="130"/>
      <c r="P43" s="132"/>
      <c r="Q43" s="262"/>
      <c r="R43" s="92"/>
    </row>
    <row r="44" spans="1:18" x14ac:dyDescent="0.25">
      <c r="A44" s="326">
        <v>2023</v>
      </c>
      <c r="B44" s="326" t="s">
        <v>287</v>
      </c>
      <c r="C44" s="264" t="s">
        <v>494</v>
      </c>
      <c r="D44" s="157" t="s">
        <v>501</v>
      </c>
      <c r="E44" s="44">
        <f t="shared" ref="E44" si="13">DATEVALUE("30 Jun "&amp;A44)</f>
        <v>45107</v>
      </c>
      <c r="F44" s="127" t="str">
        <f t="shared" si="1"/>
        <v>2022-23</v>
      </c>
      <c r="G44" s="1"/>
      <c r="H44" s="158"/>
      <c r="I44" s="37"/>
      <c r="J44" s="135">
        <f>J40</f>
        <v>1</v>
      </c>
      <c r="K44" s="112"/>
      <c r="L44" s="37">
        <v>1</v>
      </c>
      <c r="M44" s="37" t="s">
        <v>530</v>
      </c>
      <c r="N44" s="37">
        <v>24343200</v>
      </c>
      <c r="O44" s="130">
        <f t="shared" ref="O44:O51" si="14">IF(N44="","-",L44*N44)</f>
        <v>24343200</v>
      </c>
      <c r="P44" s="132">
        <f t="shared" si="4"/>
        <v>7789824</v>
      </c>
      <c r="Q44" s="262">
        <v>0.32</v>
      </c>
      <c r="R44" s="92"/>
    </row>
    <row r="45" spans="1:18" x14ac:dyDescent="0.25">
      <c r="A45" s="326">
        <v>2024</v>
      </c>
      <c r="B45" s="326" t="s">
        <v>287</v>
      </c>
      <c r="C45" s="264" t="s">
        <v>494</v>
      </c>
      <c r="D45" s="157" t="s">
        <v>502</v>
      </c>
      <c r="E45" s="44">
        <f t="shared" ref="E45:E51" si="15">DATEVALUE("30 Jun "&amp;A45)</f>
        <v>45473</v>
      </c>
      <c r="F45" s="127" t="str">
        <f t="shared" si="1"/>
        <v>2023-24</v>
      </c>
      <c r="G45" s="1"/>
      <c r="H45" s="158"/>
      <c r="I45" s="37"/>
      <c r="J45" s="135">
        <f>J44</f>
        <v>1</v>
      </c>
      <c r="K45" s="112"/>
      <c r="L45" s="37">
        <v>1</v>
      </c>
      <c r="M45" s="37" t="s">
        <v>530</v>
      </c>
      <c r="N45" s="37">
        <v>45530800</v>
      </c>
      <c r="O45" s="130">
        <f t="shared" si="14"/>
        <v>45530800</v>
      </c>
      <c r="P45" s="132">
        <f t="shared" si="4"/>
        <v>9106160</v>
      </c>
      <c r="Q45" s="262">
        <v>0.2</v>
      </c>
      <c r="R45" s="92"/>
    </row>
    <row r="46" spans="1:18" x14ac:dyDescent="0.25">
      <c r="A46" s="326">
        <v>2025</v>
      </c>
      <c r="B46" s="326" t="s">
        <v>287</v>
      </c>
      <c r="C46" s="264" t="s">
        <v>494</v>
      </c>
      <c r="D46" s="157" t="s">
        <v>503</v>
      </c>
      <c r="E46" s="44">
        <f t="shared" si="15"/>
        <v>45838</v>
      </c>
      <c r="F46" s="127" t="str">
        <f t="shared" si="1"/>
        <v>2024-25</v>
      </c>
      <c r="G46" s="1"/>
      <c r="H46" s="158"/>
      <c r="I46" s="37"/>
      <c r="J46" s="135">
        <f t="shared" ref="J46:J51" si="16">J45</f>
        <v>1</v>
      </c>
      <c r="K46" s="112"/>
      <c r="L46" s="37">
        <v>1</v>
      </c>
      <c r="M46" s="37" t="s">
        <v>530</v>
      </c>
      <c r="N46" s="37">
        <v>350000</v>
      </c>
      <c r="O46" s="130">
        <f t="shared" si="14"/>
        <v>350000</v>
      </c>
      <c r="P46" s="132">
        <f t="shared" si="4"/>
        <v>350000</v>
      </c>
      <c r="Q46" s="262">
        <v>1</v>
      </c>
      <c r="R46" s="92"/>
    </row>
    <row r="47" spans="1:18" x14ac:dyDescent="0.25">
      <c r="A47" s="326">
        <v>2027</v>
      </c>
      <c r="B47" s="326" t="s">
        <v>287</v>
      </c>
      <c r="C47" s="264" t="s">
        <v>494</v>
      </c>
      <c r="D47" s="157" t="s">
        <v>504</v>
      </c>
      <c r="E47" s="44">
        <f t="shared" si="15"/>
        <v>46568</v>
      </c>
      <c r="F47" s="127" t="str">
        <f t="shared" si="1"/>
        <v>2026-27</v>
      </c>
      <c r="G47" s="1"/>
      <c r="H47" s="158"/>
      <c r="I47" s="37"/>
      <c r="J47" s="135">
        <f t="shared" si="16"/>
        <v>1</v>
      </c>
      <c r="K47" s="112"/>
      <c r="L47" s="37">
        <v>1</v>
      </c>
      <c r="M47" s="37" t="s">
        <v>530</v>
      </c>
      <c r="N47" s="37">
        <v>24780000</v>
      </c>
      <c r="O47" s="130">
        <f t="shared" si="14"/>
        <v>24780000</v>
      </c>
      <c r="P47" s="132">
        <f t="shared" si="4"/>
        <v>24780000</v>
      </c>
      <c r="Q47" s="262">
        <v>1</v>
      </c>
      <c r="R47" s="92"/>
    </row>
    <row r="48" spans="1:18" x14ac:dyDescent="0.25">
      <c r="A48" s="326">
        <v>2032</v>
      </c>
      <c r="B48" s="326" t="s">
        <v>287</v>
      </c>
      <c r="C48" s="264" t="s">
        <v>494</v>
      </c>
      <c r="D48" s="157" t="s">
        <v>505</v>
      </c>
      <c r="E48" s="44">
        <f t="shared" si="15"/>
        <v>48395</v>
      </c>
      <c r="F48" s="127" t="str">
        <f t="shared" si="1"/>
        <v>2031-32</v>
      </c>
      <c r="G48" s="1"/>
      <c r="H48" s="158"/>
      <c r="I48" s="37"/>
      <c r="J48" s="135">
        <f t="shared" si="16"/>
        <v>1</v>
      </c>
      <c r="K48" s="112"/>
      <c r="L48" s="37">
        <v>1</v>
      </c>
      <c r="M48" s="37" t="s">
        <v>530</v>
      </c>
      <c r="N48" s="37">
        <v>5310000</v>
      </c>
      <c r="O48" s="130">
        <f t="shared" si="14"/>
        <v>5310000</v>
      </c>
      <c r="P48" s="132">
        <f t="shared" si="4"/>
        <v>5310000</v>
      </c>
      <c r="Q48" s="262">
        <v>1</v>
      </c>
      <c r="R48" s="92"/>
    </row>
    <row r="49" spans="1:18" ht="57.5" x14ac:dyDescent="0.25">
      <c r="A49" s="326">
        <v>2022</v>
      </c>
      <c r="B49" s="326" t="s">
        <v>287</v>
      </c>
      <c r="C49" s="264" t="s">
        <v>494</v>
      </c>
      <c r="D49" s="157" t="s">
        <v>506</v>
      </c>
      <c r="E49" s="44">
        <f t="shared" si="15"/>
        <v>44742</v>
      </c>
      <c r="F49" s="127" t="str">
        <f t="shared" si="1"/>
        <v>2021-22</v>
      </c>
      <c r="G49" s="1"/>
      <c r="H49" s="158"/>
      <c r="I49" s="37"/>
      <c r="J49" s="135">
        <f>J48</f>
        <v>1</v>
      </c>
      <c r="K49" s="112"/>
      <c r="L49" s="37">
        <v>1</v>
      </c>
      <c r="M49" s="37" t="s">
        <v>530</v>
      </c>
      <c r="N49" s="37">
        <v>200000</v>
      </c>
      <c r="O49" s="130">
        <f t="shared" si="14"/>
        <v>200000</v>
      </c>
      <c r="P49" s="132">
        <f t="shared" si="4"/>
        <v>60000</v>
      </c>
      <c r="Q49" s="262">
        <v>0.3</v>
      </c>
      <c r="R49" s="92"/>
    </row>
    <row r="50" spans="1:18" ht="57.5" x14ac:dyDescent="0.25">
      <c r="A50" s="326">
        <v>2027</v>
      </c>
      <c r="B50" s="326" t="s">
        <v>287</v>
      </c>
      <c r="C50" s="264" t="s">
        <v>494</v>
      </c>
      <c r="D50" s="157" t="s">
        <v>507</v>
      </c>
      <c r="E50" s="44">
        <f t="shared" si="15"/>
        <v>46568</v>
      </c>
      <c r="F50" s="127" t="str">
        <f t="shared" si="1"/>
        <v>2026-27</v>
      </c>
      <c r="G50" s="1"/>
      <c r="H50" s="158"/>
      <c r="I50" s="37"/>
      <c r="J50" s="135">
        <f t="shared" si="16"/>
        <v>1</v>
      </c>
      <c r="K50" s="112"/>
      <c r="L50" s="37">
        <v>1</v>
      </c>
      <c r="M50" s="37" t="s">
        <v>530</v>
      </c>
      <c r="N50" s="37">
        <v>500000</v>
      </c>
      <c r="O50" s="130">
        <f t="shared" si="14"/>
        <v>500000</v>
      </c>
      <c r="P50" s="132">
        <f t="shared" si="4"/>
        <v>150000</v>
      </c>
      <c r="Q50" s="262">
        <v>0.3</v>
      </c>
      <c r="R50" s="92"/>
    </row>
    <row r="51" spans="1:18" ht="57.5" x14ac:dyDescent="0.25">
      <c r="A51" s="326">
        <v>2030</v>
      </c>
      <c r="B51" s="326" t="s">
        <v>287</v>
      </c>
      <c r="C51" s="264" t="s">
        <v>494</v>
      </c>
      <c r="D51" s="157" t="s">
        <v>508</v>
      </c>
      <c r="E51" s="44">
        <f t="shared" si="15"/>
        <v>47664</v>
      </c>
      <c r="F51" s="127" t="str">
        <f t="shared" si="1"/>
        <v>2029-30</v>
      </c>
      <c r="G51" s="1"/>
      <c r="H51" s="158"/>
      <c r="I51" s="37"/>
      <c r="J51" s="135">
        <f t="shared" si="16"/>
        <v>1</v>
      </c>
      <c r="K51" s="112"/>
      <c r="L51" s="37">
        <v>1</v>
      </c>
      <c r="M51" s="37" t="s">
        <v>530</v>
      </c>
      <c r="N51" s="37">
        <v>85000000</v>
      </c>
      <c r="O51" s="130">
        <f t="shared" si="14"/>
        <v>85000000</v>
      </c>
      <c r="P51" s="132">
        <f t="shared" si="4"/>
        <v>25500000</v>
      </c>
      <c r="Q51" s="262">
        <v>0.3</v>
      </c>
      <c r="R51" s="92"/>
    </row>
    <row r="52" spans="1:18" x14ac:dyDescent="0.25">
      <c r="C52" s="264"/>
      <c r="D52" s="157"/>
      <c r="E52" s="44"/>
      <c r="F52" s="127" t="str">
        <f t="shared" ref="F52:F103" si="17">IF(E52="","-",IF(E52&lt;$E$15,"ERROR - date outside of range",IF(MONTH(E52)&gt;=7,YEAR(E52)&amp;"-"&amp;RIGHT(YEAR(E52),2)+1,YEAR(E52)-1&amp;"-"&amp;RIGHT(YEAR(E52),2))))</f>
        <v>-</v>
      </c>
      <c r="G52" s="1"/>
      <c r="H52" s="158"/>
      <c r="I52" s="37"/>
      <c r="J52" s="135">
        <f>J51</f>
        <v>1</v>
      </c>
      <c r="K52" s="112"/>
      <c r="L52" s="37"/>
      <c r="M52" s="37"/>
      <c r="N52" s="37"/>
      <c r="O52" s="130" t="str">
        <f t="shared" ref="O52:O53" si="18">IF(N52="","-",L52*N52)</f>
        <v>-</v>
      </c>
      <c r="P52" s="132" t="str">
        <f t="shared" ref="P52:P53" si="19">IF(O52="-","-",IF(E52&lt;$E$15,0,O52*J52)*Q52)</f>
        <v>-</v>
      </c>
      <c r="Q52" s="262">
        <v>1</v>
      </c>
      <c r="R52" s="92"/>
    </row>
    <row r="53" spans="1:18" ht="34.5" x14ac:dyDescent="0.25">
      <c r="A53" s="326">
        <v>2022</v>
      </c>
      <c r="B53" s="326" t="s">
        <v>284</v>
      </c>
      <c r="C53" s="264"/>
      <c r="D53" s="157" t="s">
        <v>749</v>
      </c>
      <c r="E53" s="44">
        <v>44742</v>
      </c>
      <c r="F53" s="127" t="str">
        <f t="shared" si="17"/>
        <v>2021-22</v>
      </c>
      <c r="G53" s="1"/>
      <c r="H53" s="158"/>
      <c r="I53" s="37"/>
      <c r="J53" s="135">
        <v>1</v>
      </c>
      <c r="K53" s="112"/>
      <c r="L53" s="37">
        <v>1</v>
      </c>
      <c r="M53" s="37" t="s">
        <v>288</v>
      </c>
      <c r="N53" s="37">
        <v>5573563</v>
      </c>
      <c r="O53" s="130">
        <f t="shared" si="18"/>
        <v>5573563</v>
      </c>
      <c r="P53" s="132">
        <f t="shared" si="19"/>
        <v>5573563</v>
      </c>
      <c r="Q53" s="262">
        <v>1</v>
      </c>
      <c r="R53" s="92"/>
    </row>
    <row r="54" spans="1:18" ht="34.5" x14ac:dyDescent="0.25">
      <c r="A54" s="326">
        <v>2026</v>
      </c>
      <c r="B54" s="326" t="s">
        <v>284</v>
      </c>
      <c r="C54" s="264"/>
      <c r="D54" s="157" t="s">
        <v>750</v>
      </c>
      <c r="E54" s="44">
        <v>46203</v>
      </c>
      <c r="F54" s="127" t="str">
        <f t="shared" si="17"/>
        <v>2025-26</v>
      </c>
      <c r="G54" s="1"/>
      <c r="H54" s="158"/>
      <c r="I54" s="37"/>
      <c r="J54" s="135">
        <v>1</v>
      </c>
      <c r="K54" s="112"/>
      <c r="L54" s="37">
        <v>1</v>
      </c>
      <c r="M54" s="37" t="s">
        <v>288</v>
      </c>
      <c r="N54" s="37">
        <v>4854966</v>
      </c>
      <c r="O54" s="130">
        <f t="shared" ref="O54:O103" si="20">IF(N54="","-",L54*N54)</f>
        <v>4854966</v>
      </c>
      <c r="P54" s="132">
        <f t="shared" ref="P54:P103" si="21">IF(O54="-","-",IF(E54&lt;$E$15,0,O54*J54)*Q54)</f>
        <v>4854966</v>
      </c>
      <c r="Q54" s="262">
        <v>1</v>
      </c>
      <c r="R54" s="92"/>
    </row>
    <row r="55" spans="1:18" x14ac:dyDescent="0.25">
      <c r="C55" s="264"/>
      <c r="D55" s="157"/>
      <c r="E55" s="44"/>
      <c r="F55" s="127" t="str">
        <f t="shared" si="17"/>
        <v>-</v>
      </c>
      <c r="G55" s="1"/>
      <c r="H55" s="158"/>
      <c r="I55" s="37"/>
      <c r="J55" s="135"/>
      <c r="K55" s="112"/>
      <c r="L55" s="37"/>
      <c r="M55" s="37"/>
      <c r="N55" s="37"/>
      <c r="O55" s="130" t="str">
        <f t="shared" si="20"/>
        <v>-</v>
      </c>
      <c r="P55" s="132" t="str">
        <f t="shared" si="21"/>
        <v>-</v>
      </c>
      <c r="Q55" s="262">
        <v>1</v>
      </c>
      <c r="R55" s="92"/>
    </row>
    <row r="56" spans="1:18" ht="34.5" x14ac:dyDescent="0.25">
      <c r="A56" s="326">
        <v>2022</v>
      </c>
      <c r="B56" s="326" t="s">
        <v>285</v>
      </c>
      <c r="C56" s="264"/>
      <c r="D56" s="157" t="s">
        <v>751</v>
      </c>
      <c r="E56" s="44">
        <v>44742</v>
      </c>
      <c r="F56" s="127" t="str">
        <f t="shared" si="17"/>
        <v>2021-22</v>
      </c>
      <c r="G56" s="1"/>
      <c r="H56" s="158"/>
      <c r="I56" s="37"/>
      <c r="J56" s="135">
        <v>1</v>
      </c>
      <c r="K56" s="112"/>
      <c r="L56" s="37">
        <v>1</v>
      </c>
      <c r="M56" s="37" t="s">
        <v>510</v>
      </c>
      <c r="N56" s="37">
        <v>1510661.03871456</v>
      </c>
      <c r="O56" s="130">
        <f t="shared" si="20"/>
        <v>1510661.03871456</v>
      </c>
      <c r="P56" s="132">
        <f t="shared" si="21"/>
        <v>1510661.03871456</v>
      </c>
      <c r="Q56" s="262">
        <v>1</v>
      </c>
      <c r="R56" s="92"/>
    </row>
    <row r="57" spans="1:18" ht="34.5" x14ac:dyDescent="0.25">
      <c r="A57" s="326">
        <v>2026</v>
      </c>
      <c r="B57" s="326" t="s">
        <v>285</v>
      </c>
      <c r="C57" s="264"/>
      <c r="D57" s="157" t="s">
        <v>752</v>
      </c>
      <c r="E57" s="44">
        <v>46203</v>
      </c>
      <c r="F57" s="127" t="str">
        <f t="shared" si="17"/>
        <v>2025-26</v>
      </c>
      <c r="G57" s="1"/>
      <c r="H57" s="158"/>
      <c r="I57" s="37"/>
      <c r="J57" s="135">
        <v>1</v>
      </c>
      <c r="K57" s="112"/>
      <c r="L57" s="37">
        <v>1</v>
      </c>
      <c r="M57" s="37" t="s">
        <v>510</v>
      </c>
      <c r="N57" s="37">
        <v>1546603.9141752</v>
      </c>
      <c r="O57" s="130">
        <f t="shared" si="20"/>
        <v>1546603.9141752</v>
      </c>
      <c r="P57" s="132">
        <f t="shared" si="21"/>
        <v>1546603.9141752</v>
      </c>
      <c r="Q57" s="262">
        <v>1</v>
      </c>
      <c r="R57" s="92"/>
    </row>
    <row r="58" spans="1:18" x14ac:dyDescent="0.25">
      <c r="C58" s="264"/>
      <c r="D58" s="157"/>
      <c r="E58" s="44"/>
      <c r="F58" s="127" t="str">
        <f t="shared" si="17"/>
        <v>-</v>
      </c>
      <c r="G58" s="1"/>
      <c r="H58" s="158"/>
      <c r="I58" s="37"/>
      <c r="J58" s="135"/>
      <c r="K58" s="112"/>
      <c r="L58" s="37"/>
      <c r="M58" s="37"/>
      <c r="N58" s="37"/>
      <c r="O58" s="130" t="str">
        <f t="shared" si="20"/>
        <v>-</v>
      </c>
      <c r="P58" s="132" t="str">
        <f t="shared" si="21"/>
        <v>-</v>
      </c>
      <c r="Q58" s="262">
        <v>1</v>
      </c>
      <c r="R58" s="92"/>
    </row>
    <row r="59" spans="1:18" x14ac:dyDescent="0.25">
      <c r="A59" s="326">
        <v>2025</v>
      </c>
      <c r="B59" s="326" t="s">
        <v>283</v>
      </c>
      <c r="C59" s="264" t="s">
        <v>753</v>
      </c>
      <c r="D59" s="157" t="s">
        <v>754</v>
      </c>
      <c r="E59" s="44">
        <v>45838</v>
      </c>
      <c r="F59" s="127" t="str">
        <f t="shared" si="17"/>
        <v>2024-25</v>
      </c>
      <c r="G59" s="1"/>
      <c r="H59" s="158"/>
      <c r="I59" s="37"/>
      <c r="J59" s="135">
        <v>1</v>
      </c>
      <c r="K59" s="112"/>
      <c r="L59" s="37">
        <v>1</v>
      </c>
      <c r="M59" s="37" t="s">
        <v>519</v>
      </c>
      <c r="N59" s="37">
        <v>30273872.13994259</v>
      </c>
      <c r="O59" s="130">
        <f t="shared" si="20"/>
        <v>30273872.13994259</v>
      </c>
      <c r="P59" s="132">
        <f t="shared" si="21"/>
        <v>30273872.13994259</v>
      </c>
      <c r="Q59" s="262">
        <v>1</v>
      </c>
      <c r="R59" s="92"/>
    </row>
    <row r="60" spans="1:18" x14ac:dyDescent="0.25">
      <c r="A60" s="326">
        <v>2023</v>
      </c>
      <c r="B60" s="326" t="s">
        <v>283</v>
      </c>
      <c r="C60" s="264" t="s">
        <v>755</v>
      </c>
      <c r="D60" s="157" t="s">
        <v>756</v>
      </c>
      <c r="E60" s="44">
        <v>45107</v>
      </c>
      <c r="F60" s="127" t="str">
        <f t="shared" si="17"/>
        <v>2022-23</v>
      </c>
      <c r="G60" s="1"/>
      <c r="H60" s="158"/>
      <c r="I60" s="37"/>
      <c r="J60" s="135">
        <v>1</v>
      </c>
      <c r="K60" s="112"/>
      <c r="L60" s="37">
        <v>1</v>
      </c>
      <c r="M60" s="37" t="s">
        <v>519</v>
      </c>
      <c r="N60" s="37">
        <v>68562941.853412524</v>
      </c>
      <c r="O60" s="130">
        <f t="shared" si="20"/>
        <v>68562941.853412524</v>
      </c>
      <c r="P60" s="132">
        <f t="shared" si="21"/>
        <v>68562941.853412524</v>
      </c>
      <c r="Q60" s="262">
        <v>1</v>
      </c>
      <c r="R60" s="92"/>
    </row>
    <row r="61" spans="1:18" x14ac:dyDescent="0.25">
      <c r="A61" s="326">
        <v>2027</v>
      </c>
      <c r="B61" s="326" t="s">
        <v>283</v>
      </c>
      <c r="C61" s="264" t="s">
        <v>757</v>
      </c>
      <c r="D61" s="157" t="s">
        <v>758</v>
      </c>
      <c r="E61" s="44">
        <v>46568</v>
      </c>
      <c r="F61" s="127" t="str">
        <f t="shared" si="17"/>
        <v>2026-27</v>
      </c>
      <c r="G61" s="1"/>
      <c r="H61" s="158"/>
      <c r="I61" s="37"/>
      <c r="J61" s="135">
        <v>1</v>
      </c>
      <c r="K61" s="112"/>
      <c r="L61" s="37">
        <v>1</v>
      </c>
      <c r="M61" s="37" t="s">
        <v>519</v>
      </c>
      <c r="N61" s="37">
        <v>28362776.33798195</v>
      </c>
      <c r="O61" s="130">
        <f t="shared" si="20"/>
        <v>28362776.33798195</v>
      </c>
      <c r="P61" s="132">
        <f t="shared" si="21"/>
        <v>28362776.33798195</v>
      </c>
      <c r="Q61" s="262">
        <v>1</v>
      </c>
      <c r="R61" s="92"/>
    </row>
    <row r="62" spans="1:18" x14ac:dyDescent="0.25">
      <c r="C62" s="264"/>
      <c r="D62" s="157"/>
      <c r="E62" s="44"/>
      <c r="F62" s="127" t="str">
        <f t="shared" si="17"/>
        <v>-</v>
      </c>
      <c r="G62" s="1"/>
      <c r="H62" s="158"/>
      <c r="I62" s="37"/>
      <c r="J62" s="312">
        <v>1</v>
      </c>
      <c r="K62" s="112"/>
      <c r="L62" s="37"/>
      <c r="M62" s="37"/>
      <c r="N62" s="37"/>
      <c r="O62" s="130" t="str">
        <f t="shared" si="20"/>
        <v>-</v>
      </c>
      <c r="P62" s="132" t="str">
        <f t="shared" si="21"/>
        <v>-</v>
      </c>
      <c r="Q62" s="262">
        <v>1</v>
      </c>
      <c r="R62" s="92"/>
    </row>
    <row r="63" spans="1:18" x14ac:dyDescent="0.25">
      <c r="A63" s="326">
        <v>2025</v>
      </c>
      <c r="B63" s="326" t="s">
        <v>283</v>
      </c>
      <c r="C63" s="264" t="s">
        <v>759</v>
      </c>
      <c r="D63" s="157" t="s">
        <v>760</v>
      </c>
      <c r="E63" s="44">
        <v>45838</v>
      </c>
      <c r="F63" s="127" t="str">
        <f t="shared" si="17"/>
        <v>2024-25</v>
      </c>
      <c r="G63" s="1"/>
      <c r="H63" s="158"/>
      <c r="I63" s="37"/>
      <c r="J63" s="312">
        <v>1</v>
      </c>
      <c r="K63" s="112"/>
      <c r="L63" s="37">
        <v>1</v>
      </c>
      <c r="M63" s="37" t="s">
        <v>519</v>
      </c>
      <c r="N63" s="37">
        <v>15154524.010586511</v>
      </c>
      <c r="O63" s="130">
        <f t="shared" si="20"/>
        <v>15154524.010586511</v>
      </c>
      <c r="P63" s="132">
        <f t="shared" si="21"/>
        <v>15154524.010586511</v>
      </c>
      <c r="Q63" s="262">
        <v>1</v>
      </c>
      <c r="R63" s="92"/>
    </row>
    <row r="64" spans="1:18" x14ac:dyDescent="0.25">
      <c r="A64" s="326">
        <v>2027</v>
      </c>
      <c r="B64" s="326" t="s">
        <v>283</v>
      </c>
      <c r="C64" s="264" t="s">
        <v>761</v>
      </c>
      <c r="D64" s="157" t="s">
        <v>762</v>
      </c>
      <c r="E64" s="44">
        <v>46568</v>
      </c>
      <c r="F64" s="127" t="str">
        <f t="shared" si="17"/>
        <v>2026-27</v>
      </c>
      <c r="G64" s="1"/>
      <c r="H64" s="158"/>
      <c r="I64" s="37"/>
      <c r="J64" s="312">
        <v>1</v>
      </c>
      <c r="K64" s="112"/>
      <c r="L64" s="37">
        <v>1</v>
      </c>
      <c r="M64" s="37" t="s">
        <v>519</v>
      </c>
      <c r="N64" s="37">
        <v>38417186.512890041</v>
      </c>
      <c r="O64" s="130">
        <f t="shared" si="20"/>
        <v>38417186.512890041</v>
      </c>
      <c r="P64" s="132">
        <f t="shared" si="21"/>
        <v>38417186.512890041</v>
      </c>
      <c r="Q64" s="262">
        <v>1</v>
      </c>
      <c r="R64" s="92"/>
    </row>
    <row r="65" spans="1:18" x14ac:dyDescent="0.25">
      <c r="A65" s="326">
        <v>2023</v>
      </c>
      <c r="B65" s="326" t="s">
        <v>283</v>
      </c>
      <c r="C65" s="264" t="s">
        <v>763</v>
      </c>
      <c r="D65" s="157" t="s">
        <v>764</v>
      </c>
      <c r="E65" s="44">
        <v>45107</v>
      </c>
      <c r="F65" s="127" t="str">
        <f t="shared" si="17"/>
        <v>2022-23</v>
      </c>
      <c r="G65" s="1"/>
      <c r="H65" s="158"/>
      <c r="I65" s="37"/>
      <c r="J65" s="312">
        <v>1</v>
      </c>
      <c r="K65" s="112"/>
      <c r="L65" s="37">
        <v>1</v>
      </c>
      <c r="M65" s="37" t="s">
        <v>519</v>
      </c>
      <c r="N65" s="37">
        <v>7698905.1944309846</v>
      </c>
      <c r="O65" s="130">
        <f t="shared" si="20"/>
        <v>7698905.1944309846</v>
      </c>
      <c r="P65" s="132">
        <f t="shared" si="21"/>
        <v>7698905.1944309846</v>
      </c>
      <c r="Q65" s="262">
        <v>1</v>
      </c>
      <c r="R65" s="92"/>
    </row>
    <row r="66" spans="1:18" x14ac:dyDescent="0.25">
      <c r="A66" s="326">
        <v>2025</v>
      </c>
      <c r="B66" s="326" t="s">
        <v>283</v>
      </c>
      <c r="C66" s="264" t="s">
        <v>765</v>
      </c>
      <c r="D66" s="157" t="s">
        <v>766</v>
      </c>
      <c r="E66" s="44">
        <v>45838</v>
      </c>
      <c r="F66" s="127" t="str">
        <f t="shared" si="17"/>
        <v>2024-25</v>
      </c>
      <c r="G66" s="1"/>
      <c r="H66" s="158"/>
      <c r="I66" s="37"/>
      <c r="J66" s="312">
        <v>1</v>
      </c>
      <c r="K66" s="112"/>
      <c r="L66" s="37">
        <v>1</v>
      </c>
      <c r="M66" s="37" t="s">
        <v>519</v>
      </c>
      <c r="N66" s="37">
        <v>19825093.952608217</v>
      </c>
      <c r="O66" s="130">
        <f t="shared" si="20"/>
        <v>19825093.952608217</v>
      </c>
      <c r="P66" s="132">
        <f t="shared" si="21"/>
        <v>19825093.952608217</v>
      </c>
      <c r="Q66" s="262">
        <v>1</v>
      </c>
      <c r="R66" s="92"/>
    </row>
    <row r="67" spans="1:18" x14ac:dyDescent="0.25">
      <c r="C67" s="264"/>
      <c r="D67" s="157"/>
      <c r="E67" s="44"/>
      <c r="F67" s="127" t="str">
        <f t="shared" si="17"/>
        <v>-</v>
      </c>
      <c r="G67" s="1"/>
      <c r="H67" s="158"/>
      <c r="I67" s="37"/>
      <c r="J67" s="312"/>
      <c r="K67" s="112"/>
      <c r="L67" s="37"/>
      <c r="M67" s="37"/>
      <c r="N67" s="37"/>
      <c r="O67" s="130" t="str">
        <f t="shared" si="20"/>
        <v>-</v>
      </c>
      <c r="P67" s="132" t="str">
        <f t="shared" si="21"/>
        <v>-</v>
      </c>
      <c r="Q67" s="262">
        <v>1</v>
      </c>
      <c r="R67" s="92"/>
    </row>
    <row r="68" spans="1:18" x14ac:dyDescent="0.25">
      <c r="A68" s="326">
        <v>2025</v>
      </c>
      <c r="B68" s="326" t="s">
        <v>284</v>
      </c>
      <c r="C68" s="264" t="s">
        <v>767</v>
      </c>
      <c r="D68" s="157" t="s">
        <v>768</v>
      </c>
      <c r="E68" s="44">
        <v>45838</v>
      </c>
      <c r="F68" s="127" t="str">
        <f t="shared" si="17"/>
        <v>2024-25</v>
      </c>
      <c r="G68" s="1"/>
      <c r="H68" s="158"/>
      <c r="I68" s="37"/>
      <c r="J68" s="312">
        <v>1</v>
      </c>
      <c r="K68" s="112"/>
      <c r="L68" s="37">
        <v>1</v>
      </c>
      <c r="M68" s="37" t="s">
        <v>528</v>
      </c>
      <c r="N68" s="37">
        <v>47786766.43917831</v>
      </c>
      <c r="O68" s="130">
        <f t="shared" si="20"/>
        <v>47786766.43917831</v>
      </c>
      <c r="P68" s="132">
        <f t="shared" si="21"/>
        <v>47786766.43917831</v>
      </c>
      <c r="Q68" s="262">
        <v>1</v>
      </c>
      <c r="R68" s="92"/>
    </row>
    <row r="69" spans="1:18" x14ac:dyDescent="0.25">
      <c r="A69" s="326">
        <v>2027</v>
      </c>
      <c r="B69" s="326" t="s">
        <v>284</v>
      </c>
      <c r="C69" s="264" t="s">
        <v>761</v>
      </c>
      <c r="D69" s="157" t="s">
        <v>769</v>
      </c>
      <c r="E69" s="44">
        <v>46568</v>
      </c>
      <c r="F69" s="127" t="str">
        <f t="shared" si="17"/>
        <v>2026-27</v>
      </c>
      <c r="G69" s="1"/>
      <c r="H69" s="158"/>
      <c r="I69" s="37"/>
      <c r="J69" s="312">
        <v>1</v>
      </c>
      <c r="K69" s="112"/>
      <c r="L69" s="37">
        <v>1</v>
      </c>
      <c r="M69" s="37" t="s">
        <v>528</v>
      </c>
      <c r="N69" s="37">
        <v>8908307.6079153363</v>
      </c>
      <c r="O69" s="130">
        <f t="shared" si="20"/>
        <v>8908307.6079153363</v>
      </c>
      <c r="P69" s="132">
        <f t="shared" si="21"/>
        <v>8908307.6079153363</v>
      </c>
      <c r="Q69" s="262">
        <v>1</v>
      </c>
      <c r="R69" s="92"/>
    </row>
    <row r="70" spans="1:18" x14ac:dyDescent="0.25">
      <c r="C70" s="264"/>
      <c r="D70" s="157"/>
      <c r="E70" s="44"/>
      <c r="F70" s="127" t="str">
        <f t="shared" si="17"/>
        <v>-</v>
      </c>
      <c r="G70" s="1"/>
      <c r="H70" s="158"/>
      <c r="I70" s="37"/>
      <c r="J70" s="312">
        <v>1</v>
      </c>
      <c r="K70" s="112"/>
      <c r="L70" s="37"/>
      <c r="M70" s="37"/>
      <c r="N70" s="37"/>
      <c r="O70" s="130" t="str">
        <f t="shared" si="20"/>
        <v>-</v>
      </c>
      <c r="P70" s="132" t="str">
        <f t="shared" si="21"/>
        <v>-</v>
      </c>
      <c r="Q70" s="262">
        <v>1</v>
      </c>
      <c r="R70" s="92"/>
    </row>
    <row r="71" spans="1:18" x14ac:dyDescent="0.25">
      <c r="A71" s="326">
        <v>2023</v>
      </c>
      <c r="B71" s="326" t="s">
        <v>284</v>
      </c>
      <c r="C71" s="264" t="s">
        <v>770</v>
      </c>
      <c r="D71" s="157" t="s">
        <v>771</v>
      </c>
      <c r="E71" s="44">
        <v>45107</v>
      </c>
      <c r="F71" s="127" t="str">
        <f t="shared" si="17"/>
        <v>2022-23</v>
      </c>
      <c r="G71" s="1"/>
      <c r="H71" s="158"/>
      <c r="I71" s="37"/>
      <c r="J71" s="312">
        <v>1</v>
      </c>
      <c r="K71" s="112"/>
      <c r="L71" s="37">
        <v>1</v>
      </c>
      <c r="M71" s="37" t="s">
        <v>528</v>
      </c>
      <c r="N71" s="37">
        <v>7698905.1944309846</v>
      </c>
      <c r="O71" s="130">
        <f t="shared" si="20"/>
        <v>7698905.1944309846</v>
      </c>
      <c r="P71" s="132">
        <f t="shared" si="21"/>
        <v>7698905.1944309846</v>
      </c>
      <c r="Q71" s="262">
        <v>1</v>
      </c>
      <c r="R71" s="92"/>
    </row>
    <row r="72" spans="1:18" x14ac:dyDescent="0.25">
      <c r="A72" s="326">
        <v>2025</v>
      </c>
      <c r="B72" s="326" t="s">
        <v>284</v>
      </c>
      <c r="C72" s="264" t="s">
        <v>765</v>
      </c>
      <c r="D72" s="157" t="s">
        <v>772</v>
      </c>
      <c r="E72" s="44">
        <v>45838</v>
      </c>
      <c r="F72" s="127" t="str">
        <f t="shared" si="17"/>
        <v>2024-25</v>
      </c>
      <c r="G72" s="1"/>
      <c r="H72" s="158"/>
      <c r="I72" s="37"/>
      <c r="J72" s="312">
        <v>1</v>
      </c>
      <c r="K72" s="112"/>
      <c r="L72" s="37">
        <v>1</v>
      </c>
      <c r="M72" s="37" t="s">
        <v>528</v>
      </c>
      <c r="N72" s="37">
        <v>2473614.2695866921</v>
      </c>
      <c r="O72" s="130">
        <f t="shared" si="20"/>
        <v>2473614.2695866921</v>
      </c>
      <c r="P72" s="132">
        <f t="shared" si="21"/>
        <v>2473614.2695866921</v>
      </c>
      <c r="Q72" s="262">
        <v>1</v>
      </c>
      <c r="R72" s="92"/>
    </row>
    <row r="73" spans="1:18" x14ac:dyDescent="0.25">
      <c r="A73" s="326">
        <v>2023</v>
      </c>
      <c r="B73" s="326" t="s">
        <v>284</v>
      </c>
      <c r="C73" s="264" t="s">
        <v>767</v>
      </c>
      <c r="D73" s="157" t="s">
        <v>773</v>
      </c>
      <c r="E73" s="44">
        <v>45107</v>
      </c>
      <c r="F73" s="127" t="str">
        <f t="shared" si="17"/>
        <v>2022-23</v>
      </c>
      <c r="G73" s="1"/>
      <c r="H73" s="158"/>
      <c r="I73" s="37"/>
      <c r="J73" s="312">
        <v>1</v>
      </c>
      <c r="K73" s="112"/>
      <c r="L73" s="37">
        <v>1</v>
      </c>
      <c r="M73" s="37" t="s">
        <v>528</v>
      </c>
      <c r="N73" s="37">
        <v>8202971.2713316968</v>
      </c>
      <c r="O73" s="130">
        <f t="shared" si="20"/>
        <v>8202971.2713316968</v>
      </c>
      <c r="P73" s="132">
        <f t="shared" si="21"/>
        <v>8202971.2713316968</v>
      </c>
      <c r="Q73" s="262">
        <v>1</v>
      </c>
      <c r="R73" s="92"/>
    </row>
    <row r="74" spans="1:18" x14ac:dyDescent="0.25">
      <c r="A74" s="326">
        <v>2027</v>
      </c>
      <c r="B74" s="326" t="s">
        <v>284</v>
      </c>
      <c r="C74" s="264" t="s">
        <v>757</v>
      </c>
      <c r="D74" s="157" t="s">
        <v>774</v>
      </c>
      <c r="E74" s="44">
        <v>46568</v>
      </c>
      <c r="F74" s="127" t="str">
        <f t="shared" si="17"/>
        <v>2026-27</v>
      </c>
      <c r="G74" s="1"/>
      <c r="H74" s="158"/>
      <c r="I74" s="37"/>
      <c r="J74" s="312">
        <v>1</v>
      </c>
      <c r="K74" s="112"/>
      <c r="L74" s="37">
        <v>1</v>
      </c>
      <c r="M74" s="37" t="s">
        <v>528</v>
      </c>
      <c r="N74" s="37">
        <v>4337793.0758085866</v>
      </c>
      <c r="O74" s="130">
        <f t="shared" si="20"/>
        <v>4337793.0758085866</v>
      </c>
      <c r="P74" s="132">
        <f t="shared" si="21"/>
        <v>4337793.0758085866</v>
      </c>
      <c r="Q74" s="262">
        <v>1</v>
      </c>
      <c r="R74" s="92"/>
    </row>
    <row r="75" spans="1:18" x14ac:dyDescent="0.25">
      <c r="A75" s="326">
        <v>2025</v>
      </c>
      <c r="B75" s="326" t="s">
        <v>284</v>
      </c>
      <c r="C75" s="264" t="s">
        <v>775</v>
      </c>
      <c r="D75" s="157" t="s">
        <v>776</v>
      </c>
      <c r="E75" s="44">
        <v>45838</v>
      </c>
      <c r="F75" s="127" t="str">
        <f t="shared" si="17"/>
        <v>2024-25</v>
      </c>
      <c r="G75" s="1"/>
      <c r="H75" s="158"/>
      <c r="I75" s="37"/>
      <c r="J75" s="312">
        <v>1</v>
      </c>
      <c r="K75" s="112"/>
      <c r="L75" s="37">
        <v>1</v>
      </c>
      <c r="M75" s="37" t="s">
        <v>528</v>
      </c>
      <c r="N75" s="37">
        <v>24321376.036495201</v>
      </c>
      <c r="O75" s="130">
        <f t="shared" si="20"/>
        <v>24321376.036495201</v>
      </c>
      <c r="P75" s="132">
        <f t="shared" si="21"/>
        <v>24321376.036495201</v>
      </c>
      <c r="Q75" s="262">
        <v>1</v>
      </c>
      <c r="R75" s="92"/>
    </row>
    <row r="76" spans="1:18" x14ac:dyDescent="0.25">
      <c r="A76" s="326">
        <v>2028</v>
      </c>
      <c r="B76" s="326" t="s">
        <v>284</v>
      </c>
      <c r="C76" s="264" t="s">
        <v>777</v>
      </c>
      <c r="D76" s="157" t="s">
        <v>778</v>
      </c>
      <c r="E76" s="44">
        <v>46934</v>
      </c>
      <c r="F76" s="127" t="str">
        <f t="shared" si="17"/>
        <v>2027-28</v>
      </c>
      <c r="G76" s="1"/>
      <c r="H76" s="158"/>
      <c r="I76" s="37"/>
      <c r="J76" s="312">
        <v>1</v>
      </c>
      <c r="K76" s="112"/>
      <c r="L76" s="37">
        <v>1</v>
      </c>
      <c r="M76" s="37" t="s">
        <v>528</v>
      </c>
      <c r="N76" s="37">
        <v>17963350.474535834</v>
      </c>
      <c r="O76" s="130">
        <f t="shared" si="20"/>
        <v>17963350.474535834</v>
      </c>
      <c r="P76" s="132">
        <f t="shared" si="21"/>
        <v>17963350.474535834</v>
      </c>
      <c r="Q76" s="262">
        <v>1</v>
      </c>
      <c r="R76" s="92"/>
    </row>
    <row r="77" spans="1:18" x14ac:dyDescent="0.25">
      <c r="A77" s="326">
        <v>2025</v>
      </c>
      <c r="B77" s="326" t="s">
        <v>284</v>
      </c>
      <c r="C77" s="264" t="s">
        <v>753</v>
      </c>
      <c r="D77" s="157" t="s">
        <v>779</v>
      </c>
      <c r="E77" s="44">
        <v>45838</v>
      </c>
      <c r="F77" s="127" t="str">
        <f t="shared" si="17"/>
        <v>2024-25</v>
      </c>
      <c r="G77" s="1"/>
      <c r="H77" s="158"/>
      <c r="I77" s="37"/>
      <c r="J77" s="312">
        <v>1</v>
      </c>
      <c r="K77" s="112"/>
      <c r="L77" s="37">
        <v>1</v>
      </c>
      <c r="M77" s="37" t="s">
        <v>528</v>
      </c>
      <c r="N77" s="37">
        <v>12564385.620519452</v>
      </c>
      <c r="O77" s="130">
        <f t="shared" si="20"/>
        <v>12564385.620519452</v>
      </c>
      <c r="P77" s="132">
        <f t="shared" si="21"/>
        <v>12564385.620519452</v>
      </c>
      <c r="Q77" s="262">
        <v>1</v>
      </c>
      <c r="R77" s="92"/>
    </row>
    <row r="78" spans="1:18" ht="23" x14ac:dyDescent="0.25">
      <c r="A78" s="326">
        <v>2027</v>
      </c>
      <c r="B78" s="326" t="s">
        <v>284</v>
      </c>
      <c r="C78" s="264" t="s">
        <v>763</v>
      </c>
      <c r="D78" s="157" t="s">
        <v>780</v>
      </c>
      <c r="E78" s="44">
        <v>46568</v>
      </c>
      <c r="F78" s="127" t="str">
        <f t="shared" si="17"/>
        <v>2026-27</v>
      </c>
      <c r="G78" s="1"/>
      <c r="H78" s="158"/>
      <c r="I78" s="37"/>
      <c r="J78" s="312">
        <v>1</v>
      </c>
      <c r="K78" s="112"/>
      <c r="L78" s="37">
        <v>1</v>
      </c>
      <c r="M78" s="37" t="s">
        <v>528</v>
      </c>
      <c r="N78" s="37">
        <v>50642288.468271077</v>
      </c>
      <c r="O78" s="130">
        <f t="shared" si="20"/>
        <v>50642288.468271077</v>
      </c>
      <c r="P78" s="132">
        <f t="shared" si="21"/>
        <v>50642288.468271077</v>
      </c>
      <c r="Q78" s="262">
        <v>1</v>
      </c>
      <c r="R78" s="92"/>
    </row>
    <row r="79" spans="1:18" x14ac:dyDescent="0.25">
      <c r="A79" s="326">
        <v>2027</v>
      </c>
      <c r="B79" s="326" t="s">
        <v>284</v>
      </c>
      <c r="C79" s="264" t="s">
        <v>761</v>
      </c>
      <c r="D79" s="157" t="s">
        <v>781</v>
      </c>
      <c r="E79" s="44">
        <v>46568</v>
      </c>
      <c r="F79" s="127" t="str">
        <f t="shared" si="17"/>
        <v>2026-27</v>
      </c>
      <c r="G79" s="1"/>
      <c r="H79" s="158"/>
      <c r="I79" s="37"/>
      <c r="J79" s="312">
        <v>1</v>
      </c>
      <c r="K79" s="112"/>
      <c r="L79" s="37">
        <v>1</v>
      </c>
      <c r="M79" s="37" t="s">
        <v>528</v>
      </c>
      <c r="N79" s="37">
        <v>18096492.288832102</v>
      </c>
      <c r="O79" s="130">
        <f t="shared" si="20"/>
        <v>18096492.288832102</v>
      </c>
      <c r="P79" s="132">
        <f t="shared" si="21"/>
        <v>18096492.288832102</v>
      </c>
      <c r="Q79" s="262">
        <v>1</v>
      </c>
      <c r="R79" s="92"/>
    </row>
    <row r="80" spans="1:18" x14ac:dyDescent="0.25">
      <c r="A80" s="326">
        <v>2025</v>
      </c>
      <c r="B80" s="326" t="s">
        <v>284</v>
      </c>
      <c r="C80" s="264" t="s">
        <v>759</v>
      </c>
      <c r="D80" s="157" t="s">
        <v>782</v>
      </c>
      <c r="E80" s="44">
        <v>45838</v>
      </c>
      <c r="F80" s="127" t="str">
        <f t="shared" si="17"/>
        <v>2024-25</v>
      </c>
      <c r="G80" s="1"/>
      <c r="H80" s="158"/>
      <c r="I80" s="37"/>
      <c r="J80" s="312">
        <v>1</v>
      </c>
      <c r="K80" s="112"/>
      <c r="L80" s="37">
        <v>1</v>
      </c>
      <c r="M80" s="37" t="s">
        <v>528</v>
      </c>
      <c r="N80" s="37">
        <v>1790501.7012172388</v>
      </c>
      <c r="O80" s="130">
        <f t="shared" si="20"/>
        <v>1790501.7012172388</v>
      </c>
      <c r="P80" s="132">
        <f t="shared" si="21"/>
        <v>1790501.7012172388</v>
      </c>
      <c r="Q80" s="262">
        <v>1</v>
      </c>
      <c r="R80" s="92"/>
    </row>
    <row r="81" spans="1:18" x14ac:dyDescent="0.25">
      <c r="C81" s="264"/>
      <c r="D81" s="157"/>
      <c r="E81" s="44"/>
      <c r="F81" s="127" t="str">
        <f t="shared" si="17"/>
        <v>-</v>
      </c>
      <c r="G81" s="1"/>
      <c r="H81" s="158"/>
      <c r="I81" s="37"/>
      <c r="J81" s="312"/>
      <c r="K81" s="112"/>
      <c r="L81" s="37"/>
      <c r="M81" s="37"/>
      <c r="N81" s="37"/>
      <c r="O81" s="130" t="str">
        <f t="shared" si="20"/>
        <v>-</v>
      </c>
      <c r="P81" s="132" t="str">
        <f t="shared" si="21"/>
        <v>-</v>
      </c>
      <c r="Q81" s="262">
        <v>1</v>
      </c>
      <c r="R81" s="92"/>
    </row>
    <row r="82" spans="1:18" ht="23" x14ac:dyDescent="0.25">
      <c r="A82" s="326">
        <v>2025</v>
      </c>
      <c r="B82" s="326" t="s">
        <v>285</v>
      </c>
      <c r="C82" s="264" t="s">
        <v>759</v>
      </c>
      <c r="D82" s="157" t="s">
        <v>783</v>
      </c>
      <c r="E82" s="44">
        <v>45838</v>
      </c>
      <c r="F82" s="127" t="str">
        <f t="shared" si="17"/>
        <v>2024-25</v>
      </c>
      <c r="G82" s="1"/>
      <c r="H82" s="158"/>
      <c r="I82" s="37"/>
      <c r="J82" s="312">
        <v>1</v>
      </c>
      <c r="K82" s="112"/>
      <c r="L82" s="37">
        <v>1</v>
      </c>
      <c r="M82" s="37" t="s">
        <v>529</v>
      </c>
      <c r="N82" s="37">
        <v>3054974.2881962499</v>
      </c>
      <c r="O82" s="130">
        <f t="shared" si="20"/>
        <v>3054974.2881962499</v>
      </c>
      <c r="P82" s="132">
        <f t="shared" si="21"/>
        <v>3054974.2881962499</v>
      </c>
      <c r="Q82" s="262">
        <v>1</v>
      </c>
      <c r="R82" s="92"/>
    </row>
    <row r="83" spans="1:18" x14ac:dyDescent="0.25">
      <c r="A83" s="326">
        <v>2023</v>
      </c>
      <c r="B83" s="326" t="s">
        <v>285</v>
      </c>
      <c r="C83" s="264" t="s">
        <v>767</v>
      </c>
      <c r="D83" s="157" t="s">
        <v>784</v>
      </c>
      <c r="E83" s="44">
        <v>45107</v>
      </c>
      <c r="F83" s="127" t="str">
        <f t="shared" si="17"/>
        <v>2022-23</v>
      </c>
      <c r="G83" s="1"/>
      <c r="H83" s="158"/>
      <c r="I83" s="37"/>
      <c r="J83" s="312">
        <v>1</v>
      </c>
      <c r="K83" s="112"/>
      <c r="L83" s="37">
        <v>1</v>
      </c>
      <c r="M83" s="37" t="s">
        <v>529</v>
      </c>
      <c r="N83" s="37">
        <v>20100331.875255786</v>
      </c>
      <c r="O83" s="130">
        <f t="shared" si="20"/>
        <v>20100331.875255786</v>
      </c>
      <c r="P83" s="132">
        <f t="shared" si="21"/>
        <v>20100331.875255786</v>
      </c>
      <c r="Q83" s="262">
        <v>1</v>
      </c>
      <c r="R83" s="92"/>
    </row>
    <row r="84" spans="1:18" x14ac:dyDescent="0.25">
      <c r="A84" s="326">
        <v>2025</v>
      </c>
      <c r="B84" s="326" t="s">
        <v>285</v>
      </c>
      <c r="C84" s="264" t="s">
        <v>767</v>
      </c>
      <c r="D84" s="157" t="s">
        <v>785</v>
      </c>
      <c r="E84" s="44">
        <v>45838</v>
      </c>
      <c r="F84" s="127" t="str">
        <f t="shared" si="17"/>
        <v>2024-25</v>
      </c>
      <c r="G84" s="1"/>
      <c r="H84" s="158"/>
      <c r="I84" s="37"/>
      <c r="J84" s="312">
        <v>1</v>
      </c>
      <c r="K84" s="112"/>
      <c r="L84" s="37">
        <v>1</v>
      </c>
      <c r="M84" s="37" t="s">
        <v>529</v>
      </c>
      <c r="N84" s="37">
        <v>97813233.560821667</v>
      </c>
      <c r="O84" s="130">
        <f t="shared" si="20"/>
        <v>97813233.560821667</v>
      </c>
      <c r="P84" s="132">
        <f t="shared" si="21"/>
        <v>97813233.560821667</v>
      </c>
      <c r="Q84" s="262">
        <v>1</v>
      </c>
      <c r="R84" s="92"/>
    </row>
    <row r="85" spans="1:18" x14ac:dyDescent="0.25">
      <c r="C85" s="264"/>
      <c r="D85" s="157"/>
      <c r="E85" s="44"/>
      <c r="F85" s="127" t="str">
        <f t="shared" si="17"/>
        <v>-</v>
      </c>
      <c r="G85" s="1"/>
      <c r="H85" s="158"/>
      <c r="I85" s="37"/>
      <c r="J85" s="312">
        <v>1</v>
      </c>
      <c r="K85" s="112"/>
      <c r="L85" s="37"/>
      <c r="M85" s="37"/>
      <c r="N85" s="37"/>
      <c r="O85" s="130" t="str">
        <f t="shared" si="20"/>
        <v>-</v>
      </c>
      <c r="P85" s="132" t="str">
        <f t="shared" si="21"/>
        <v>-</v>
      </c>
      <c r="Q85" s="262">
        <v>1</v>
      </c>
      <c r="R85" s="92"/>
    </row>
    <row r="86" spans="1:18" x14ac:dyDescent="0.25">
      <c r="A86" s="326">
        <v>2025</v>
      </c>
      <c r="B86" s="326" t="s">
        <v>285</v>
      </c>
      <c r="C86" s="264" t="s">
        <v>765</v>
      </c>
      <c r="D86" s="157" t="s">
        <v>786</v>
      </c>
      <c r="E86" s="44">
        <v>45838</v>
      </c>
      <c r="F86" s="127" t="str">
        <f t="shared" si="17"/>
        <v>2024-25</v>
      </c>
      <c r="G86" s="1"/>
      <c r="H86" s="158"/>
      <c r="I86" s="37"/>
      <c r="J86" s="312">
        <v>1</v>
      </c>
      <c r="K86" s="112"/>
      <c r="L86" s="37">
        <v>1</v>
      </c>
      <c r="M86" s="37" t="s">
        <v>529</v>
      </c>
      <c r="N86" s="37">
        <v>5201291.77780509</v>
      </c>
      <c r="O86" s="130">
        <f t="shared" si="20"/>
        <v>5201291.77780509</v>
      </c>
      <c r="P86" s="132">
        <f t="shared" si="21"/>
        <v>5201291.77780509</v>
      </c>
      <c r="Q86" s="262">
        <v>1</v>
      </c>
      <c r="R86" s="92"/>
    </row>
    <row r="87" spans="1:18" x14ac:dyDescent="0.25">
      <c r="A87" s="326">
        <v>2028</v>
      </c>
      <c r="B87" s="326" t="s">
        <v>285</v>
      </c>
      <c r="C87" s="264" t="s">
        <v>753</v>
      </c>
      <c r="D87" s="157" t="s">
        <v>787</v>
      </c>
      <c r="E87" s="44">
        <v>46934</v>
      </c>
      <c r="F87" s="127" t="str">
        <f t="shared" si="17"/>
        <v>2027-28</v>
      </c>
      <c r="G87" s="1"/>
      <c r="H87" s="158"/>
      <c r="I87" s="37"/>
      <c r="J87" s="312">
        <v>1</v>
      </c>
      <c r="K87" s="112"/>
      <c r="L87" s="37">
        <v>1</v>
      </c>
      <c r="M87" s="37" t="s">
        <v>529</v>
      </c>
      <c r="N87" s="37">
        <v>2161742.2395379567</v>
      </c>
      <c r="O87" s="130">
        <f t="shared" si="20"/>
        <v>2161742.2395379567</v>
      </c>
      <c r="P87" s="132">
        <f t="shared" si="21"/>
        <v>2161742.2395379567</v>
      </c>
      <c r="Q87" s="262">
        <v>1</v>
      </c>
      <c r="R87" s="92"/>
    </row>
    <row r="88" spans="1:18" x14ac:dyDescent="0.25">
      <c r="A88" s="326">
        <v>2025</v>
      </c>
      <c r="B88" s="326" t="s">
        <v>285</v>
      </c>
      <c r="C88" s="264" t="s">
        <v>777</v>
      </c>
      <c r="D88" s="157" t="s">
        <v>788</v>
      </c>
      <c r="E88" s="44">
        <v>45838</v>
      </c>
      <c r="F88" s="127" t="str">
        <f t="shared" si="17"/>
        <v>2024-25</v>
      </c>
      <c r="G88" s="1"/>
      <c r="H88" s="158"/>
      <c r="I88" s="37"/>
      <c r="J88" s="312">
        <v>1</v>
      </c>
      <c r="K88" s="112"/>
      <c r="L88" s="37">
        <v>1</v>
      </c>
      <c r="M88" s="37" t="s">
        <v>529</v>
      </c>
      <c r="N88" s="37">
        <v>2036649.5254641667</v>
      </c>
      <c r="O88" s="130">
        <f t="shared" si="20"/>
        <v>2036649.5254641667</v>
      </c>
      <c r="P88" s="132">
        <f t="shared" si="21"/>
        <v>2036649.5254641667</v>
      </c>
      <c r="Q88" s="262">
        <v>1</v>
      </c>
      <c r="R88" s="92"/>
    </row>
    <row r="89" spans="1:18" x14ac:dyDescent="0.25">
      <c r="A89" s="326">
        <v>2027</v>
      </c>
      <c r="B89" s="326" t="s">
        <v>285</v>
      </c>
      <c r="C89" s="264" t="s">
        <v>757</v>
      </c>
      <c r="D89" s="157" t="s">
        <v>789</v>
      </c>
      <c r="E89" s="44">
        <v>46568</v>
      </c>
      <c r="F89" s="127" t="str">
        <f t="shared" si="17"/>
        <v>2026-27</v>
      </c>
      <c r="G89" s="1"/>
      <c r="H89" s="158"/>
      <c r="I89" s="37"/>
      <c r="J89" s="312">
        <v>1</v>
      </c>
      <c r="K89" s="112"/>
      <c r="L89" s="37">
        <v>1</v>
      </c>
      <c r="M89" s="37" t="s">
        <v>529</v>
      </c>
      <c r="N89" s="37">
        <v>2098413.20845972</v>
      </c>
      <c r="O89" s="130">
        <f t="shared" si="20"/>
        <v>2098413.20845972</v>
      </c>
      <c r="P89" s="132">
        <f t="shared" si="21"/>
        <v>2098413.20845972</v>
      </c>
      <c r="Q89" s="262">
        <v>1</v>
      </c>
      <c r="R89" s="92"/>
    </row>
    <row r="90" spans="1:18" x14ac:dyDescent="0.25">
      <c r="A90" s="326">
        <v>2023</v>
      </c>
      <c r="B90" s="326" t="s">
        <v>285</v>
      </c>
      <c r="C90" s="264" t="s">
        <v>770</v>
      </c>
      <c r="D90" s="157" t="s">
        <v>790</v>
      </c>
      <c r="E90" s="44">
        <v>45107</v>
      </c>
      <c r="F90" s="127" t="str">
        <f t="shared" si="17"/>
        <v>2022-23</v>
      </c>
      <c r="G90" s="1"/>
      <c r="H90" s="158"/>
      <c r="I90" s="37"/>
      <c r="J90" s="312">
        <v>1</v>
      </c>
      <c r="K90" s="112"/>
      <c r="L90" s="37">
        <v>1</v>
      </c>
      <c r="M90" s="37" t="s">
        <v>529</v>
      </c>
      <c r="N90" s="37">
        <v>19772305.180247039</v>
      </c>
      <c r="O90" s="130">
        <f t="shared" si="20"/>
        <v>19772305.180247039</v>
      </c>
      <c r="P90" s="132">
        <f t="shared" si="21"/>
        <v>19772305.180247039</v>
      </c>
      <c r="Q90" s="262">
        <v>1</v>
      </c>
      <c r="R90" s="92"/>
    </row>
    <row r="91" spans="1:18" x14ac:dyDescent="0.25">
      <c r="A91" s="326">
        <v>2022</v>
      </c>
      <c r="B91" s="326" t="s">
        <v>285</v>
      </c>
      <c r="C91" s="264" t="s">
        <v>757</v>
      </c>
      <c r="D91" s="157" t="s">
        <v>791</v>
      </c>
      <c r="E91" s="44">
        <v>44742</v>
      </c>
      <c r="F91" s="127" t="str">
        <f t="shared" si="17"/>
        <v>2021-22</v>
      </c>
      <c r="G91" s="1"/>
      <c r="H91" s="158"/>
      <c r="I91" s="37"/>
      <c r="J91" s="312">
        <v>1</v>
      </c>
      <c r="K91" s="112"/>
      <c r="L91" s="37">
        <v>1</v>
      </c>
      <c r="M91" s="37" t="s">
        <v>529</v>
      </c>
      <c r="N91" s="37">
        <v>7203474.7634007595</v>
      </c>
      <c r="O91" s="130">
        <f t="shared" si="20"/>
        <v>7203474.7634007595</v>
      </c>
      <c r="P91" s="132">
        <f t="shared" si="21"/>
        <v>7203474.7634007595</v>
      </c>
      <c r="Q91" s="262">
        <v>1</v>
      </c>
      <c r="R91" s="92"/>
    </row>
    <row r="92" spans="1:18" x14ac:dyDescent="0.25">
      <c r="A92" s="326">
        <v>2023</v>
      </c>
      <c r="B92" s="326" t="s">
        <v>285</v>
      </c>
      <c r="C92" s="264" t="s">
        <v>775</v>
      </c>
      <c r="D92" s="157" t="s">
        <v>792</v>
      </c>
      <c r="E92" s="44">
        <v>45107</v>
      </c>
      <c r="F92" s="127" t="str">
        <f t="shared" si="17"/>
        <v>2022-23</v>
      </c>
      <c r="G92" s="1"/>
      <c r="H92" s="158"/>
      <c r="I92" s="37"/>
      <c r="J92" s="312">
        <v>1</v>
      </c>
      <c r="K92" s="112"/>
      <c r="L92" s="37">
        <v>1</v>
      </c>
      <c r="M92" s="37" t="s">
        <v>529</v>
      </c>
      <c r="N92" s="37">
        <v>25905884</v>
      </c>
      <c r="O92" s="130">
        <f t="shared" si="20"/>
        <v>25905884</v>
      </c>
      <c r="P92" s="132">
        <f t="shared" si="21"/>
        <v>25905884</v>
      </c>
      <c r="Q92" s="262">
        <v>1</v>
      </c>
      <c r="R92" s="92"/>
    </row>
    <row r="93" spans="1:18" x14ac:dyDescent="0.25">
      <c r="A93" s="326">
        <v>2023</v>
      </c>
      <c r="B93" s="326" t="s">
        <v>285</v>
      </c>
      <c r="C93" s="264" t="s">
        <v>775</v>
      </c>
      <c r="D93" s="157" t="s">
        <v>793</v>
      </c>
      <c r="E93" s="44">
        <v>45107</v>
      </c>
      <c r="F93" s="127" t="str">
        <f t="shared" si="17"/>
        <v>2022-23</v>
      </c>
      <c r="G93" s="1"/>
      <c r="H93" s="158"/>
      <c r="I93" s="37"/>
      <c r="J93" s="312">
        <v>1</v>
      </c>
      <c r="K93" s="112"/>
      <c r="L93" s="37">
        <v>1</v>
      </c>
      <c r="M93" s="37" t="s">
        <v>529</v>
      </c>
      <c r="N93" s="37">
        <v>25905884</v>
      </c>
      <c r="O93" s="130">
        <f t="shared" si="20"/>
        <v>25905884</v>
      </c>
      <c r="P93" s="132">
        <f t="shared" si="21"/>
        <v>25905884</v>
      </c>
      <c r="Q93" s="262">
        <v>1</v>
      </c>
      <c r="R93" s="92"/>
    </row>
    <row r="94" spans="1:18" x14ac:dyDescent="0.25">
      <c r="A94" s="326">
        <v>2025</v>
      </c>
      <c r="B94" s="326" t="s">
        <v>285</v>
      </c>
      <c r="C94" s="264" t="s">
        <v>757</v>
      </c>
      <c r="D94" s="157" t="s">
        <v>794</v>
      </c>
      <c r="E94" s="44">
        <v>45838</v>
      </c>
      <c r="F94" s="127" t="str">
        <f t="shared" si="17"/>
        <v>2024-25</v>
      </c>
      <c r="G94" s="1"/>
      <c r="H94" s="158"/>
      <c r="I94" s="37"/>
      <c r="J94" s="312">
        <v>1</v>
      </c>
      <c r="K94" s="112"/>
      <c r="L94" s="37">
        <v>1</v>
      </c>
      <c r="M94" s="37" t="s">
        <v>529</v>
      </c>
      <c r="N94" s="37">
        <v>3308881.8031357061</v>
      </c>
      <c r="O94" s="130">
        <f t="shared" si="20"/>
        <v>3308881.8031357061</v>
      </c>
      <c r="P94" s="132">
        <f t="shared" si="21"/>
        <v>3308881.8031357061</v>
      </c>
      <c r="Q94" s="262">
        <v>1</v>
      </c>
      <c r="R94" s="92"/>
    </row>
    <row r="95" spans="1:18" x14ac:dyDescent="0.25">
      <c r="A95" s="326">
        <v>2027</v>
      </c>
      <c r="B95" s="326" t="s">
        <v>285</v>
      </c>
      <c r="C95" s="264" t="s">
        <v>761</v>
      </c>
      <c r="D95" s="157" t="s">
        <v>795</v>
      </c>
      <c r="E95" s="44">
        <v>46568</v>
      </c>
      <c r="F95" s="127" t="str">
        <f t="shared" si="17"/>
        <v>2026-27</v>
      </c>
      <c r="G95" s="1"/>
      <c r="H95" s="158"/>
      <c r="I95" s="37"/>
      <c r="J95" s="312">
        <v>1</v>
      </c>
      <c r="K95" s="112"/>
      <c r="L95" s="37">
        <v>1</v>
      </c>
      <c r="M95" s="37" t="s">
        <v>529</v>
      </c>
      <c r="N95" s="37">
        <v>10489280.136516981</v>
      </c>
      <c r="O95" s="130">
        <f t="shared" si="20"/>
        <v>10489280.136516981</v>
      </c>
      <c r="P95" s="132">
        <f t="shared" si="21"/>
        <v>10489280.136516981</v>
      </c>
      <c r="Q95" s="262">
        <v>1</v>
      </c>
      <c r="R95" s="92"/>
    </row>
    <row r="96" spans="1:18" x14ac:dyDescent="0.25">
      <c r="A96" s="326">
        <v>2027</v>
      </c>
      <c r="B96" s="326" t="s">
        <v>285</v>
      </c>
      <c r="C96" s="264" t="s">
        <v>761</v>
      </c>
      <c r="D96" s="157" t="s">
        <v>796</v>
      </c>
      <c r="E96" s="44">
        <v>46568</v>
      </c>
      <c r="F96" s="127" t="str">
        <f t="shared" si="17"/>
        <v>2026-27</v>
      </c>
      <c r="G96" s="1"/>
      <c r="H96" s="158"/>
      <c r="I96" s="37"/>
      <c r="J96" s="312">
        <v>1</v>
      </c>
      <c r="K96" s="112"/>
      <c r="L96" s="37">
        <v>1</v>
      </c>
      <c r="M96" s="37" t="s">
        <v>529</v>
      </c>
      <c r="N96" s="37">
        <v>8088733.4538455242</v>
      </c>
      <c r="O96" s="130">
        <f t="shared" si="20"/>
        <v>8088733.4538455242</v>
      </c>
      <c r="P96" s="132">
        <f t="shared" si="21"/>
        <v>8088733.4538455242</v>
      </c>
      <c r="Q96" s="262">
        <v>1</v>
      </c>
      <c r="R96" s="92"/>
    </row>
    <row r="97" spans="1:18" x14ac:dyDescent="0.25">
      <c r="A97" s="326">
        <v>2026</v>
      </c>
      <c r="B97" s="326" t="s">
        <v>285</v>
      </c>
      <c r="C97" s="264" t="s">
        <v>797</v>
      </c>
      <c r="D97" s="157" t="s">
        <v>798</v>
      </c>
      <c r="E97" s="44">
        <v>46203</v>
      </c>
      <c r="F97" s="127" t="str">
        <f t="shared" si="17"/>
        <v>2025-26</v>
      </c>
      <c r="G97" s="1"/>
      <c r="H97" s="158"/>
      <c r="I97" s="37"/>
      <c r="J97" s="312">
        <v>1</v>
      </c>
      <c r="K97" s="112"/>
      <c r="L97" s="37">
        <v>1</v>
      </c>
      <c r="M97" s="37" t="s">
        <v>529</v>
      </c>
      <c r="N97" s="37">
        <v>2160000</v>
      </c>
      <c r="O97" s="130">
        <f t="shared" si="20"/>
        <v>2160000</v>
      </c>
      <c r="P97" s="132">
        <f t="shared" si="21"/>
        <v>2160000</v>
      </c>
      <c r="Q97" s="262">
        <v>1</v>
      </c>
      <c r="R97" s="92"/>
    </row>
    <row r="98" spans="1:18" x14ac:dyDescent="0.25">
      <c r="C98" s="264"/>
      <c r="D98" s="157"/>
      <c r="E98" s="44"/>
      <c r="F98" s="127" t="str">
        <f t="shared" si="17"/>
        <v>-</v>
      </c>
      <c r="G98" s="1"/>
      <c r="H98" s="158"/>
      <c r="I98" s="37"/>
      <c r="J98" s="312"/>
      <c r="K98" s="112"/>
      <c r="L98" s="37"/>
      <c r="M98" s="37"/>
      <c r="N98" s="37"/>
      <c r="O98" s="130" t="str">
        <f t="shared" si="20"/>
        <v>-</v>
      </c>
      <c r="P98" s="132" t="str">
        <f t="shared" si="21"/>
        <v>-</v>
      </c>
      <c r="Q98" s="262">
        <v>1</v>
      </c>
      <c r="R98" s="92"/>
    </row>
    <row r="99" spans="1:18" x14ac:dyDescent="0.25">
      <c r="A99" s="326">
        <v>2025</v>
      </c>
      <c r="B99" s="326" t="s">
        <v>287</v>
      </c>
      <c r="C99" s="264" t="s">
        <v>799</v>
      </c>
      <c r="D99" s="157" t="s">
        <v>800</v>
      </c>
      <c r="E99" s="44">
        <v>45838</v>
      </c>
      <c r="F99" s="127" t="str">
        <f t="shared" si="17"/>
        <v>2024-25</v>
      </c>
      <c r="G99" s="1"/>
      <c r="H99" s="158"/>
      <c r="I99" s="37"/>
      <c r="J99" s="312">
        <v>1</v>
      </c>
      <c r="K99" s="112"/>
      <c r="L99" s="37">
        <v>1</v>
      </c>
      <c r="M99" s="37" t="s">
        <v>804</v>
      </c>
      <c r="N99" s="37">
        <v>672870000</v>
      </c>
      <c r="O99" s="130">
        <f t="shared" si="20"/>
        <v>672870000</v>
      </c>
      <c r="P99" s="132">
        <f t="shared" si="21"/>
        <v>672870000</v>
      </c>
      <c r="Q99" s="262">
        <v>1</v>
      </c>
      <c r="R99" s="92"/>
    </row>
    <row r="100" spans="1:18" x14ac:dyDescent="0.25">
      <c r="C100" s="264"/>
      <c r="D100" s="157"/>
      <c r="E100" s="44">
        <v>45107</v>
      </c>
      <c r="F100" s="127" t="str">
        <f t="shared" si="17"/>
        <v>2022-23</v>
      </c>
      <c r="G100" s="1"/>
      <c r="H100" s="158"/>
      <c r="I100" s="37"/>
      <c r="J100" s="312">
        <v>1</v>
      </c>
      <c r="K100" s="112"/>
      <c r="L100" s="37"/>
      <c r="M100" s="37"/>
      <c r="N100" s="37"/>
      <c r="O100" s="130" t="str">
        <f t="shared" si="20"/>
        <v>-</v>
      </c>
      <c r="P100" s="132" t="str">
        <f t="shared" si="21"/>
        <v>-</v>
      </c>
      <c r="Q100" s="262">
        <v>1</v>
      </c>
      <c r="R100" s="92"/>
    </row>
    <row r="101" spans="1:18" x14ac:dyDescent="0.25">
      <c r="A101" s="326">
        <v>2022</v>
      </c>
      <c r="B101" s="326" t="s">
        <v>287</v>
      </c>
      <c r="C101" s="264" t="s">
        <v>799</v>
      </c>
      <c r="D101" s="157" t="s">
        <v>801</v>
      </c>
      <c r="E101" s="44">
        <v>44742</v>
      </c>
      <c r="F101" s="127" t="str">
        <f t="shared" si="17"/>
        <v>2021-22</v>
      </c>
      <c r="G101" s="1"/>
      <c r="H101" s="158"/>
      <c r="I101" s="37"/>
      <c r="J101" s="312">
        <v>1</v>
      </c>
      <c r="K101" s="112"/>
      <c r="L101" s="37">
        <v>1</v>
      </c>
      <c r="M101" s="37" t="s">
        <v>804</v>
      </c>
      <c r="N101" s="37">
        <v>130724000.00000001</v>
      </c>
      <c r="O101" s="130">
        <f t="shared" si="20"/>
        <v>130724000.00000001</v>
      </c>
      <c r="P101" s="132">
        <f t="shared" si="21"/>
        <v>130724000.00000001</v>
      </c>
      <c r="Q101" s="262">
        <v>1</v>
      </c>
      <c r="R101" s="92"/>
    </row>
    <row r="102" spans="1:18" x14ac:dyDescent="0.25">
      <c r="A102" s="326">
        <v>2025</v>
      </c>
      <c r="B102" s="326" t="s">
        <v>287</v>
      </c>
      <c r="C102" s="264" t="s">
        <v>799</v>
      </c>
      <c r="D102" s="157" t="s">
        <v>802</v>
      </c>
      <c r="E102" s="44">
        <v>45838</v>
      </c>
      <c r="F102" s="127" t="str">
        <f t="shared" si="17"/>
        <v>2024-25</v>
      </c>
      <c r="G102" s="1"/>
      <c r="H102" s="158"/>
      <c r="I102" s="37"/>
      <c r="J102" s="312">
        <v>1</v>
      </c>
      <c r="K102" s="112"/>
      <c r="L102" s="37">
        <v>1</v>
      </c>
      <c r="M102" s="37" t="s">
        <v>804</v>
      </c>
      <c r="N102" s="37">
        <v>156266000</v>
      </c>
      <c r="O102" s="130">
        <f t="shared" si="20"/>
        <v>156266000</v>
      </c>
      <c r="P102" s="132">
        <f t="shared" si="21"/>
        <v>156266000</v>
      </c>
      <c r="Q102" s="262">
        <v>1</v>
      </c>
      <c r="R102" s="92"/>
    </row>
    <row r="103" spans="1:18" x14ac:dyDescent="0.25">
      <c r="A103" s="326">
        <v>2025</v>
      </c>
      <c r="B103" s="326" t="s">
        <v>287</v>
      </c>
      <c r="C103" s="264" t="s">
        <v>799</v>
      </c>
      <c r="D103" s="157" t="s">
        <v>803</v>
      </c>
      <c r="E103" s="44">
        <v>45838</v>
      </c>
      <c r="F103" s="127" t="str">
        <f t="shared" si="17"/>
        <v>2024-25</v>
      </c>
      <c r="G103" s="1"/>
      <c r="H103" s="158"/>
      <c r="I103" s="37"/>
      <c r="J103" s="312">
        <v>1</v>
      </c>
      <c r="K103" s="112"/>
      <c r="L103" s="37">
        <v>1</v>
      </c>
      <c r="M103" s="37" t="s">
        <v>804</v>
      </c>
      <c r="N103" s="37">
        <v>140503000</v>
      </c>
      <c r="O103" s="130">
        <f t="shared" si="20"/>
        <v>140503000</v>
      </c>
      <c r="P103" s="132">
        <f t="shared" si="21"/>
        <v>140503000</v>
      </c>
      <c r="Q103" s="262">
        <v>1</v>
      </c>
      <c r="R103" s="92"/>
    </row>
    <row r="104" spans="1:18" x14ac:dyDescent="0.25">
      <c r="C104" s="264"/>
      <c r="D104" s="157"/>
      <c r="E104" s="44"/>
      <c r="F104" s="127"/>
      <c r="G104" s="1"/>
      <c r="H104" s="158"/>
      <c r="I104" s="37"/>
      <c r="J104" s="135"/>
      <c r="K104" s="112"/>
      <c r="L104" s="37"/>
      <c r="M104" s="37"/>
      <c r="N104" s="37"/>
      <c r="O104" s="130"/>
      <c r="P104" s="132"/>
      <c r="Q104" s="262"/>
      <c r="R104" s="92"/>
    </row>
    <row r="105" spans="1:18" ht="23" x14ac:dyDescent="0.25">
      <c r="A105" s="326">
        <v>2026</v>
      </c>
      <c r="B105" s="326" t="s">
        <v>283</v>
      </c>
      <c r="C105" s="264"/>
      <c r="D105" s="157" t="s">
        <v>808</v>
      </c>
      <c r="E105" s="44">
        <v>46203</v>
      </c>
      <c r="F105" s="127" t="str">
        <f t="shared" ref="F105:F118" si="22">IF(E105="","-",IF(E105&lt;$E$15,"ERROR - date outside of range",IF(MONTH(E105)&gt;=7,YEAR(E105)&amp;"-"&amp;RIGHT(YEAR(E105),2)+1,YEAR(E105)-1&amp;"-"&amp;RIGHT(YEAR(E105),2))))</f>
        <v>2025-26</v>
      </c>
      <c r="H105" s="158"/>
      <c r="I105" s="37"/>
      <c r="J105" s="312">
        <f>J103</f>
        <v>1</v>
      </c>
      <c r="K105" s="47"/>
      <c r="L105" s="37">
        <v>1</v>
      </c>
      <c r="M105" s="37" t="s">
        <v>519</v>
      </c>
      <c r="N105" s="37">
        <v>1854957.9946030253</v>
      </c>
      <c r="O105" s="130">
        <f t="shared" ref="O105:O118" si="23">IF(N105="","-",L105*N105)</f>
        <v>1854957.9946030253</v>
      </c>
      <c r="P105" s="324">
        <f t="shared" ref="P105:P118" si="24">IF(O105="-","-",IF(E105&lt;$E$15,0,O105*J105)*Q105)</f>
        <v>1854957.9946030253</v>
      </c>
      <c r="Q105" s="262">
        <v>1</v>
      </c>
      <c r="R105" s="92"/>
    </row>
    <row r="106" spans="1:18" ht="23" x14ac:dyDescent="0.25">
      <c r="A106" s="326">
        <v>2026</v>
      </c>
      <c r="B106" s="326" t="s">
        <v>283</v>
      </c>
      <c r="C106" s="264"/>
      <c r="D106" s="157" t="s">
        <v>809</v>
      </c>
      <c r="E106" s="44">
        <v>46203</v>
      </c>
      <c r="F106" s="127" t="str">
        <f t="shared" si="22"/>
        <v>2025-26</v>
      </c>
      <c r="H106" s="158"/>
      <c r="I106" s="37"/>
      <c r="J106" s="312">
        <f>J105</f>
        <v>1</v>
      </c>
      <c r="K106" s="47"/>
      <c r="L106" s="37">
        <v>1</v>
      </c>
      <c r="M106" s="37" t="s">
        <v>519</v>
      </c>
      <c r="N106" s="37">
        <v>19088719.980803572</v>
      </c>
      <c r="O106" s="130">
        <f t="shared" si="23"/>
        <v>19088719.980803572</v>
      </c>
      <c r="P106" s="324">
        <f t="shared" si="24"/>
        <v>19088719.980803572</v>
      </c>
      <c r="Q106" s="262">
        <v>1</v>
      </c>
      <c r="R106" s="92"/>
    </row>
    <row r="107" spans="1:18" ht="23" x14ac:dyDescent="0.25">
      <c r="A107" s="326">
        <v>2026</v>
      </c>
      <c r="B107" s="326" t="s">
        <v>283</v>
      </c>
      <c r="C107" s="264"/>
      <c r="D107" s="157" t="s">
        <v>810</v>
      </c>
      <c r="E107" s="44">
        <v>46203</v>
      </c>
      <c r="F107" s="127" t="str">
        <f t="shared" si="22"/>
        <v>2025-26</v>
      </c>
      <c r="H107" s="158"/>
      <c r="I107" s="37"/>
      <c r="J107" s="312">
        <f t="shared" ref="J107:J118" si="25">J105</f>
        <v>1</v>
      </c>
      <c r="K107" s="47"/>
      <c r="L107" s="37">
        <v>1</v>
      </c>
      <c r="M107" s="37" t="s">
        <v>519</v>
      </c>
      <c r="N107" s="37">
        <v>31123489.32976421</v>
      </c>
      <c r="O107" s="130">
        <f t="shared" si="23"/>
        <v>31123489.32976421</v>
      </c>
      <c r="P107" s="324">
        <f t="shared" si="24"/>
        <v>31123489.32976421</v>
      </c>
      <c r="Q107" s="262">
        <v>1</v>
      </c>
      <c r="R107" s="92"/>
    </row>
    <row r="108" spans="1:18" ht="23" x14ac:dyDescent="0.25">
      <c r="A108" s="326">
        <v>2026</v>
      </c>
      <c r="B108" s="326" t="s">
        <v>283</v>
      </c>
      <c r="C108" s="264"/>
      <c r="D108" s="157" t="s">
        <v>811</v>
      </c>
      <c r="E108" s="44">
        <v>46203</v>
      </c>
      <c r="F108" s="127" t="str">
        <f t="shared" si="22"/>
        <v>2025-26</v>
      </c>
      <c r="H108" s="158"/>
      <c r="I108" s="37"/>
      <c r="J108" s="312">
        <f t="shared" si="25"/>
        <v>1</v>
      </c>
      <c r="K108" s="47"/>
      <c r="L108" s="37">
        <v>1</v>
      </c>
      <c r="M108" s="37" t="s">
        <v>519</v>
      </c>
      <c r="N108" s="37">
        <v>961346.63677960762</v>
      </c>
      <c r="O108" s="130">
        <f t="shared" si="23"/>
        <v>961346.63677960762</v>
      </c>
      <c r="P108" s="324">
        <f t="shared" si="24"/>
        <v>961346.63677960762</v>
      </c>
      <c r="Q108" s="262">
        <v>1</v>
      </c>
      <c r="R108" s="92"/>
    </row>
    <row r="109" spans="1:18" ht="23" x14ac:dyDescent="0.25">
      <c r="A109" s="326">
        <v>2026</v>
      </c>
      <c r="B109" s="326" t="s">
        <v>283</v>
      </c>
      <c r="C109" s="264"/>
      <c r="D109" s="157" t="s">
        <v>812</v>
      </c>
      <c r="E109" s="44">
        <v>46203</v>
      </c>
      <c r="F109" s="127" t="str">
        <f t="shared" si="22"/>
        <v>2025-26</v>
      </c>
      <c r="H109" s="158"/>
      <c r="I109" s="37"/>
      <c r="J109" s="312">
        <f t="shared" si="25"/>
        <v>1</v>
      </c>
      <c r="K109" s="47"/>
      <c r="L109" s="37">
        <v>1</v>
      </c>
      <c r="M109" s="37" t="s">
        <v>519</v>
      </c>
      <c r="N109" s="37">
        <v>8320569.1645682231</v>
      </c>
      <c r="O109" s="130">
        <f t="shared" si="23"/>
        <v>8320569.1645682231</v>
      </c>
      <c r="P109" s="324">
        <f t="shared" si="24"/>
        <v>8320569.1645682231</v>
      </c>
      <c r="Q109" s="262">
        <v>1</v>
      </c>
      <c r="R109" s="92"/>
    </row>
    <row r="110" spans="1:18" ht="23" x14ac:dyDescent="0.25">
      <c r="A110" s="326">
        <v>2026</v>
      </c>
      <c r="B110" s="326" t="s">
        <v>283</v>
      </c>
      <c r="C110" s="264"/>
      <c r="D110" s="157" t="s">
        <v>813</v>
      </c>
      <c r="E110" s="44">
        <v>46203</v>
      </c>
      <c r="F110" s="127" t="str">
        <f t="shared" si="22"/>
        <v>2025-26</v>
      </c>
      <c r="H110" s="158"/>
      <c r="I110" s="37"/>
      <c r="J110" s="312">
        <f t="shared" si="25"/>
        <v>1</v>
      </c>
      <c r="K110" s="47"/>
      <c r="L110" s="37">
        <v>1</v>
      </c>
      <c r="M110" s="37" t="s">
        <v>519</v>
      </c>
      <c r="N110" s="37">
        <v>168856.75315251038</v>
      </c>
      <c r="O110" s="130">
        <f t="shared" si="23"/>
        <v>168856.75315251038</v>
      </c>
      <c r="P110" s="324">
        <f t="shared" si="24"/>
        <v>168856.75315251038</v>
      </c>
      <c r="Q110" s="262">
        <v>1</v>
      </c>
      <c r="R110" s="92"/>
    </row>
    <row r="111" spans="1:18" x14ac:dyDescent="0.25">
      <c r="A111" s="326">
        <v>2026</v>
      </c>
      <c r="B111" s="326" t="s">
        <v>284</v>
      </c>
      <c r="C111" s="264"/>
      <c r="D111" s="157" t="s">
        <v>814</v>
      </c>
      <c r="E111" s="44">
        <v>46203</v>
      </c>
      <c r="F111" s="127" t="str">
        <f t="shared" si="22"/>
        <v>2025-26</v>
      </c>
      <c r="H111" s="158"/>
      <c r="I111" s="37"/>
      <c r="J111" s="312">
        <f t="shared" si="25"/>
        <v>1</v>
      </c>
      <c r="K111" s="47"/>
      <c r="L111" s="37">
        <v>1</v>
      </c>
      <c r="M111" s="37" t="s">
        <v>815</v>
      </c>
      <c r="N111" s="37">
        <v>292067324</v>
      </c>
      <c r="O111" s="130">
        <f t="shared" si="23"/>
        <v>292067324</v>
      </c>
      <c r="P111" s="324">
        <f t="shared" si="24"/>
        <v>292067324</v>
      </c>
      <c r="Q111" s="262">
        <v>1</v>
      </c>
      <c r="R111" s="92"/>
    </row>
    <row r="112" spans="1:18" ht="23" x14ac:dyDescent="0.25">
      <c r="A112" s="326">
        <v>2026</v>
      </c>
      <c r="B112" s="326" t="s">
        <v>284</v>
      </c>
      <c r="C112" s="264"/>
      <c r="D112" s="157" t="s">
        <v>816</v>
      </c>
      <c r="E112" s="44">
        <v>46203</v>
      </c>
      <c r="F112" s="127" t="str">
        <f t="shared" si="22"/>
        <v>2025-26</v>
      </c>
      <c r="H112" s="158"/>
      <c r="I112" s="37"/>
      <c r="J112" s="312">
        <f t="shared" si="25"/>
        <v>1</v>
      </c>
      <c r="K112" s="47"/>
      <c r="L112" s="37">
        <v>1</v>
      </c>
      <c r="M112" s="37" t="s">
        <v>815</v>
      </c>
      <c r="N112" s="37">
        <v>9251225.7922962345</v>
      </c>
      <c r="O112" s="130">
        <f t="shared" si="23"/>
        <v>9251225.7922962345</v>
      </c>
      <c r="P112" s="324">
        <f t="shared" si="24"/>
        <v>9251225.7922962345</v>
      </c>
      <c r="Q112" s="262">
        <v>1</v>
      </c>
      <c r="R112" s="92"/>
    </row>
    <row r="113" spans="1:18" ht="23" x14ac:dyDescent="0.25">
      <c r="A113" s="326">
        <v>2026</v>
      </c>
      <c r="B113" s="326" t="s">
        <v>284</v>
      </c>
      <c r="C113" s="264"/>
      <c r="D113" s="157" t="s">
        <v>817</v>
      </c>
      <c r="E113" s="44">
        <v>46203</v>
      </c>
      <c r="F113" s="127" t="str">
        <f t="shared" si="22"/>
        <v>2025-26</v>
      </c>
      <c r="H113" s="158"/>
      <c r="I113" s="37"/>
      <c r="J113" s="312">
        <f t="shared" si="25"/>
        <v>1</v>
      </c>
      <c r="K113" s="47"/>
      <c r="L113" s="37">
        <v>1</v>
      </c>
      <c r="M113" s="37" t="s">
        <v>815</v>
      </c>
      <c r="N113" s="37">
        <v>4036296.332839346</v>
      </c>
      <c r="O113" s="130">
        <f t="shared" si="23"/>
        <v>4036296.332839346</v>
      </c>
      <c r="P113" s="324">
        <f t="shared" si="24"/>
        <v>4036296.332839346</v>
      </c>
      <c r="Q113" s="262">
        <v>1</v>
      </c>
      <c r="R113" s="92"/>
    </row>
    <row r="114" spans="1:18" ht="23" x14ac:dyDescent="0.25">
      <c r="A114" s="326">
        <v>2026</v>
      </c>
      <c r="B114" s="326" t="s">
        <v>284</v>
      </c>
      <c r="C114" s="264"/>
      <c r="D114" s="157" t="s">
        <v>818</v>
      </c>
      <c r="E114" s="44">
        <v>46203</v>
      </c>
      <c r="F114" s="127" t="str">
        <f t="shared" si="22"/>
        <v>2025-26</v>
      </c>
      <c r="H114" s="158"/>
      <c r="I114" s="37"/>
      <c r="J114" s="312">
        <f t="shared" si="25"/>
        <v>1</v>
      </c>
      <c r="K114" s="47"/>
      <c r="L114" s="37">
        <v>1</v>
      </c>
      <c r="M114" s="37" t="s">
        <v>815</v>
      </c>
      <c r="N114" s="37">
        <v>19786950.578315075</v>
      </c>
      <c r="O114" s="130">
        <f t="shared" si="23"/>
        <v>19786950.578315075</v>
      </c>
      <c r="P114" s="324">
        <f t="shared" si="24"/>
        <v>19786950.578315075</v>
      </c>
      <c r="Q114" s="262">
        <v>1</v>
      </c>
      <c r="R114" s="92"/>
    </row>
    <row r="115" spans="1:18" x14ac:dyDescent="0.25">
      <c r="A115" s="326">
        <v>2026</v>
      </c>
      <c r="B115" s="326" t="s">
        <v>285</v>
      </c>
      <c r="C115" s="264"/>
      <c r="D115" s="157" t="s">
        <v>819</v>
      </c>
      <c r="E115" s="44">
        <v>46203</v>
      </c>
      <c r="F115" s="127" t="str">
        <f t="shared" si="22"/>
        <v>2025-26</v>
      </c>
      <c r="H115" s="158"/>
      <c r="I115" s="37"/>
      <c r="J115" s="312">
        <f t="shared" si="25"/>
        <v>1</v>
      </c>
      <c r="K115" s="47"/>
      <c r="L115" s="37">
        <v>1</v>
      </c>
      <c r="M115" s="37" t="s">
        <v>529</v>
      </c>
      <c r="N115" s="37">
        <v>70588242.094990715</v>
      </c>
      <c r="O115" s="130">
        <f t="shared" si="23"/>
        <v>70588242.094990715</v>
      </c>
      <c r="P115" s="324">
        <f t="shared" si="24"/>
        <v>70588242.094990715</v>
      </c>
      <c r="Q115" s="262">
        <v>1</v>
      </c>
      <c r="R115" s="92"/>
    </row>
    <row r="116" spans="1:18" x14ac:dyDescent="0.25">
      <c r="A116" s="326">
        <v>2026</v>
      </c>
      <c r="B116" s="326" t="s">
        <v>285</v>
      </c>
      <c r="C116" s="264"/>
      <c r="D116" s="157" t="s">
        <v>820</v>
      </c>
      <c r="E116" s="44">
        <v>46203</v>
      </c>
      <c r="F116" s="127" t="str">
        <f t="shared" si="22"/>
        <v>2025-26</v>
      </c>
      <c r="H116" s="158"/>
      <c r="I116" s="37"/>
      <c r="J116" s="312">
        <f t="shared" si="25"/>
        <v>1</v>
      </c>
      <c r="K116" s="47"/>
      <c r="L116" s="37">
        <v>1</v>
      </c>
      <c r="M116" s="37" t="s">
        <v>529</v>
      </c>
      <c r="N116" s="37">
        <v>18621402.11269623</v>
      </c>
      <c r="O116" s="130">
        <f t="shared" si="23"/>
        <v>18621402.11269623</v>
      </c>
      <c r="P116" s="324">
        <f t="shared" si="24"/>
        <v>18621402.11269623</v>
      </c>
      <c r="Q116" s="262">
        <v>1</v>
      </c>
      <c r="R116" s="92"/>
    </row>
    <row r="117" spans="1:18" x14ac:dyDescent="0.25">
      <c r="A117" s="326">
        <v>2026</v>
      </c>
      <c r="B117" s="326" t="s">
        <v>285</v>
      </c>
      <c r="C117" s="264"/>
      <c r="D117" s="157" t="s">
        <v>821</v>
      </c>
      <c r="E117" s="44">
        <v>46203</v>
      </c>
      <c r="F117" s="127" t="str">
        <f t="shared" si="22"/>
        <v>2025-26</v>
      </c>
      <c r="H117" s="158"/>
      <c r="I117" s="37"/>
      <c r="J117" s="312">
        <f t="shared" si="25"/>
        <v>1</v>
      </c>
      <c r="K117" s="47"/>
      <c r="L117" s="37">
        <v>1</v>
      </c>
      <c r="M117" s="37" t="s">
        <v>529</v>
      </c>
      <c r="N117" s="37">
        <v>28442893.757586461</v>
      </c>
      <c r="O117" s="130">
        <f t="shared" si="23"/>
        <v>28442893.757586461</v>
      </c>
      <c r="P117" s="324">
        <f t="shared" si="24"/>
        <v>28442893.757586461</v>
      </c>
      <c r="Q117" s="262">
        <v>1</v>
      </c>
      <c r="R117" s="92"/>
    </row>
    <row r="118" spans="1:18" x14ac:dyDescent="0.25">
      <c r="A118" s="326">
        <v>2026</v>
      </c>
      <c r="B118" s="326" t="s">
        <v>285</v>
      </c>
      <c r="C118" s="264"/>
      <c r="D118" s="157" t="s">
        <v>822</v>
      </c>
      <c r="E118" s="44">
        <v>46203</v>
      </c>
      <c r="F118" s="127" t="str">
        <f t="shared" si="22"/>
        <v>2025-26</v>
      </c>
      <c r="H118" s="158"/>
      <c r="I118" s="37"/>
      <c r="J118" s="312">
        <f t="shared" si="25"/>
        <v>1</v>
      </c>
      <c r="K118" s="47"/>
      <c r="L118" s="37">
        <v>1</v>
      </c>
      <c r="M118" s="37" t="s">
        <v>529</v>
      </c>
      <c r="N118" s="37">
        <v>54221399.622004211</v>
      </c>
      <c r="O118" s="130">
        <f t="shared" si="23"/>
        <v>54221399.622004211</v>
      </c>
      <c r="P118" s="324">
        <f t="shared" si="24"/>
        <v>54221399.622004211</v>
      </c>
      <c r="Q118" s="262">
        <v>1</v>
      </c>
      <c r="R118" s="92"/>
    </row>
    <row r="119" spans="1:18" x14ac:dyDescent="0.25">
      <c r="C119" s="37"/>
      <c r="D119" s="157"/>
      <c r="E119" s="44"/>
      <c r="F119" s="127"/>
      <c r="G119" s="1"/>
      <c r="H119" s="158"/>
      <c r="I119" s="37"/>
      <c r="J119" s="135"/>
      <c r="K119" s="112"/>
      <c r="L119" s="37"/>
      <c r="M119" s="37"/>
      <c r="N119" s="37"/>
      <c r="O119" s="130"/>
      <c r="P119" s="132"/>
      <c r="Q119" s="262"/>
      <c r="R119" s="92"/>
    </row>
    <row r="120" spans="1:18" x14ac:dyDescent="0.25">
      <c r="C120" s="37"/>
      <c r="D120" s="157"/>
      <c r="E120" s="44"/>
      <c r="F120" s="127"/>
      <c r="G120" s="1"/>
      <c r="H120" s="158"/>
      <c r="I120" s="37"/>
      <c r="J120" s="135"/>
      <c r="K120" s="112"/>
      <c r="L120" s="37"/>
      <c r="M120" s="37"/>
      <c r="N120" s="37"/>
      <c r="O120" s="130"/>
      <c r="P120" s="132"/>
      <c r="Q120" s="262"/>
      <c r="R120" s="92"/>
    </row>
    <row r="121" spans="1:18" x14ac:dyDescent="0.25">
      <c r="C121" s="37"/>
      <c r="D121" s="157"/>
      <c r="E121" s="44"/>
      <c r="F121" s="127"/>
      <c r="G121" s="1"/>
      <c r="H121" s="158"/>
      <c r="I121" s="37"/>
      <c r="J121" s="135"/>
      <c r="K121" s="112"/>
      <c r="L121" s="37"/>
      <c r="M121" s="37"/>
      <c r="N121" s="37"/>
      <c r="O121" s="130"/>
      <c r="P121" s="132"/>
      <c r="Q121" s="262"/>
      <c r="R121" s="92"/>
    </row>
    <row r="122" spans="1:18" x14ac:dyDescent="0.25">
      <c r="C122" s="37"/>
      <c r="D122" s="157"/>
      <c r="E122" s="44"/>
      <c r="F122" s="127"/>
      <c r="G122" s="1"/>
      <c r="H122" s="158"/>
      <c r="I122" s="37"/>
      <c r="J122" s="135"/>
      <c r="K122" s="112"/>
      <c r="L122" s="37"/>
      <c r="M122" s="37"/>
      <c r="N122" s="37"/>
      <c r="O122" s="130"/>
      <c r="P122" s="132"/>
      <c r="Q122" s="262"/>
      <c r="R122" s="92"/>
    </row>
    <row r="123" spans="1:18" x14ac:dyDescent="0.25">
      <c r="C123" s="37"/>
      <c r="D123" s="157"/>
      <c r="E123" s="44"/>
      <c r="F123" s="127"/>
      <c r="G123" s="1"/>
      <c r="H123" s="158"/>
      <c r="I123" s="37"/>
      <c r="J123" s="135"/>
      <c r="K123" s="112"/>
      <c r="L123" s="37"/>
      <c r="M123" s="37"/>
      <c r="N123" s="37"/>
      <c r="O123" s="130"/>
      <c r="P123" s="132"/>
      <c r="Q123" s="262"/>
      <c r="R123" s="92"/>
    </row>
    <row r="124" spans="1:18" x14ac:dyDescent="0.25">
      <c r="C124" s="37"/>
      <c r="D124" s="157"/>
      <c r="E124" s="44"/>
      <c r="F124" s="127"/>
      <c r="G124" s="1"/>
      <c r="H124" s="158"/>
      <c r="I124" s="37"/>
      <c r="J124" s="135"/>
      <c r="K124" s="112"/>
      <c r="L124" s="37"/>
      <c r="M124" s="37"/>
      <c r="N124" s="37"/>
      <c r="O124" s="130"/>
      <c r="P124" s="132"/>
      <c r="Q124" s="262"/>
      <c r="R124" s="92"/>
    </row>
    <row r="125" spans="1:18" x14ac:dyDescent="0.25">
      <c r="C125" s="37"/>
      <c r="D125" s="157"/>
      <c r="E125" s="44"/>
      <c r="F125" s="127"/>
      <c r="G125" s="1"/>
      <c r="H125" s="158"/>
      <c r="I125" s="37"/>
      <c r="J125" s="135"/>
      <c r="K125" s="112"/>
      <c r="L125" s="37"/>
      <c r="M125" s="37"/>
      <c r="N125" s="37"/>
      <c r="O125" s="130"/>
      <c r="P125" s="132"/>
      <c r="Q125" s="262"/>
      <c r="R125" s="92"/>
    </row>
    <row r="126" spans="1:18" x14ac:dyDescent="0.25">
      <c r="C126" s="37"/>
      <c r="D126" s="157"/>
      <c r="E126" s="44"/>
      <c r="F126" s="127"/>
      <c r="G126" s="1"/>
      <c r="H126" s="158"/>
      <c r="I126" s="37"/>
      <c r="J126" s="135"/>
      <c r="K126" s="112"/>
      <c r="L126" s="37"/>
      <c r="M126" s="37"/>
      <c r="N126" s="37"/>
      <c r="O126" s="130"/>
      <c r="P126" s="132"/>
      <c r="Q126" s="262"/>
      <c r="R126" s="92"/>
    </row>
    <row r="127" spans="1:18" x14ac:dyDescent="0.25">
      <c r="C127" s="37"/>
      <c r="D127" s="157"/>
      <c r="E127" s="44"/>
      <c r="F127" s="127"/>
      <c r="G127" s="1"/>
      <c r="H127" s="158"/>
      <c r="I127" s="37"/>
      <c r="J127" s="135"/>
      <c r="K127" s="112"/>
      <c r="L127" s="37"/>
      <c r="M127" s="37"/>
      <c r="N127" s="37"/>
      <c r="O127" s="130"/>
      <c r="P127" s="132"/>
      <c r="Q127" s="262"/>
      <c r="R127" s="92"/>
    </row>
    <row r="128" spans="1:18" x14ac:dyDescent="0.25">
      <c r="C128" s="37"/>
      <c r="D128" s="157"/>
      <c r="E128" s="44"/>
      <c r="F128" s="127"/>
      <c r="G128" s="1"/>
      <c r="H128" s="158"/>
      <c r="I128" s="37"/>
      <c r="J128" s="135"/>
      <c r="K128" s="112"/>
      <c r="L128" s="37"/>
      <c r="M128" s="37"/>
      <c r="N128" s="37"/>
      <c r="O128" s="130"/>
      <c r="P128" s="132"/>
      <c r="Q128" s="262"/>
      <c r="R128" s="92"/>
    </row>
    <row r="129" spans="3:18" x14ac:dyDescent="0.25">
      <c r="C129" s="37"/>
      <c r="D129" s="157"/>
      <c r="E129" s="44"/>
      <c r="F129" s="127"/>
      <c r="G129" s="1"/>
      <c r="H129" s="158"/>
      <c r="I129" s="37"/>
      <c r="J129" s="135"/>
      <c r="K129" s="112"/>
      <c r="L129" s="37"/>
      <c r="M129" s="37"/>
      <c r="N129" s="37"/>
      <c r="O129" s="130"/>
      <c r="P129" s="132"/>
      <c r="Q129" s="262"/>
      <c r="R129" s="92"/>
    </row>
    <row r="130" spans="3:18" x14ac:dyDescent="0.25">
      <c r="C130" s="37"/>
      <c r="D130" s="157"/>
      <c r="E130" s="44"/>
      <c r="F130" s="127"/>
      <c r="G130" s="1"/>
      <c r="H130" s="158"/>
      <c r="I130" s="37"/>
      <c r="J130" s="135"/>
      <c r="K130" s="112"/>
      <c r="L130" s="37"/>
      <c r="M130" s="37"/>
      <c r="N130" s="37"/>
      <c r="O130" s="130"/>
      <c r="P130" s="132"/>
      <c r="Q130" s="262"/>
      <c r="R130" s="92"/>
    </row>
    <row r="131" spans="3:18" x14ac:dyDescent="0.25">
      <c r="C131" s="37"/>
      <c r="D131" s="157"/>
      <c r="E131" s="44"/>
      <c r="F131" s="127"/>
      <c r="G131" s="1"/>
      <c r="H131" s="158"/>
      <c r="I131" s="37"/>
      <c r="J131" s="135"/>
      <c r="K131" s="112"/>
      <c r="L131" s="37"/>
      <c r="M131" s="37"/>
      <c r="N131" s="37"/>
      <c r="O131" s="130"/>
      <c r="P131" s="132"/>
      <c r="Q131" s="262"/>
      <c r="R131" s="92"/>
    </row>
    <row r="132" spans="3:18" x14ac:dyDescent="0.25">
      <c r="C132" s="37"/>
      <c r="D132" s="157"/>
      <c r="E132" s="44"/>
      <c r="F132" s="127"/>
      <c r="G132" s="1"/>
      <c r="H132" s="158"/>
      <c r="I132" s="37"/>
      <c r="J132" s="135"/>
      <c r="K132" s="112"/>
      <c r="L132" s="37"/>
      <c r="M132" s="37"/>
      <c r="N132" s="37"/>
      <c r="O132" s="130"/>
      <c r="P132" s="132"/>
      <c r="Q132" s="262"/>
      <c r="R132" s="92"/>
    </row>
    <row r="133" spans="3:18" x14ac:dyDescent="0.25">
      <c r="C133" s="37"/>
      <c r="D133" s="157"/>
      <c r="E133" s="44"/>
      <c r="F133" s="127"/>
      <c r="G133" s="1"/>
      <c r="H133" s="158"/>
      <c r="I133" s="37"/>
      <c r="J133" s="135"/>
      <c r="K133" s="112"/>
      <c r="L133" s="37"/>
      <c r="M133" s="37"/>
      <c r="N133" s="37"/>
      <c r="O133" s="130"/>
      <c r="P133" s="132"/>
      <c r="Q133" s="262"/>
      <c r="R133" s="92"/>
    </row>
    <row r="134" spans="3:18" x14ac:dyDescent="0.25">
      <c r="C134" s="37"/>
      <c r="D134" s="157"/>
      <c r="E134" s="44"/>
      <c r="F134" s="127"/>
      <c r="G134" s="1"/>
      <c r="H134" s="158"/>
      <c r="I134" s="37"/>
      <c r="J134" s="135"/>
      <c r="K134" s="112"/>
      <c r="L134" s="37"/>
      <c r="M134" s="37"/>
      <c r="N134" s="37"/>
      <c r="O134" s="130"/>
      <c r="P134" s="132"/>
      <c r="Q134" s="262"/>
      <c r="R134" s="92"/>
    </row>
    <row r="135" spans="3:18" x14ac:dyDescent="0.25">
      <c r="C135" s="37"/>
      <c r="D135" s="157"/>
      <c r="E135" s="44"/>
      <c r="F135" s="127"/>
      <c r="G135" s="1"/>
      <c r="H135" s="158"/>
      <c r="I135" s="37"/>
      <c r="J135" s="135"/>
      <c r="K135" s="112"/>
      <c r="L135" s="37"/>
      <c r="M135" s="37"/>
      <c r="N135" s="37"/>
      <c r="O135" s="130"/>
      <c r="P135" s="132"/>
      <c r="Q135" s="262"/>
      <c r="R135" s="92"/>
    </row>
    <row r="136" spans="3:18" x14ac:dyDescent="0.25">
      <c r="C136" s="37"/>
      <c r="D136" s="157"/>
      <c r="E136" s="44"/>
      <c r="F136" s="127"/>
      <c r="G136" s="1"/>
      <c r="H136" s="158"/>
      <c r="I136" s="37"/>
      <c r="J136" s="135"/>
      <c r="K136" s="112"/>
      <c r="L136" s="37"/>
      <c r="M136" s="37"/>
      <c r="N136" s="37"/>
      <c r="O136" s="130"/>
      <c r="P136" s="132"/>
      <c r="Q136" s="262"/>
      <c r="R136" s="92"/>
    </row>
    <row r="137" spans="3:18" x14ac:dyDescent="0.25">
      <c r="C137" s="37"/>
      <c r="D137" s="157"/>
      <c r="E137" s="44"/>
      <c r="F137" s="127"/>
      <c r="G137" s="1"/>
      <c r="H137" s="158"/>
      <c r="I137" s="37"/>
      <c r="J137" s="135"/>
      <c r="K137" s="112"/>
      <c r="L137" s="37"/>
      <c r="M137" s="37"/>
      <c r="N137" s="37"/>
      <c r="O137" s="130"/>
      <c r="P137" s="132"/>
      <c r="Q137" s="262"/>
      <c r="R137" s="92"/>
    </row>
    <row r="138" spans="3:18" x14ac:dyDescent="0.25">
      <c r="C138" s="37"/>
      <c r="D138" s="157"/>
      <c r="E138" s="44"/>
      <c r="F138" s="127"/>
      <c r="G138" s="1"/>
      <c r="H138" s="158"/>
      <c r="I138" s="37"/>
      <c r="J138" s="135"/>
      <c r="K138" s="112"/>
      <c r="L138" s="37"/>
      <c r="M138" s="37"/>
      <c r="N138" s="37"/>
      <c r="O138" s="130"/>
      <c r="P138" s="132"/>
      <c r="Q138" s="262"/>
      <c r="R138" s="92"/>
    </row>
    <row r="139" spans="3:18" x14ac:dyDescent="0.25">
      <c r="C139" s="37"/>
      <c r="D139" s="157"/>
      <c r="E139" s="44"/>
      <c r="F139" s="127"/>
      <c r="G139" s="1"/>
      <c r="H139" s="158"/>
      <c r="I139" s="37"/>
      <c r="J139" s="135"/>
      <c r="K139" s="112"/>
      <c r="L139" s="37"/>
      <c r="M139" s="37"/>
      <c r="N139" s="37"/>
      <c r="O139" s="130"/>
      <c r="P139" s="132"/>
      <c r="Q139" s="262"/>
      <c r="R139" s="92"/>
    </row>
    <row r="140" spans="3:18" x14ac:dyDescent="0.25">
      <c r="C140" s="37"/>
      <c r="D140" s="157"/>
      <c r="E140" s="44"/>
      <c r="F140" s="127"/>
      <c r="G140" s="1"/>
      <c r="H140" s="158"/>
      <c r="I140" s="37"/>
      <c r="J140" s="135"/>
      <c r="K140" s="112"/>
      <c r="L140" s="37"/>
      <c r="M140" s="37"/>
      <c r="N140" s="37"/>
      <c r="O140" s="130"/>
      <c r="P140" s="132"/>
      <c r="Q140" s="262"/>
      <c r="R140" s="92"/>
    </row>
    <row r="141" spans="3:18" x14ac:dyDescent="0.25">
      <c r="C141" s="37"/>
      <c r="D141" s="157"/>
      <c r="E141" s="44"/>
      <c r="F141" s="127"/>
      <c r="G141" s="1"/>
      <c r="H141" s="158"/>
      <c r="I141" s="37"/>
      <c r="J141" s="135"/>
      <c r="K141" s="112"/>
      <c r="L141" s="37"/>
      <c r="M141" s="37"/>
      <c r="N141" s="37"/>
      <c r="O141" s="130"/>
      <c r="P141" s="132"/>
      <c r="Q141" s="262"/>
      <c r="R141" s="92"/>
    </row>
    <row r="142" spans="3:18" x14ac:dyDescent="0.25">
      <c r="C142" s="37"/>
      <c r="D142" s="157"/>
      <c r="E142" s="44"/>
      <c r="F142" s="127"/>
      <c r="G142" s="1"/>
      <c r="H142" s="158"/>
      <c r="I142" s="37"/>
      <c r="J142" s="135"/>
      <c r="K142" s="112"/>
      <c r="L142" s="37"/>
      <c r="M142" s="37"/>
      <c r="N142" s="37"/>
      <c r="O142" s="130"/>
      <c r="P142" s="132"/>
      <c r="Q142" s="262"/>
      <c r="R142" s="92"/>
    </row>
    <row r="143" spans="3:18" x14ac:dyDescent="0.25">
      <c r="C143" s="37"/>
      <c r="D143" s="157"/>
      <c r="E143" s="44"/>
      <c r="F143" s="127"/>
      <c r="G143" s="1"/>
      <c r="H143" s="158"/>
      <c r="I143" s="37"/>
      <c r="J143" s="135"/>
      <c r="K143" s="112"/>
      <c r="L143" s="37"/>
      <c r="M143" s="37"/>
      <c r="N143" s="37"/>
      <c r="O143" s="130"/>
      <c r="P143" s="132"/>
      <c r="Q143" s="262"/>
      <c r="R143" s="92"/>
    </row>
    <row r="144" spans="3:18" x14ac:dyDescent="0.25">
      <c r="C144" s="37"/>
      <c r="D144" s="157"/>
      <c r="E144" s="44"/>
      <c r="F144" s="127"/>
      <c r="G144" s="1"/>
      <c r="H144" s="158"/>
      <c r="I144" s="37"/>
      <c r="J144" s="135"/>
      <c r="K144" s="112"/>
      <c r="L144" s="37"/>
      <c r="M144" s="37"/>
      <c r="N144" s="37"/>
      <c r="O144" s="130"/>
      <c r="P144" s="132"/>
      <c r="Q144" s="262"/>
      <c r="R144" s="92"/>
    </row>
    <row r="145" spans="3:18" x14ac:dyDescent="0.25">
      <c r="C145" s="37"/>
      <c r="D145" s="157"/>
      <c r="E145" s="44"/>
      <c r="F145" s="127"/>
      <c r="G145" s="1"/>
      <c r="H145" s="158"/>
      <c r="I145" s="37"/>
      <c r="J145" s="135"/>
      <c r="K145" s="112"/>
      <c r="L145" s="37"/>
      <c r="M145" s="37"/>
      <c r="N145" s="37"/>
      <c r="O145" s="130"/>
      <c r="P145" s="132"/>
      <c r="Q145" s="262"/>
      <c r="R145" s="92"/>
    </row>
    <row r="146" spans="3:18" x14ac:dyDescent="0.25">
      <c r="C146" s="37"/>
      <c r="D146" s="157"/>
      <c r="E146" s="44"/>
      <c r="F146" s="127"/>
      <c r="G146" s="1"/>
      <c r="H146" s="158"/>
      <c r="I146" s="37"/>
      <c r="J146" s="135"/>
      <c r="K146" s="112"/>
      <c r="L146" s="37"/>
      <c r="M146" s="37"/>
      <c r="N146" s="37"/>
      <c r="O146" s="130"/>
      <c r="P146" s="132"/>
      <c r="Q146" s="262"/>
      <c r="R146" s="92"/>
    </row>
    <row r="147" spans="3:18" x14ac:dyDescent="0.25">
      <c r="C147" s="37"/>
      <c r="D147" s="157"/>
      <c r="E147" s="44"/>
      <c r="F147" s="127"/>
      <c r="G147" s="1"/>
      <c r="H147" s="158"/>
      <c r="I147" s="37"/>
      <c r="J147" s="135"/>
      <c r="K147" s="112"/>
      <c r="L147" s="37"/>
      <c r="M147" s="37"/>
      <c r="N147" s="37"/>
      <c r="O147" s="130"/>
      <c r="P147" s="132"/>
      <c r="Q147" s="262"/>
      <c r="R147" s="92"/>
    </row>
    <row r="148" spans="3:18" x14ac:dyDescent="0.25">
      <c r="C148" s="37"/>
      <c r="D148" s="157"/>
      <c r="E148" s="44"/>
      <c r="F148" s="127"/>
      <c r="G148" s="1"/>
      <c r="H148" s="158"/>
      <c r="I148" s="37"/>
      <c r="J148" s="135"/>
      <c r="K148" s="112"/>
      <c r="L148" s="37"/>
      <c r="M148" s="37"/>
      <c r="N148" s="37"/>
      <c r="O148" s="130"/>
      <c r="P148" s="132"/>
      <c r="Q148" s="262"/>
      <c r="R148" s="92"/>
    </row>
    <row r="149" spans="3:18" x14ac:dyDescent="0.25">
      <c r="C149" s="37"/>
      <c r="D149" s="157"/>
      <c r="E149" s="44"/>
      <c r="F149" s="127"/>
      <c r="G149" s="1"/>
      <c r="H149" s="158"/>
      <c r="I149" s="37"/>
      <c r="J149" s="135"/>
      <c r="K149" s="112"/>
      <c r="L149" s="37"/>
      <c r="M149" s="37"/>
      <c r="N149" s="37"/>
      <c r="O149" s="130"/>
      <c r="P149" s="132"/>
      <c r="Q149" s="262"/>
      <c r="R149" s="92"/>
    </row>
    <row r="150" spans="3:18" x14ac:dyDescent="0.25">
      <c r="C150" s="37"/>
      <c r="D150" s="157"/>
      <c r="E150" s="44"/>
      <c r="F150" s="127"/>
      <c r="G150" s="1"/>
      <c r="H150" s="158"/>
      <c r="I150" s="37"/>
      <c r="J150" s="135"/>
      <c r="K150" s="112"/>
      <c r="L150" s="37"/>
      <c r="M150" s="37"/>
      <c r="N150" s="37"/>
      <c r="O150" s="130"/>
      <c r="P150" s="132"/>
      <c r="Q150" s="262"/>
      <c r="R150" s="92"/>
    </row>
    <row r="151" spans="3:18" x14ac:dyDescent="0.25">
      <c r="C151" s="37"/>
      <c r="D151" s="157"/>
      <c r="E151" s="44"/>
      <c r="F151" s="127"/>
      <c r="G151" s="1"/>
      <c r="H151" s="158"/>
      <c r="I151" s="37"/>
      <c r="J151" s="135"/>
      <c r="K151" s="112"/>
      <c r="L151" s="37"/>
      <c r="M151" s="37"/>
      <c r="N151" s="37"/>
      <c r="O151" s="130"/>
      <c r="P151" s="132"/>
      <c r="Q151" s="262"/>
      <c r="R151" s="92"/>
    </row>
    <row r="152" spans="3:18" x14ac:dyDescent="0.25">
      <c r="C152" s="37"/>
      <c r="D152" s="157"/>
      <c r="E152" s="44"/>
      <c r="F152" s="127"/>
      <c r="G152" s="1"/>
      <c r="H152" s="158"/>
      <c r="I152" s="37"/>
      <c r="J152" s="135"/>
      <c r="K152" s="112"/>
      <c r="L152" s="37"/>
      <c r="M152" s="37"/>
      <c r="N152" s="37"/>
      <c r="O152" s="130"/>
      <c r="P152" s="132"/>
      <c r="Q152" s="262"/>
      <c r="R152" s="92"/>
    </row>
    <row r="153" spans="3:18" x14ac:dyDescent="0.25">
      <c r="C153" s="37"/>
      <c r="D153" s="157"/>
      <c r="E153" s="44"/>
      <c r="F153" s="127"/>
      <c r="G153" s="1"/>
      <c r="H153" s="158"/>
      <c r="I153" s="37"/>
      <c r="J153" s="135"/>
      <c r="K153" s="112"/>
      <c r="L153" s="37"/>
      <c r="M153" s="37"/>
      <c r="N153" s="37"/>
      <c r="O153" s="130"/>
      <c r="P153" s="132"/>
      <c r="Q153" s="262"/>
      <c r="R153" s="92"/>
    </row>
    <row r="154" spans="3:18" x14ac:dyDescent="0.25">
      <c r="C154" s="37"/>
      <c r="D154" s="157"/>
      <c r="E154" s="44"/>
      <c r="F154" s="127"/>
      <c r="G154" s="1"/>
      <c r="H154" s="158"/>
      <c r="I154" s="37"/>
      <c r="J154" s="135"/>
      <c r="K154" s="112"/>
      <c r="L154" s="37"/>
      <c r="M154" s="37"/>
      <c r="N154" s="37"/>
      <c r="O154" s="130"/>
      <c r="P154" s="132"/>
      <c r="Q154" s="262"/>
      <c r="R154" s="92"/>
    </row>
    <row r="155" spans="3:18" x14ac:dyDescent="0.25">
      <c r="C155" s="37"/>
      <c r="D155" s="157"/>
      <c r="E155" s="44"/>
      <c r="F155" s="127"/>
      <c r="G155" s="1"/>
      <c r="H155" s="158"/>
      <c r="I155" s="37"/>
      <c r="J155" s="135"/>
      <c r="K155" s="112"/>
      <c r="L155" s="37"/>
      <c r="M155" s="37"/>
      <c r="N155" s="37"/>
      <c r="O155" s="130"/>
      <c r="P155" s="132"/>
      <c r="Q155" s="262"/>
      <c r="R155" s="92"/>
    </row>
    <row r="156" spans="3:18" x14ac:dyDescent="0.25">
      <c r="C156" s="37"/>
      <c r="D156" s="157"/>
      <c r="E156" s="44"/>
      <c r="F156" s="127"/>
      <c r="G156" s="1"/>
      <c r="H156" s="158"/>
      <c r="I156" s="37"/>
      <c r="J156" s="135"/>
      <c r="K156" s="112"/>
      <c r="L156" s="37"/>
      <c r="M156" s="37"/>
      <c r="N156" s="37"/>
      <c r="O156" s="130"/>
      <c r="P156" s="132"/>
      <c r="Q156" s="262"/>
      <c r="R156" s="92"/>
    </row>
    <row r="157" spans="3:18" x14ac:dyDescent="0.25">
      <c r="C157" s="37"/>
      <c r="D157" s="157"/>
      <c r="E157" s="44"/>
      <c r="F157" s="127"/>
      <c r="G157" s="1"/>
      <c r="H157" s="158"/>
      <c r="I157" s="37"/>
      <c r="J157" s="135"/>
      <c r="K157" s="112"/>
      <c r="L157" s="37"/>
      <c r="M157" s="37"/>
      <c r="N157" s="37"/>
      <c r="O157" s="130"/>
      <c r="P157" s="132"/>
      <c r="Q157" s="262"/>
      <c r="R157" s="92"/>
    </row>
    <row r="158" spans="3:18" x14ac:dyDescent="0.25">
      <c r="C158" s="37"/>
      <c r="D158" s="157"/>
      <c r="E158" s="44"/>
      <c r="F158" s="127"/>
      <c r="G158" s="1"/>
      <c r="H158" s="158"/>
      <c r="I158" s="37"/>
      <c r="J158" s="135"/>
      <c r="K158" s="112"/>
      <c r="L158" s="37"/>
      <c r="M158" s="37"/>
      <c r="N158" s="37"/>
      <c r="O158" s="130"/>
      <c r="P158" s="132"/>
      <c r="Q158" s="262"/>
      <c r="R158" s="92"/>
    </row>
    <row r="159" spans="3:18" x14ac:dyDescent="0.25">
      <c r="C159" s="37"/>
      <c r="D159" s="157"/>
      <c r="E159" s="44"/>
      <c r="F159" s="127"/>
      <c r="G159" s="1"/>
      <c r="H159" s="158"/>
      <c r="I159" s="37"/>
      <c r="J159" s="135"/>
      <c r="K159" s="112"/>
      <c r="L159" s="37"/>
      <c r="M159" s="37"/>
      <c r="N159" s="37"/>
      <c r="O159" s="130"/>
      <c r="P159" s="132"/>
      <c r="Q159" s="262"/>
      <c r="R159" s="92"/>
    </row>
    <row r="160" spans="3:18" x14ac:dyDescent="0.25">
      <c r="C160" s="37"/>
      <c r="D160" s="157"/>
      <c r="E160" s="44"/>
      <c r="F160" s="127"/>
      <c r="G160" s="1"/>
      <c r="H160" s="158"/>
      <c r="I160" s="37"/>
      <c r="J160" s="135"/>
      <c r="K160" s="112"/>
      <c r="L160" s="37"/>
      <c r="M160" s="37"/>
      <c r="N160" s="37"/>
      <c r="O160" s="130"/>
      <c r="P160" s="132"/>
      <c r="Q160" s="262"/>
      <c r="R160" s="92"/>
    </row>
    <row r="161" spans="3:18" x14ac:dyDescent="0.25">
      <c r="C161" s="37"/>
      <c r="D161" s="157"/>
      <c r="E161" s="44"/>
      <c r="F161" s="127"/>
      <c r="G161" s="1"/>
      <c r="H161" s="158"/>
      <c r="I161" s="37"/>
      <c r="J161" s="135"/>
      <c r="K161" s="112"/>
      <c r="L161" s="37"/>
      <c r="M161" s="37"/>
      <c r="N161" s="37"/>
      <c r="O161" s="130"/>
      <c r="P161" s="132"/>
      <c r="Q161" s="262"/>
      <c r="R161" s="92"/>
    </row>
    <row r="162" spans="3:18" x14ac:dyDescent="0.25">
      <c r="C162" s="37"/>
      <c r="D162" s="157"/>
      <c r="E162" s="44"/>
      <c r="F162" s="127"/>
      <c r="G162" s="1"/>
      <c r="H162" s="158"/>
      <c r="I162" s="37"/>
      <c r="J162" s="135"/>
      <c r="K162" s="112"/>
      <c r="L162" s="37"/>
      <c r="M162" s="37"/>
      <c r="N162" s="37"/>
      <c r="O162" s="130"/>
      <c r="P162" s="132"/>
      <c r="Q162" s="262"/>
      <c r="R162" s="92"/>
    </row>
    <row r="163" spans="3:18" x14ac:dyDescent="0.25">
      <c r="C163" s="37"/>
      <c r="D163" s="157"/>
      <c r="E163" s="44"/>
      <c r="F163" s="127"/>
      <c r="G163" s="1"/>
      <c r="H163" s="158"/>
      <c r="I163" s="37"/>
      <c r="J163" s="135"/>
      <c r="K163" s="112"/>
      <c r="L163" s="37"/>
      <c r="M163" s="37"/>
      <c r="N163" s="37"/>
      <c r="O163" s="130"/>
      <c r="P163" s="132"/>
      <c r="Q163" s="262"/>
      <c r="R163" s="92"/>
    </row>
    <row r="164" spans="3:18" x14ac:dyDescent="0.25">
      <c r="C164" s="37"/>
      <c r="D164" s="157"/>
      <c r="E164" s="44"/>
      <c r="F164" s="127"/>
      <c r="G164" s="1"/>
      <c r="H164" s="158"/>
      <c r="I164" s="37"/>
      <c r="J164" s="135"/>
      <c r="K164" s="112"/>
      <c r="L164" s="37"/>
      <c r="M164" s="37"/>
      <c r="N164" s="37"/>
      <c r="O164" s="130"/>
      <c r="P164" s="132"/>
      <c r="Q164" s="262"/>
      <c r="R164" s="92"/>
    </row>
    <row r="165" spans="3:18" x14ac:dyDescent="0.25">
      <c r="C165" s="37"/>
      <c r="D165" s="157"/>
      <c r="E165" s="44"/>
      <c r="F165" s="127"/>
      <c r="G165" s="1"/>
      <c r="H165" s="158"/>
      <c r="I165" s="37"/>
      <c r="J165" s="135"/>
      <c r="K165" s="112"/>
      <c r="L165" s="37"/>
      <c r="M165" s="37"/>
      <c r="N165" s="37"/>
      <c r="O165" s="130"/>
      <c r="P165" s="132"/>
      <c r="Q165" s="262"/>
      <c r="R165" s="92"/>
    </row>
    <row r="166" spans="3:18" x14ac:dyDescent="0.25">
      <c r="C166" s="37"/>
      <c r="D166" s="157"/>
      <c r="E166" s="44"/>
      <c r="F166" s="127"/>
      <c r="G166" s="1"/>
      <c r="H166" s="158"/>
      <c r="I166" s="37"/>
      <c r="J166" s="135"/>
      <c r="K166" s="112"/>
      <c r="L166" s="37"/>
      <c r="M166" s="37"/>
      <c r="N166" s="37"/>
      <c r="O166" s="130"/>
      <c r="P166" s="132"/>
      <c r="Q166" s="262"/>
      <c r="R166" s="92"/>
    </row>
    <row r="167" spans="3:18" x14ac:dyDescent="0.25">
      <c r="C167" s="37"/>
      <c r="D167" s="157"/>
      <c r="E167" s="44"/>
      <c r="F167" s="127"/>
      <c r="G167" s="1"/>
      <c r="H167" s="158"/>
      <c r="I167" s="37"/>
      <c r="J167" s="135"/>
      <c r="K167" s="112"/>
      <c r="L167" s="37"/>
      <c r="M167" s="37"/>
      <c r="N167" s="37"/>
      <c r="O167" s="130"/>
      <c r="P167" s="132"/>
      <c r="Q167" s="262"/>
      <c r="R167" s="92"/>
    </row>
    <row r="168" spans="3:18" x14ac:dyDescent="0.25">
      <c r="C168" s="37"/>
      <c r="D168" s="157"/>
      <c r="E168" s="44"/>
      <c r="F168" s="127"/>
      <c r="G168" s="1"/>
      <c r="H168" s="158"/>
      <c r="I168" s="37"/>
      <c r="J168" s="135"/>
      <c r="K168" s="112"/>
      <c r="L168" s="37"/>
      <c r="M168" s="37"/>
      <c r="N168" s="37"/>
      <c r="O168" s="130"/>
      <c r="P168" s="132"/>
      <c r="Q168" s="262"/>
      <c r="R168" s="92"/>
    </row>
    <row r="169" spans="3:18" x14ac:dyDescent="0.25">
      <c r="C169" s="37"/>
      <c r="D169" s="157"/>
      <c r="E169" s="44"/>
      <c r="F169" s="127"/>
      <c r="G169" s="1"/>
      <c r="H169" s="158"/>
      <c r="I169" s="37"/>
      <c r="J169" s="135"/>
      <c r="K169" s="112"/>
      <c r="L169" s="37"/>
      <c r="M169" s="37"/>
      <c r="N169" s="37"/>
      <c r="O169" s="130"/>
      <c r="P169" s="132"/>
      <c r="Q169" s="262"/>
      <c r="R169" s="92"/>
    </row>
    <row r="170" spans="3:18" x14ac:dyDescent="0.25">
      <c r="C170" s="37"/>
      <c r="D170" s="157"/>
      <c r="E170" s="44"/>
      <c r="F170" s="127"/>
      <c r="G170" s="1"/>
      <c r="H170" s="158"/>
      <c r="I170" s="37"/>
      <c r="J170" s="135"/>
      <c r="K170" s="112"/>
      <c r="L170" s="37"/>
      <c r="M170" s="37"/>
      <c r="N170" s="37"/>
      <c r="O170" s="130"/>
      <c r="P170" s="132"/>
      <c r="Q170" s="262"/>
      <c r="R170" s="92"/>
    </row>
    <row r="171" spans="3:18" x14ac:dyDescent="0.25">
      <c r="C171" s="37"/>
      <c r="D171" s="157"/>
      <c r="E171" s="44"/>
      <c r="F171" s="127"/>
      <c r="G171" s="1"/>
      <c r="H171" s="158"/>
      <c r="I171" s="37"/>
      <c r="J171" s="135"/>
      <c r="K171" s="112"/>
      <c r="L171" s="37"/>
      <c r="M171" s="37"/>
      <c r="N171" s="37"/>
      <c r="O171" s="130"/>
      <c r="P171" s="132"/>
      <c r="Q171" s="262"/>
      <c r="R171" s="92"/>
    </row>
    <row r="172" spans="3:18" x14ac:dyDescent="0.25">
      <c r="C172" s="37"/>
      <c r="D172" s="157"/>
      <c r="E172" s="44"/>
      <c r="F172" s="127"/>
      <c r="G172" s="1"/>
      <c r="H172" s="158"/>
      <c r="I172" s="37"/>
      <c r="J172" s="135"/>
      <c r="K172" s="112"/>
      <c r="L172" s="37"/>
      <c r="M172" s="37"/>
      <c r="N172" s="37"/>
      <c r="O172" s="130"/>
      <c r="P172" s="132"/>
      <c r="Q172" s="262"/>
      <c r="R172" s="92"/>
    </row>
    <row r="173" spans="3:18" x14ac:dyDescent="0.25">
      <c r="C173" s="37"/>
      <c r="D173" s="157"/>
      <c r="E173" s="44"/>
      <c r="F173" s="127"/>
      <c r="G173" s="1"/>
      <c r="H173" s="158"/>
      <c r="I173" s="37"/>
      <c r="J173" s="135"/>
      <c r="K173" s="112"/>
      <c r="L173" s="37"/>
      <c r="M173" s="37"/>
      <c r="N173" s="37"/>
      <c r="O173" s="130"/>
      <c r="P173" s="132"/>
      <c r="Q173" s="262"/>
      <c r="R173" s="92"/>
    </row>
    <row r="174" spans="3:18" x14ac:dyDescent="0.25">
      <c r="C174" s="37"/>
      <c r="D174" s="157"/>
      <c r="E174" s="44"/>
      <c r="F174" s="127"/>
      <c r="G174" s="1"/>
      <c r="H174" s="158"/>
      <c r="I174" s="37"/>
      <c r="J174" s="135"/>
      <c r="K174" s="112"/>
      <c r="L174" s="37"/>
      <c r="M174" s="37"/>
      <c r="N174" s="37"/>
      <c r="O174" s="130"/>
      <c r="P174" s="132"/>
      <c r="Q174" s="262"/>
      <c r="R174" s="92"/>
    </row>
    <row r="175" spans="3:18" x14ac:dyDescent="0.25">
      <c r="C175" s="37"/>
      <c r="D175" s="157"/>
      <c r="E175" s="44"/>
      <c r="F175" s="127"/>
      <c r="G175" s="1"/>
      <c r="H175" s="158"/>
      <c r="I175" s="37"/>
      <c r="J175" s="135"/>
      <c r="K175" s="112"/>
      <c r="L175" s="37"/>
      <c r="M175" s="37"/>
      <c r="N175" s="37"/>
      <c r="O175" s="130"/>
      <c r="P175" s="132"/>
      <c r="Q175" s="262"/>
      <c r="R175" s="92"/>
    </row>
    <row r="176" spans="3:18" x14ac:dyDescent="0.25">
      <c r="C176" s="37"/>
      <c r="D176" s="157"/>
      <c r="E176" s="44"/>
      <c r="F176" s="127"/>
      <c r="G176" s="1"/>
      <c r="H176" s="158"/>
      <c r="I176" s="37"/>
      <c r="J176" s="135"/>
      <c r="K176" s="112"/>
      <c r="L176" s="37"/>
      <c r="M176" s="37"/>
      <c r="N176" s="37"/>
      <c r="O176" s="130"/>
      <c r="P176" s="132"/>
      <c r="Q176" s="262"/>
      <c r="R176" s="92"/>
    </row>
    <row r="177" spans="3:18" x14ac:dyDescent="0.25">
      <c r="C177" s="37"/>
      <c r="D177" s="157"/>
      <c r="E177" s="44"/>
      <c r="F177" s="127"/>
      <c r="G177" s="1"/>
      <c r="H177" s="158"/>
      <c r="I177" s="37"/>
      <c r="J177" s="135"/>
      <c r="K177" s="112"/>
      <c r="L177" s="37"/>
      <c r="M177" s="37"/>
      <c r="N177" s="37"/>
      <c r="O177" s="130"/>
      <c r="P177" s="132"/>
      <c r="Q177" s="262"/>
      <c r="R177" s="92"/>
    </row>
    <row r="178" spans="3:18" x14ac:dyDescent="0.25">
      <c r="C178" s="37"/>
      <c r="D178" s="157"/>
      <c r="E178" s="44"/>
      <c r="F178" s="127"/>
      <c r="G178" s="1"/>
      <c r="H178" s="158"/>
      <c r="I178" s="37"/>
      <c r="J178" s="135"/>
      <c r="K178" s="112"/>
      <c r="L178" s="37"/>
      <c r="M178" s="37"/>
      <c r="N178" s="37"/>
      <c r="O178" s="130"/>
      <c r="P178" s="132"/>
      <c r="Q178" s="262"/>
      <c r="R178" s="92"/>
    </row>
    <row r="179" spans="3:18" x14ac:dyDescent="0.25">
      <c r="C179" s="37"/>
      <c r="D179" s="157"/>
      <c r="E179" s="44"/>
      <c r="F179" s="127"/>
      <c r="G179" s="1"/>
      <c r="H179" s="158"/>
      <c r="I179" s="37"/>
      <c r="J179" s="135"/>
      <c r="K179" s="112"/>
      <c r="L179" s="37"/>
      <c r="M179" s="37"/>
      <c r="N179" s="37"/>
      <c r="O179" s="130"/>
      <c r="P179" s="132"/>
      <c r="Q179" s="262"/>
      <c r="R179" s="92"/>
    </row>
    <row r="180" spans="3:18" x14ac:dyDescent="0.25">
      <c r="C180" s="37"/>
      <c r="D180" s="157"/>
      <c r="E180" s="44"/>
      <c r="F180" s="127"/>
      <c r="G180" s="1"/>
      <c r="H180" s="158"/>
      <c r="I180" s="37"/>
      <c r="J180" s="135"/>
      <c r="K180" s="112"/>
      <c r="L180" s="37"/>
      <c r="M180" s="37"/>
      <c r="N180" s="37"/>
      <c r="O180" s="130"/>
      <c r="P180" s="132"/>
      <c r="Q180" s="262"/>
      <c r="R180" s="92"/>
    </row>
    <row r="181" spans="3:18" x14ac:dyDescent="0.25">
      <c r="C181" s="37"/>
      <c r="D181" s="157"/>
      <c r="E181" s="44"/>
      <c r="F181" s="127"/>
      <c r="G181" s="1"/>
      <c r="H181" s="158"/>
      <c r="I181" s="37"/>
      <c r="J181" s="135"/>
      <c r="K181" s="112"/>
      <c r="L181" s="37"/>
      <c r="M181" s="37"/>
      <c r="N181" s="37"/>
      <c r="O181" s="130"/>
      <c r="P181" s="132"/>
      <c r="Q181" s="262"/>
      <c r="R181" s="92"/>
    </row>
    <row r="182" spans="3:18" x14ac:dyDescent="0.25">
      <c r="C182" s="37"/>
      <c r="D182" s="157"/>
      <c r="E182" s="44"/>
      <c r="F182" s="127"/>
      <c r="G182" s="1"/>
      <c r="H182" s="158"/>
      <c r="I182" s="37"/>
      <c r="J182" s="135"/>
      <c r="K182" s="112"/>
      <c r="L182" s="37"/>
      <c r="M182" s="37"/>
      <c r="N182" s="37"/>
      <c r="O182" s="130"/>
      <c r="P182" s="132"/>
      <c r="Q182" s="262"/>
      <c r="R182" s="92"/>
    </row>
    <row r="183" spans="3:18" x14ac:dyDescent="0.25">
      <c r="C183" s="37"/>
      <c r="D183" s="157"/>
      <c r="E183" s="44"/>
      <c r="F183" s="127"/>
      <c r="G183" s="1"/>
      <c r="H183" s="158"/>
      <c r="I183" s="37"/>
      <c r="J183" s="135"/>
      <c r="K183" s="112"/>
      <c r="L183" s="37"/>
      <c r="M183" s="37"/>
      <c r="N183" s="37"/>
      <c r="O183" s="130"/>
      <c r="P183" s="132"/>
      <c r="Q183" s="262"/>
      <c r="R183" s="92"/>
    </row>
    <row r="184" spans="3:18" x14ac:dyDescent="0.25">
      <c r="C184" s="37"/>
      <c r="D184" s="157"/>
      <c r="E184" s="44"/>
      <c r="F184" s="127"/>
      <c r="G184" s="1"/>
      <c r="H184" s="158"/>
      <c r="I184" s="37"/>
      <c r="J184" s="135"/>
      <c r="K184" s="112"/>
      <c r="L184" s="37"/>
      <c r="M184" s="37"/>
      <c r="N184" s="37"/>
      <c r="O184" s="130"/>
      <c r="P184" s="132"/>
      <c r="Q184" s="262"/>
      <c r="R184" s="92"/>
    </row>
    <row r="185" spans="3:18" x14ac:dyDescent="0.25">
      <c r="C185" s="37"/>
      <c r="D185" s="157"/>
      <c r="E185" s="44"/>
      <c r="F185" s="127"/>
      <c r="G185" s="1"/>
      <c r="H185" s="158"/>
      <c r="I185" s="37"/>
      <c r="J185" s="135"/>
      <c r="K185" s="112"/>
      <c r="L185" s="37"/>
      <c r="M185" s="37"/>
      <c r="N185" s="37"/>
      <c r="O185" s="130"/>
      <c r="P185" s="132"/>
      <c r="Q185" s="262"/>
      <c r="R185" s="92"/>
    </row>
    <row r="186" spans="3:18" x14ac:dyDescent="0.25">
      <c r="C186" s="37"/>
      <c r="D186" s="157"/>
      <c r="E186" s="44"/>
      <c r="F186" s="127"/>
      <c r="G186" s="1"/>
      <c r="H186" s="158"/>
      <c r="I186" s="37"/>
      <c r="J186" s="135"/>
      <c r="K186" s="112"/>
      <c r="L186" s="37"/>
      <c r="M186" s="37"/>
      <c r="N186" s="37"/>
      <c r="O186" s="130"/>
      <c r="P186" s="132"/>
      <c r="Q186" s="262"/>
      <c r="R186" s="92"/>
    </row>
    <row r="187" spans="3:18" x14ac:dyDescent="0.25">
      <c r="C187" s="37"/>
      <c r="D187" s="157"/>
      <c r="E187" s="44"/>
      <c r="F187" s="127"/>
      <c r="G187" s="1"/>
      <c r="H187" s="158"/>
      <c r="I187" s="37"/>
      <c r="J187" s="135"/>
      <c r="K187" s="112"/>
      <c r="L187" s="37"/>
      <c r="M187" s="37"/>
      <c r="N187" s="37"/>
      <c r="O187" s="130"/>
      <c r="P187" s="132"/>
      <c r="Q187" s="262"/>
      <c r="R187" s="92"/>
    </row>
    <row r="188" spans="3:18" x14ac:dyDescent="0.25">
      <c r="C188" s="37"/>
      <c r="D188" s="157"/>
      <c r="E188" s="44"/>
      <c r="F188" s="127"/>
      <c r="G188" s="1"/>
      <c r="H188" s="158"/>
      <c r="I188" s="37"/>
      <c r="J188" s="135"/>
      <c r="K188" s="112"/>
      <c r="L188" s="37"/>
      <c r="M188" s="37"/>
      <c r="N188" s="37"/>
      <c r="O188" s="130"/>
      <c r="P188" s="132"/>
      <c r="Q188" s="262"/>
      <c r="R188" s="92"/>
    </row>
    <row r="189" spans="3:18" x14ac:dyDescent="0.25">
      <c r="C189" s="37"/>
      <c r="D189" s="157"/>
      <c r="E189" s="44"/>
      <c r="F189" s="127"/>
      <c r="G189" s="1"/>
      <c r="H189" s="158"/>
      <c r="I189" s="37"/>
      <c r="J189" s="135"/>
      <c r="K189" s="112"/>
      <c r="L189" s="37"/>
      <c r="M189" s="37"/>
      <c r="N189" s="37"/>
      <c r="O189" s="130"/>
      <c r="P189" s="132"/>
      <c r="Q189" s="262"/>
      <c r="R189" s="92"/>
    </row>
    <row r="190" spans="3:18" x14ac:dyDescent="0.25">
      <c r="C190" s="37"/>
      <c r="D190" s="157"/>
      <c r="E190" s="44"/>
      <c r="F190" s="127"/>
      <c r="G190" s="1"/>
      <c r="H190" s="158"/>
      <c r="I190" s="37"/>
      <c r="J190" s="135"/>
      <c r="K190" s="112"/>
      <c r="L190" s="37"/>
      <c r="M190" s="37"/>
      <c r="N190" s="37"/>
      <c r="O190" s="130"/>
      <c r="P190" s="132"/>
      <c r="Q190" s="262"/>
      <c r="R190" s="92"/>
    </row>
    <row r="191" spans="3:18" x14ac:dyDescent="0.25">
      <c r="C191" s="37"/>
      <c r="D191" s="157"/>
      <c r="E191" s="44"/>
      <c r="F191" s="127"/>
      <c r="G191" s="1"/>
      <c r="H191" s="158"/>
      <c r="I191" s="37"/>
      <c r="J191" s="135"/>
      <c r="K191" s="112"/>
      <c r="L191" s="37"/>
      <c r="M191" s="37"/>
      <c r="N191" s="37"/>
      <c r="O191" s="130"/>
      <c r="P191" s="132"/>
      <c r="Q191" s="262"/>
      <c r="R191" s="92"/>
    </row>
    <row r="192" spans="3:18" x14ac:dyDescent="0.25">
      <c r="C192" s="37"/>
      <c r="D192" s="157"/>
      <c r="E192" s="44"/>
      <c r="F192" s="127"/>
      <c r="G192" s="1"/>
      <c r="H192" s="158"/>
      <c r="I192" s="37"/>
      <c r="J192" s="135"/>
      <c r="K192" s="112"/>
      <c r="L192" s="37"/>
      <c r="M192" s="37"/>
      <c r="N192" s="37"/>
      <c r="O192" s="130"/>
      <c r="P192" s="132"/>
      <c r="Q192" s="262"/>
      <c r="R192" s="92"/>
    </row>
    <row r="193" spans="3:18" x14ac:dyDescent="0.25">
      <c r="C193" s="37"/>
      <c r="D193" s="157"/>
      <c r="E193" s="44"/>
      <c r="F193" s="127" t="str">
        <f t="shared" ref="F193:F217" si="26">IF(E193="","-",IF(E193&lt;$E$15,"ERROR - date outside of range",IF(MONTH(E193)&gt;=7,YEAR(E193)&amp;"-"&amp;RIGHT(YEAR(E193),2)+1,YEAR(E193)-1&amp;"-"&amp;RIGHT(YEAR(E193),2))))</f>
        <v>-</v>
      </c>
      <c r="G193" s="1"/>
      <c r="H193" s="158"/>
      <c r="I193" s="37"/>
      <c r="J193" s="135"/>
      <c r="K193" s="112"/>
      <c r="L193" s="37"/>
      <c r="M193" s="37"/>
      <c r="N193" s="37"/>
      <c r="O193" s="130" t="str">
        <f t="shared" ref="O193:O214" si="27">IF(N193="","-",L193*N193)</f>
        <v>-</v>
      </c>
      <c r="P193" s="132" t="str">
        <f t="shared" ref="P193:P217" si="28">IF(O193="-","-",IF(E193&lt;$E$15,0,O193*J193))</f>
        <v>-</v>
      </c>
      <c r="Q193" s="262"/>
      <c r="R193" s="92"/>
    </row>
    <row r="194" spans="3:18" x14ac:dyDescent="0.25">
      <c r="C194" s="37"/>
      <c r="D194" s="157"/>
      <c r="E194" s="44"/>
      <c r="F194" s="127" t="str">
        <f t="shared" si="26"/>
        <v>-</v>
      </c>
      <c r="G194" s="1"/>
      <c r="H194" s="158"/>
      <c r="I194" s="37"/>
      <c r="J194" s="135"/>
      <c r="K194" s="112"/>
      <c r="L194" s="37"/>
      <c r="M194" s="37"/>
      <c r="N194" s="37"/>
      <c r="O194" s="130" t="str">
        <f t="shared" si="27"/>
        <v>-</v>
      </c>
      <c r="P194" s="132" t="str">
        <f t="shared" si="28"/>
        <v>-</v>
      </c>
      <c r="Q194" s="262"/>
      <c r="R194" s="92"/>
    </row>
    <row r="195" spans="3:18" x14ac:dyDescent="0.25">
      <c r="C195" s="37"/>
      <c r="D195" s="157"/>
      <c r="E195" s="44"/>
      <c r="F195" s="127" t="str">
        <f t="shared" si="26"/>
        <v>-</v>
      </c>
      <c r="G195" s="1"/>
      <c r="H195" s="158"/>
      <c r="I195" s="37"/>
      <c r="J195" s="135"/>
      <c r="K195" s="112"/>
      <c r="L195" s="37"/>
      <c r="M195" s="37"/>
      <c r="N195" s="37"/>
      <c r="O195" s="130" t="str">
        <f t="shared" si="27"/>
        <v>-</v>
      </c>
      <c r="P195" s="132" t="str">
        <f t="shared" si="28"/>
        <v>-</v>
      </c>
      <c r="Q195" s="262"/>
      <c r="R195" s="92"/>
    </row>
    <row r="196" spans="3:18" x14ac:dyDescent="0.25">
      <c r="C196" s="37"/>
      <c r="D196" s="157"/>
      <c r="E196" s="44"/>
      <c r="F196" s="127" t="str">
        <f t="shared" si="26"/>
        <v>-</v>
      </c>
      <c r="G196" s="1"/>
      <c r="H196" s="158"/>
      <c r="I196" s="37"/>
      <c r="J196" s="135"/>
      <c r="K196" s="112"/>
      <c r="L196" s="37"/>
      <c r="M196" s="37"/>
      <c r="N196" s="37"/>
      <c r="O196" s="130" t="str">
        <f t="shared" si="27"/>
        <v>-</v>
      </c>
      <c r="P196" s="132" t="str">
        <f t="shared" si="28"/>
        <v>-</v>
      </c>
      <c r="Q196" s="262"/>
      <c r="R196" s="92"/>
    </row>
    <row r="197" spans="3:18" x14ac:dyDescent="0.25">
      <c r="C197" s="37"/>
      <c r="D197" s="157"/>
      <c r="E197" s="44"/>
      <c r="F197" s="127" t="str">
        <f t="shared" si="26"/>
        <v>-</v>
      </c>
      <c r="G197" s="1"/>
      <c r="H197" s="158"/>
      <c r="I197" s="37"/>
      <c r="J197" s="135"/>
      <c r="K197" s="112"/>
      <c r="L197" s="37"/>
      <c r="M197" s="37"/>
      <c r="N197" s="37"/>
      <c r="O197" s="130" t="str">
        <f t="shared" si="27"/>
        <v>-</v>
      </c>
      <c r="P197" s="132" t="str">
        <f t="shared" si="28"/>
        <v>-</v>
      </c>
      <c r="Q197" s="262"/>
      <c r="R197" s="92"/>
    </row>
    <row r="198" spans="3:18" x14ac:dyDescent="0.25">
      <c r="C198" s="37"/>
      <c r="D198" s="157"/>
      <c r="E198" s="44"/>
      <c r="F198" s="127" t="str">
        <f t="shared" si="26"/>
        <v>-</v>
      </c>
      <c r="G198" s="1"/>
      <c r="H198" s="158"/>
      <c r="I198" s="37"/>
      <c r="J198" s="135"/>
      <c r="K198" s="112"/>
      <c r="L198" s="37"/>
      <c r="M198" s="37"/>
      <c r="N198" s="37"/>
      <c r="O198" s="130" t="str">
        <f t="shared" si="27"/>
        <v>-</v>
      </c>
      <c r="P198" s="132" t="str">
        <f t="shared" si="28"/>
        <v>-</v>
      </c>
      <c r="Q198" s="262"/>
      <c r="R198" s="92"/>
    </row>
    <row r="199" spans="3:18" x14ac:dyDescent="0.25">
      <c r="C199" s="37"/>
      <c r="D199" s="157"/>
      <c r="E199" s="44"/>
      <c r="F199" s="127" t="str">
        <f t="shared" si="26"/>
        <v>-</v>
      </c>
      <c r="G199" s="1"/>
      <c r="H199" s="158"/>
      <c r="I199" s="37"/>
      <c r="J199" s="135"/>
      <c r="K199" s="112"/>
      <c r="L199" s="37"/>
      <c r="M199" s="37"/>
      <c r="N199" s="37"/>
      <c r="O199" s="130" t="str">
        <f t="shared" si="27"/>
        <v>-</v>
      </c>
      <c r="P199" s="132" t="str">
        <f t="shared" si="28"/>
        <v>-</v>
      </c>
      <c r="Q199" s="262"/>
      <c r="R199" s="92"/>
    </row>
    <row r="200" spans="3:18" x14ac:dyDescent="0.25">
      <c r="C200" s="37"/>
      <c r="D200" s="157"/>
      <c r="E200" s="44"/>
      <c r="F200" s="127" t="str">
        <f t="shared" si="26"/>
        <v>-</v>
      </c>
      <c r="G200" s="1"/>
      <c r="H200" s="158"/>
      <c r="I200" s="37"/>
      <c r="J200" s="135"/>
      <c r="K200" s="112"/>
      <c r="L200" s="37"/>
      <c r="M200" s="37"/>
      <c r="N200" s="37"/>
      <c r="O200" s="130" t="str">
        <f t="shared" si="27"/>
        <v>-</v>
      </c>
      <c r="P200" s="132" t="str">
        <f t="shared" si="28"/>
        <v>-</v>
      </c>
      <c r="Q200" s="262"/>
      <c r="R200" s="92"/>
    </row>
    <row r="201" spans="3:18" x14ac:dyDescent="0.25">
      <c r="C201" s="37"/>
      <c r="D201" s="157"/>
      <c r="E201" s="44"/>
      <c r="F201" s="127" t="str">
        <f t="shared" si="26"/>
        <v>-</v>
      </c>
      <c r="G201" s="1"/>
      <c r="H201" s="158"/>
      <c r="I201" s="37"/>
      <c r="J201" s="135"/>
      <c r="K201" s="112"/>
      <c r="L201" s="37"/>
      <c r="M201" s="37"/>
      <c r="N201" s="37"/>
      <c r="O201" s="130" t="str">
        <f t="shared" si="27"/>
        <v>-</v>
      </c>
      <c r="P201" s="132" t="str">
        <f t="shared" si="28"/>
        <v>-</v>
      </c>
      <c r="Q201" s="262"/>
      <c r="R201" s="92"/>
    </row>
    <row r="202" spans="3:18" x14ac:dyDescent="0.25">
      <c r="C202" s="37"/>
      <c r="D202" s="157"/>
      <c r="E202" s="44"/>
      <c r="F202" s="127" t="str">
        <f t="shared" si="26"/>
        <v>-</v>
      </c>
      <c r="G202" s="1"/>
      <c r="H202" s="158"/>
      <c r="I202" s="37"/>
      <c r="J202" s="135"/>
      <c r="K202" s="112"/>
      <c r="L202" s="37"/>
      <c r="M202" s="37"/>
      <c r="N202" s="37"/>
      <c r="O202" s="130" t="str">
        <f t="shared" si="27"/>
        <v>-</v>
      </c>
      <c r="P202" s="132" t="str">
        <f t="shared" si="28"/>
        <v>-</v>
      </c>
      <c r="Q202" s="262"/>
      <c r="R202" s="92"/>
    </row>
    <row r="203" spans="3:18" x14ac:dyDescent="0.25">
      <c r="C203" s="37"/>
      <c r="D203" s="157"/>
      <c r="E203" s="44"/>
      <c r="F203" s="127" t="str">
        <f t="shared" si="26"/>
        <v>-</v>
      </c>
      <c r="G203" s="1"/>
      <c r="H203" s="158"/>
      <c r="I203" s="37"/>
      <c r="J203" s="135"/>
      <c r="K203" s="112"/>
      <c r="L203" s="37"/>
      <c r="M203" s="37"/>
      <c r="N203" s="37"/>
      <c r="O203" s="130" t="str">
        <f t="shared" si="27"/>
        <v>-</v>
      </c>
      <c r="P203" s="132" t="str">
        <f t="shared" si="28"/>
        <v>-</v>
      </c>
      <c r="Q203" s="262"/>
      <c r="R203" s="92"/>
    </row>
    <row r="204" spans="3:18" x14ac:dyDescent="0.25">
      <c r="C204" s="37"/>
      <c r="D204" s="157"/>
      <c r="E204" s="44"/>
      <c r="F204" s="127" t="str">
        <f t="shared" si="26"/>
        <v>-</v>
      </c>
      <c r="G204" s="1"/>
      <c r="H204" s="158"/>
      <c r="I204" s="37"/>
      <c r="J204" s="135"/>
      <c r="K204" s="112"/>
      <c r="L204" s="37"/>
      <c r="M204" s="37"/>
      <c r="N204" s="37"/>
      <c r="O204" s="130" t="str">
        <f t="shared" si="27"/>
        <v>-</v>
      </c>
      <c r="P204" s="132" t="str">
        <f t="shared" si="28"/>
        <v>-</v>
      </c>
      <c r="Q204" s="262"/>
      <c r="R204" s="92"/>
    </row>
    <row r="205" spans="3:18" x14ac:dyDescent="0.25">
      <c r="C205" s="37"/>
      <c r="D205" s="157"/>
      <c r="E205" s="44"/>
      <c r="F205" s="127" t="str">
        <f t="shared" si="26"/>
        <v>-</v>
      </c>
      <c r="G205" s="1"/>
      <c r="H205" s="158"/>
      <c r="I205" s="37"/>
      <c r="J205" s="135"/>
      <c r="K205" s="112"/>
      <c r="L205" s="37"/>
      <c r="M205" s="37"/>
      <c r="N205" s="37"/>
      <c r="O205" s="130" t="str">
        <f t="shared" si="27"/>
        <v>-</v>
      </c>
      <c r="P205" s="132" t="str">
        <f t="shared" si="28"/>
        <v>-</v>
      </c>
      <c r="Q205" s="262"/>
      <c r="R205" s="92"/>
    </row>
    <row r="206" spans="3:18" x14ac:dyDescent="0.25">
      <c r="C206" s="37"/>
      <c r="D206" s="157"/>
      <c r="E206" s="44"/>
      <c r="F206" s="127" t="str">
        <f t="shared" si="26"/>
        <v>-</v>
      </c>
      <c r="G206" s="1"/>
      <c r="H206" s="158"/>
      <c r="I206" s="37"/>
      <c r="J206" s="135"/>
      <c r="K206" s="112"/>
      <c r="L206" s="37"/>
      <c r="M206" s="37"/>
      <c r="N206" s="37"/>
      <c r="O206" s="130" t="str">
        <f t="shared" si="27"/>
        <v>-</v>
      </c>
      <c r="P206" s="132" t="str">
        <f t="shared" si="28"/>
        <v>-</v>
      </c>
      <c r="Q206" s="262"/>
      <c r="R206" s="92"/>
    </row>
    <row r="207" spans="3:18" x14ac:dyDescent="0.25">
      <c r="C207" s="37"/>
      <c r="D207" s="157"/>
      <c r="E207" s="44"/>
      <c r="F207" s="127" t="str">
        <f t="shared" si="26"/>
        <v>-</v>
      </c>
      <c r="G207" s="1"/>
      <c r="H207" s="158"/>
      <c r="I207" s="37"/>
      <c r="J207" s="135"/>
      <c r="K207" s="112"/>
      <c r="L207" s="37"/>
      <c r="M207" s="37"/>
      <c r="N207" s="37"/>
      <c r="O207" s="130" t="str">
        <f t="shared" si="27"/>
        <v>-</v>
      </c>
      <c r="P207" s="132" t="str">
        <f t="shared" si="28"/>
        <v>-</v>
      </c>
      <c r="Q207" s="262"/>
      <c r="R207" s="92"/>
    </row>
    <row r="208" spans="3:18" x14ac:dyDescent="0.25">
      <c r="C208" s="37"/>
      <c r="D208" s="157"/>
      <c r="E208" s="44"/>
      <c r="F208" s="127" t="str">
        <f t="shared" si="26"/>
        <v>-</v>
      </c>
      <c r="G208" s="1"/>
      <c r="H208" s="158"/>
      <c r="I208" s="37"/>
      <c r="J208" s="135"/>
      <c r="K208" s="112"/>
      <c r="L208" s="37"/>
      <c r="M208" s="37"/>
      <c r="N208" s="37"/>
      <c r="O208" s="130" t="str">
        <f t="shared" si="27"/>
        <v>-</v>
      </c>
      <c r="P208" s="132" t="str">
        <f t="shared" si="28"/>
        <v>-</v>
      </c>
      <c r="Q208" s="262"/>
      <c r="R208" s="92"/>
    </row>
    <row r="209" spans="3:18" x14ac:dyDescent="0.25">
      <c r="C209" s="37"/>
      <c r="D209" s="157"/>
      <c r="E209" s="44"/>
      <c r="F209" s="127" t="str">
        <f t="shared" si="26"/>
        <v>-</v>
      </c>
      <c r="G209" s="1"/>
      <c r="H209" s="158"/>
      <c r="I209" s="37"/>
      <c r="J209" s="135"/>
      <c r="K209" s="112"/>
      <c r="L209" s="37"/>
      <c r="M209" s="37"/>
      <c r="N209" s="37"/>
      <c r="O209" s="130" t="str">
        <f t="shared" si="27"/>
        <v>-</v>
      </c>
      <c r="P209" s="132" t="str">
        <f t="shared" si="28"/>
        <v>-</v>
      </c>
      <c r="Q209" s="262"/>
      <c r="R209" s="92"/>
    </row>
    <row r="210" spans="3:18" x14ac:dyDescent="0.25">
      <c r="C210" s="37"/>
      <c r="D210" s="157"/>
      <c r="E210" s="44"/>
      <c r="F210" s="127" t="str">
        <f t="shared" si="26"/>
        <v>-</v>
      </c>
      <c r="G210" s="1"/>
      <c r="H210" s="158"/>
      <c r="I210" s="37"/>
      <c r="J210" s="135"/>
      <c r="K210" s="112"/>
      <c r="L210" s="37"/>
      <c r="M210" s="37"/>
      <c r="N210" s="37"/>
      <c r="O210" s="130" t="str">
        <f t="shared" si="27"/>
        <v>-</v>
      </c>
      <c r="P210" s="132" t="str">
        <f t="shared" si="28"/>
        <v>-</v>
      </c>
      <c r="Q210" s="262"/>
      <c r="R210" s="92"/>
    </row>
    <row r="211" spans="3:18" x14ac:dyDescent="0.25">
      <c r="C211" s="37"/>
      <c r="D211" s="157"/>
      <c r="E211" s="44"/>
      <c r="F211" s="127" t="str">
        <f t="shared" si="26"/>
        <v>-</v>
      </c>
      <c r="G211" s="1"/>
      <c r="H211" s="158"/>
      <c r="I211" s="37"/>
      <c r="J211" s="135"/>
      <c r="K211" s="112"/>
      <c r="L211" s="37"/>
      <c r="M211" s="37"/>
      <c r="N211" s="37"/>
      <c r="O211" s="130" t="str">
        <f t="shared" si="27"/>
        <v>-</v>
      </c>
      <c r="P211" s="132" t="str">
        <f t="shared" si="28"/>
        <v>-</v>
      </c>
      <c r="Q211" s="262"/>
      <c r="R211" s="92"/>
    </row>
    <row r="212" spans="3:18" x14ac:dyDescent="0.25">
      <c r="C212" s="37"/>
      <c r="D212" s="157"/>
      <c r="E212" s="44"/>
      <c r="F212" s="127" t="str">
        <f t="shared" si="26"/>
        <v>-</v>
      </c>
      <c r="G212" s="1"/>
      <c r="H212" s="158"/>
      <c r="I212" s="37"/>
      <c r="J212" s="135"/>
      <c r="K212" s="112"/>
      <c r="L212" s="37"/>
      <c r="M212" s="37"/>
      <c r="N212" s="37"/>
      <c r="O212" s="130" t="str">
        <f t="shared" si="27"/>
        <v>-</v>
      </c>
      <c r="P212" s="132" t="str">
        <f t="shared" si="28"/>
        <v>-</v>
      </c>
      <c r="Q212" s="262"/>
      <c r="R212" s="92"/>
    </row>
    <row r="213" spans="3:18" x14ac:dyDescent="0.25">
      <c r="C213" s="37"/>
      <c r="D213" s="157"/>
      <c r="E213" s="44"/>
      <c r="F213" s="127" t="str">
        <f t="shared" si="26"/>
        <v>-</v>
      </c>
      <c r="G213" s="1"/>
      <c r="H213" s="158"/>
      <c r="I213" s="37"/>
      <c r="J213" s="135"/>
      <c r="K213" s="112"/>
      <c r="L213" s="37"/>
      <c r="M213" s="37"/>
      <c r="N213" s="37"/>
      <c r="O213" s="130" t="str">
        <f t="shared" si="27"/>
        <v>-</v>
      </c>
      <c r="P213" s="132" t="str">
        <f t="shared" si="28"/>
        <v>-</v>
      </c>
      <c r="Q213" s="262"/>
      <c r="R213" s="92"/>
    </row>
    <row r="214" spans="3:18" x14ac:dyDescent="0.25">
      <c r="C214" s="37"/>
      <c r="D214" s="157"/>
      <c r="E214" s="44"/>
      <c r="F214" s="127" t="str">
        <f t="shared" si="26"/>
        <v>-</v>
      </c>
      <c r="G214" s="1"/>
      <c r="H214" s="158"/>
      <c r="I214" s="37"/>
      <c r="J214" s="135"/>
      <c r="K214" s="112"/>
      <c r="L214" s="37"/>
      <c r="M214" s="37"/>
      <c r="N214" s="37"/>
      <c r="O214" s="130" t="str">
        <f t="shared" si="27"/>
        <v>-</v>
      </c>
      <c r="P214" s="132" t="str">
        <f t="shared" si="28"/>
        <v>-</v>
      </c>
      <c r="Q214" s="262"/>
      <c r="R214" s="92"/>
    </row>
    <row r="215" spans="3:18" x14ac:dyDescent="0.25">
      <c r="C215" s="37"/>
      <c r="D215" s="157"/>
      <c r="E215" s="44"/>
      <c r="F215" s="127" t="str">
        <f t="shared" si="26"/>
        <v>-</v>
      </c>
      <c r="G215" s="1"/>
      <c r="H215" s="158"/>
      <c r="I215" s="37"/>
      <c r="J215" s="135"/>
      <c r="K215" s="112"/>
      <c r="L215" s="37"/>
      <c r="M215" s="37"/>
      <c r="N215" s="37"/>
      <c r="O215" s="130" t="str">
        <f t="shared" ref="O215:O218" si="29">IF(N215="","-",L215*N215)</f>
        <v>-</v>
      </c>
      <c r="P215" s="132" t="str">
        <f t="shared" si="28"/>
        <v>-</v>
      </c>
      <c r="Q215" s="262"/>
      <c r="R215" s="92"/>
    </row>
    <row r="216" spans="3:18" x14ac:dyDescent="0.25">
      <c r="C216" s="37"/>
      <c r="D216" s="157"/>
      <c r="E216" s="44"/>
      <c r="F216" s="127" t="str">
        <f t="shared" si="26"/>
        <v>-</v>
      </c>
      <c r="G216" s="1"/>
      <c r="H216" s="158"/>
      <c r="I216" s="37"/>
      <c r="J216" s="135"/>
      <c r="K216" s="112"/>
      <c r="L216" s="37"/>
      <c r="M216" s="37"/>
      <c r="N216" s="37"/>
      <c r="O216" s="130" t="str">
        <f t="shared" si="29"/>
        <v>-</v>
      </c>
      <c r="P216" s="132" t="str">
        <f t="shared" si="28"/>
        <v>-</v>
      </c>
      <c r="Q216" s="262"/>
      <c r="R216" s="92"/>
    </row>
    <row r="217" spans="3:18" x14ac:dyDescent="0.25">
      <c r="C217" s="37"/>
      <c r="D217" s="157"/>
      <c r="E217" s="44"/>
      <c r="F217" s="127" t="str">
        <f t="shared" si="26"/>
        <v>-</v>
      </c>
      <c r="G217" s="1"/>
      <c r="H217" s="158"/>
      <c r="I217" s="37"/>
      <c r="J217" s="135"/>
      <c r="K217" s="112"/>
      <c r="L217" s="37"/>
      <c r="M217" s="37"/>
      <c r="N217" s="37"/>
      <c r="O217" s="130" t="str">
        <f t="shared" si="29"/>
        <v>-</v>
      </c>
      <c r="P217" s="132" t="str">
        <f t="shared" si="28"/>
        <v>-</v>
      </c>
      <c r="Q217" s="262"/>
      <c r="R217" s="92"/>
    </row>
    <row r="218" spans="3:18" x14ac:dyDescent="0.25">
      <c r="C218" s="40"/>
      <c r="D218" s="176"/>
      <c r="E218" s="177"/>
      <c r="F218" s="128" t="str">
        <f t="shared" ref="F218" si="30">IF(E218="","-",IF(E218&lt;$E$15,"ERROR - date outside of range",IF(MONTH(E218)&gt;=7,YEAR(E218)&amp;"-"&amp;RIGHT(YEAR(E218),2)+1,YEAR(E218)-1&amp;"-"&amp;RIGHT(YEAR(E218),2))))</f>
        <v>-</v>
      </c>
      <c r="G218" s="1"/>
      <c r="H218" s="159"/>
      <c r="I218" s="41"/>
      <c r="J218" s="162"/>
      <c r="K218" s="91"/>
      <c r="L218" s="41"/>
      <c r="M218" s="41"/>
      <c r="N218" s="41"/>
      <c r="O218" s="163" t="str">
        <f t="shared" si="29"/>
        <v>-</v>
      </c>
      <c r="P218" s="133" t="str">
        <f t="shared" ref="P218" si="31">IF(O218="-","-",IF(E218&lt;$E$15,0,O218*J218))</f>
        <v>-</v>
      </c>
      <c r="Q218" s="329"/>
      <c r="R218" s="92"/>
    </row>
    <row r="219" spans="3:18" x14ac:dyDescent="0.25">
      <c r="Q219" s="328"/>
    </row>
    <row r="220" spans="3:18" x14ac:dyDescent="0.25">
      <c r="Q220" s="328"/>
    </row>
    <row r="221" spans="3:18" x14ac:dyDescent="0.25">
      <c r="Q221" s="328"/>
    </row>
    <row r="222" spans="3:18" x14ac:dyDescent="0.25">
      <c r="Q222" s="328"/>
    </row>
    <row r="223" spans="3:18" x14ac:dyDescent="0.25">
      <c r="Q223" s="328"/>
    </row>
    <row r="224" spans="3:18" x14ac:dyDescent="0.25">
      <c r="Q224" s="328"/>
    </row>
    <row r="225" spans="17:17" x14ac:dyDescent="0.25">
      <c r="Q225" s="328"/>
    </row>
    <row r="226" spans="17:17" x14ac:dyDescent="0.25">
      <c r="Q226" s="328"/>
    </row>
    <row r="227" spans="17:17" x14ac:dyDescent="0.25">
      <c r="Q227" s="328"/>
    </row>
    <row r="228" spans="17:17" x14ac:dyDescent="0.25">
      <c r="Q228" s="328"/>
    </row>
    <row r="229" spans="17:17" x14ac:dyDescent="0.25">
      <c r="Q229" s="328"/>
    </row>
    <row r="230" spans="17:17" x14ac:dyDescent="0.25">
      <c r="Q230" s="328"/>
    </row>
    <row r="231" spans="17:17" x14ac:dyDescent="0.25">
      <c r="Q231" s="328"/>
    </row>
    <row r="232" spans="17:17" x14ac:dyDescent="0.25">
      <c r="Q232" s="328"/>
    </row>
    <row r="233" spans="17:17" x14ac:dyDescent="0.25">
      <c r="Q233" s="328"/>
    </row>
    <row r="234" spans="17:17" x14ac:dyDescent="0.25">
      <c r="Q234" s="328"/>
    </row>
    <row r="235" spans="17:17" x14ac:dyDescent="0.25">
      <c r="Q235" s="328"/>
    </row>
    <row r="236" spans="17:17" x14ac:dyDescent="0.25">
      <c r="Q236" s="328"/>
    </row>
    <row r="237" spans="17:17" x14ac:dyDescent="0.25">
      <c r="Q237" s="328"/>
    </row>
    <row r="238" spans="17:17" x14ac:dyDescent="0.25">
      <c r="Q238" s="328"/>
    </row>
    <row r="239" spans="17:17" x14ac:dyDescent="0.25">
      <c r="Q239" s="328"/>
    </row>
    <row r="240" spans="17:17" x14ac:dyDescent="0.25">
      <c r="Q240" s="328"/>
    </row>
    <row r="241" spans="17:17" x14ac:dyDescent="0.25">
      <c r="Q241" s="328"/>
    </row>
    <row r="242" spans="17:17" x14ac:dyDescent="0.25">
      <c r="Q242" s="328"/>
    </row>
    <row r="243" spans="17:17" x14ac:dyDescent="0.25">
      <c r="Q243" s="328"/>
    </row>
    <row r="244" spans="17:17" x14ac:dyDescent="0.25">
      <c r="Q244" s="328"/>
    </row>
    <row r="245" spans="17:17" x14ac:dyDescent="0.25">
      <c r="Q245" s="328"/>
    </row>
    <row r="246" spans="17:17" x14ac:dyDescent="0.25">
      <c r="Q246" s="328"/>
    </row>
    <row r="247" spans="17:17" x14ac:dyDescent="0.25">
      <c r="Q247" s="328"/>
    </row>
    <row r="248" spans="17:17" x14ac:dyDescent="0.25">
      <c r="Q248" s="328"/>
    </row>
    <row r="249" spans="17:17" x14ac:dyDescent="0.25">
      <c r="Q249" s="328"/>
    </row>
    <row r="250" spans="17:17" x14ac:dyDescent="0.25">
      <c r="Q250" s="328"/>
    </row>
    <row r="251" spans="17:17" x14ac:dyDescent="0.25">
      <c r="Q251" s="328"/>
    </row>
    <row r="252" spans="17:17" x14ac:dyDescent="0.25">
      <c r="Q252" s="328"/>
    </row>
    <row r="253" spans="17:17" x14ac:dyDescent="0.25">
      <c r="Q253" s="328"/>
    </row>
    <row r="254" spans="17:17" x14ac:dyDescent="0.25">
      <c r="Q254" s="328"/>
    </row>
    <row r="255" spans="17:17" x14ac:dyDescent="0.25">
      <c r="Q255" s="328"/>
    </row>
    <row r="256" spans="17:17" x14ac:dyDescent="0.25">
      <c r="Q256" s="328"/>
    </row>
    <row r="257" spans="17:17" x14ac:dyDescent="0.25">
      <c r="Q257" s="328"/>
    </row>
    <row r="258" spans="17:17" x14ac:dyDescent="0.25">
      <c r="Q258" s="328"/>
    </row>
    <row r="259" spans="17:17" x14ac:dyDescent="0.25">
      <c r="Q259" s="328"/>
    </row>
    <row r="260" spans="17:17" x14ac:dyDescent="0.25">
      <c r="Q260" s="328"/>
    </row>
    <row r="261" spans="17:17" x14ac:dyDescent="0.25">
      <c r="Q261" s="328"/>
    </row>
    <row r="262" spans="17:17" x14ac:dyDescent="0.25">
      <c r="Q262" s="328"/>
    </row>
    <row r="263" spans="17:17" x14ac:dyDescent="0.25">
      <c r="Q263" s="328"/>
    </row>
    <row r="264" spans="17:17" x14ac:dyDescent="0.25">
      <c r="Q264" s="328"/>
    </row>
    <row r="265" spans="17:17" x14ac:dyDescent="0.25">
      <c r="Q265" s="328"/>
    </row>
    <row r="266" spans="17:17" x14ac:dyDescent="0.25">
      <c r="Q266" s="328"/>
    </row>
    <row r="267" spans="17:17" x14ac:dyDescent="0.25">
      <c r="Q267" s="328"/>
    </row>
    <row r="268" spans="17:17" x14ac:dyDescent="0.25">
      <c r="Q268" s="328"/>
    </row>
    <row r="269" spans="17:17" x14ac:dyDescent="0.25">
      <c r="Q269" s="328"/>
    </row>
    <row r="270" spans="17:17" x14ac:dyDescent="0.25">
      <c r="Q270" s="328"/>
    </row>
    <row r="271" spans="17:17" x14ac:dyDescent="0.25">
      <c r="Q271" s="328"/>
    </row>
    <row r="272" spans="17:17" x14ac:dyDescent="0.25">
      <c r="Q272" s="328"/>
    </row>
    <row r="273" spans="17:17" x14ac:dyDescent="0.25">
      <c r="Q273" s="328"/>
    </row>
    <row r="274" spans="17:17" x14ac:dyDescent="0.25">
      <c r="Q274" s="328"/>
    </row>
    <row r="275" spans="17:17" x14ac:dyDescent="0.25">
      <c r="Q275" s="328"/>
    </row>
    <row r="276" spans="17:17" x14ac:dyDescent="0.25">
      <c r="Q276" s="328"/>
    </row>
    <row r="277" spans="17:17" x14ac:dyDescent="0.25">
      <c r="Q277" s="328"/>
    </row>
    <row r="278" spans="17:17" x14ac:dyDescent="0.25">
      <c r="Q278" s="328"/>
    </row>
    <row r="279" spans="17:17" x14ac:dyDescent="0.25">
      <c r="Q279" s="328"/>
    </row>
    <row r="280" spans="17:17" x14ac:dyDescent="0.25">
      <c r="Q280" s="328"/>
    </row>
    <row r="281" spans="17:17" x14ac:dyDescent="0.25">
      <c r="Q281" s="328"/>
    </row>
    <row r="282" spans="17:17" x14ac:dyDescent="0.25">
      <c r="Q282" s="328"/>
    </row>
    <row r="283" spans="17:17" x14ac:dyDescent="0.25">
      <c r="Q283" s="328"/>
    </row>
    <row r="284" spans="17:17" x14ac:dyDescent="0.25">
      <c r="Q284" s="328"/>
    </row>
    <row r="285" spans="17:17" x14ac:dyDescent="0.25">
      <c r="Q285" s="328"/>
    </row>
    <row r="286" spans="17:17" x14ac:dyDescent="0.25">
      <c r="Q286" s="328"/>
    </row>
    <row r="287" spans="17:17" x14ac:dyDescent="0.25">
      <c r="Q287" s="328"/>
    </row>
    <row r="288" spans="17:17" x14ac:dyDescent="0.25">
      <c r="Q288" s="328"/>
    </row>
    <row r="289" spans="17:17" x14ac:dyDescent="0.25">
      <c r="Q289" s="328"/>
    </row>
    <row r="290" spans="17:17" x14ac:dyDescent="0.25">
      <c r="Q290" s="328"/>
    </row>
    <row r="291" spans="17:17" x14ac:dyDescent="0.25">
      <c r="Q291" s="328"/>
    </row>
    <row r="292" spans="17:17" x14ac:dyDescent="0.25">
      <c r="Q292" s="328"/>
    </row>
    <row r="293" spans="17:17" x14ac:dyDescent="0.25">
      <c r="Q293" s="328"/>
    </row>
    <row r="294" spans="17:17" x14ac:dyDescent="0.25">
      <c r="Q294" s="328"/>
    </row>
    <row r="295" spans="17:17" x14ac:dyDescent="0.25">
      <c r="Q295" s="328"/>
    </row>
    <row r="296" spans="17:17" x14ac:dyDescent="0.25">
      <c r="Q296" s="328"/>
    </row>
    <row r="297" spans="17:17" x14ac:dyDescent="0.25">
      <c r="Q297" s="328"/>
    </row>
    <row r="298" spans="17:17" x14ac:dyDescent="0.25">
      <c r="Q298" s="328"/>
    </row>
    <row r="299" spans="17:17" x14ac:dyDescent="0.25">
      <c r="Q299" s="328"/>
    </row>
    <row r="300" spans="17:17" x14ac:dyDescent="0.25">
      <c r="Q300" s="328"/>
    </row>
    <row r="301" spans="17:17" x14ac:dyDescent="0.25">
      <c r="Q301" s="328"/>
    </row>
    <row r="302" spans="17:17" x14ac:dyDescent="0.25">
      <c r="Q302" s="328"/>
    </row>
    <row r="303" spans="17:17" x14ac:dyDescent="0.25">
      <c r="Q303" s="328"/>
    </row>
    <row r="304" spans="17:17" x14ac:dyDescent="0.25">
      <c r="Q304" s="328"/>
    </row>
    <row r="305" spans="17:17" x14ac:dyDescent="0.25">
      <c r="Q305" s="328"/>
    </row>
    <row r="306" spans="17:17" x14ac:dyDescent="0.25">
      <c r="Q306" s="328"/>
    </row>
    <row r="307" spans="17:17" x14ac:dyDescent="0.25">
      <c r="Q307" s="328"/>
    </row>
    <row r="308" spans="17:17" x14ac:dyDescent="0.25">
      <c r="Q308" s="328"/>
    </row>
    <row r="309" spans="17:17" x14ac:dyDescent="0.25">
      <c r="Q309" s="328"/>
    </row>
    <row r="310" spans="17:17" x14ac:dyDescent="0.25">
      <c r="Q310" s="328"/>
    </row>
    <row r="311" spans="17:17" x14ac:dyDescent="0.25">
      <c r="Q311" s="328"/>
    </row>
    <row r="312" spans="17:17" x14ac:dyDescent="0.25">
      <c r="Q312" s="328"/>
    </row>
    <row r="313" spans="17:17" x14ac:dyDescent="0.25">
      <c r="Q313" s="328"/>
    </row>
    <row r="314" spans="17:17" x14ac:dyDescent="0.25">
      <c r="Q314" s="328"/>
    </row>
    <row r="315" spans="17:17" x14ac:dyDescent="0.25">
      <c r="Q315" s="328"/>
    </row>
    <row r="316" spans="17:17" x14ac:dyDescent="0.25">
      <c r="Q316" s="328"/>
    </row>
    <row r="317" spans="17:17" x14ac:dyDescent="0.25">
      <c r="Q317" s="328"/>
    </row>
    <row r="318" spans="17:17" x14ac:dyDescent="0.25">
      <c r="Q318" s="328"/>
    </row>
    <row r="319" spans="17:17" x14ac:dyDescent="0.25">
      <c r="Q319" s="328"/>
    </row>
    <row r="320" spans="17:17" x14ac:dyDescent="0.25">
      <c r="Q320" s="328"/>
    </row>
    <row r="321" spans="17:17" x14ac:dyDescent="0.25">
      <c r="Q321" s="328"/>
    </row>
    <row r="322" spans="17:17" x14ac:dyDescent="0.25">
      <c r="Q322" s="328"/>
    </row>
    <row r="323" spans="17:17" x14ac:dyDescent="0.25">
      <c r="Q323" s="328"/>
    </row>
    <row r="324" spans="17:17" x14ac:dyDescent="0.25">
      <c r="Q324" s="328"/>
    </row>
    <row r="325" spans="17:17" x14ac:dyDescent="0.25">
      <c r="Q325" s="328"/>
    </row>
    <row r="326" spans="17:17" x14ac:dyDescent="0.25">
      <c r="Q326" s="328"/>
    </row>
    <row r="327" spans="17:17" x14ac:dyDescent="0.25">
      <c r="Q327" s="328"/>
    </row>
    <row r="328" spans="17:17" x14ac:dyDescent="0.25">
      <c r="Q328" s="328"/>
    </row>
    <row r="329" spans="17:17" x14ac:dyDescent="0.25">
      <c r="Q329" s="328"/>
    </row>
    <row r="330" spans="17:17" x14ac:dyDescent="0.25">
      <c r="Q330" s="328"/>
    </row>
    <row r="331" spans="17:17" x14ac:dyDescent="0.25">
      <c r="Q331" s="328"/>
    </row>
    <row r="332" spans="17:17" x14ac:dyDescent="0.25">
      <c r="Q332" s="328"/>
    </row>
    <row r="333" spans="17:17" x14ac:dyDescent="0.25">
      <c r="Q333" s="328"/>
    </row>
    <row r="334" spans="17:17" x14ac:dyDescent="0.25">
      <c r="Q334" s="328"/>
    </row>
    <row r="335" spans="17:17" x14ac:dyDescent="0.25">
      <c r="Q335" s="328"/>
    </row>
    <row r="336" spans="17:17" x14ac:dyDescent="0.25">
      <c r="Q336" s="328"/>
    </row>
    <row r="337" spans="17:17" x14ac:dyDescent="0.25">
      <c r="Q337" s="328"/>
    </row>
    <row r="338" spans="17:17" x14ac:dyDescent="0.25">
      <c r="Q338" s="328"/>
    </row>
    <row r="339" spans="17:17" x14ac:dyDescent="0.25">
      <c r="Q339" s="328"/>
    </row>
    <row r="340" spans="17:17" x14ac:dyDescent="0.25">
      <c r="Q340" s="328"/>
    </row>
    <row r="341" spans="17:17" x14ac:dyDescent="0.25">
      <c r="Q341" s="328"/>
    </row>
    <row r="342" spans="17:17" x14ac:dyDescent="0.25">
      <c r="Q342" s="328"/>
    </row>
    <row r="343" spans="17:17" x14ac:dyDescent="0.25">
      <c r="Q343" s="328"/>
    </row>
    <row r="344" spans="17:17" x14ac:dyDescent="0.25">
      <c r="Q344" s="328"/>
    </row>
    <row r="345" spans="17:17" x14ac:dyDescent="0.25">
      <c r="Q345" s="328"/>
    </row>
    <row r="346" spans="17:17" x14ac:dyDescent="0.25">
      <c r="Q346" s="328"/>
    </row>
    <row r="347" spans="17:17" x14ac:dyDescent="0.25">
      <c r="Q347" s="328"/>
    </row>
    <row r="348" spans="17:17" x14ac:dyDescent="0.25">
      <c r="Q348" s="328"/>
    </row>
    <row r="349" spans="17:17" x14ac:dyDescent="0.25">
      <c r="Q349" s="328"/>
    </row>
    <row r="350" spans="17:17" x14ac:dyDescent="0.25">
      <c r="Q350" s="328"/>
    </row>
    <row r="351" spans="17:17" x14ac:dyDescent="0.25">
      <c r="Q351" s="328"/>
    </row>
    <row r="352" spans="17:17" x14ac:dyDescent="0.25">
      <c r="Q352" s="328"/>
    </row>
    <row r="353" spans="17:17" x14ac:dyDescent="0.25">
      <c r="Q353" s="328"/>
    </row>
    <row r="354" spans="17:17" x14ac:dyDescent="0.25">
      <c r="Q354" s="328"/>
    </row>
    <row r="355" spans="17:17" x14ac:dyDescent="0.25">
      <c r="Q355" s="328"/>
    </row>
    <row r="356" spans="17:17" x14ac:dyDescent="0.25">
      <c r="Q356" s="328"/>
    </row>
    <row r="357" spans="17:17" x14ac:dyDescent="0.25">
      <c r="Q357" s="328"/>
    </row>
    <row r="358" spans="17:17" x14ac:dyDescent="0.25">
      <c r="Q358" s="328"/>
    </row>
    <row r="359" spans="17:17" x14ac:dyDescent="0.25">
      <c r="Q359" s="328"/>
    </row>
    <row r="360" spans="17:17" x14ac:dyDescent="0.25">
      <c r="Q360" s="328"/>
    </row>
    <row r="361" spans="17:17" x14ac:dyDescent="0.25">
      <c r="Q361" s="328"/>
    </row>
    <row r="362" spans="17:17" x14ac:dyDescent="0.25">
      <c r="Q362" s="328"/>
    </row>
    <row r="363" spans="17:17" x14ac:dyDescent="0.25">
      <c r="Q363" s="328"/>
    </row>
    <row r="364" spans="17:17" x14ac:dyDescent="0.25">
      <c r="Q364" s="328"/>
    </row>
    <row r="365" spans="17:17" x14ac:dyDescent="0.25">
      <c r="Q365" s="328"/>
    </row>
    <row r="366" spans="17:17" x14ac:dyDescent="0.25">
      <c r="Q366" s="328"/>
    </row>
    <row r="367" spans="17:17" x14ac:dyDescent="0.25">
      <c r="Q367" s="328"/>
    </row>
    <row r="368" spans="17:17" x14ac:dyDescent="0.25">
      <c r="Q368" s="328"/>
    </row>
    <row r="369" spans="17:17" x14ac:dyDescent="0.25">
      <c r="Q369" s="328"/>
    </row>
    <row r="370" spans="17:17" x14ac:dyDescent="0.25">
      <c r="Q370" s="328"/>
    </row>
    <row r="371" spans="17:17" x14ac:dyDescent="0.25">
      <c r="Q371" s="328"/>
    </row>
    <row r="372" spans="17:17" x14ac:dyDescent="0.25">
      <c r="Q372" s="328"/>
    </row>
    <row r="373" spans="17:17" x14ac:dyDescent="0.25">
      <c r="Q373" s="328"/>
    </row>
    <row r="374" spans="17:17" x14ac:dyDescent="0.25">
      <c r="Q374" s="328"/>
    </row>
    <row r="375" spans="17:17" x14ac:dyDescent="0.25">
      <c r="Q375" s="328"/>
    </row>
    <row r="376" spans="17:17" x14ac:dyDescent="0.25">
      <c r="Q376" s="328"/>
    </row>
    <row r="377" spans="17:17" x14ac:dyDescent="0.25">
      <c r="Q377" s="328"/>
    </row>
    <row r="378" spans="17:17" x14ac:dyDescent="0.25">
      <c r="Q378" s="328"/>
    </row>
    <row r="379" spans="17:17" x14ac:dyDescent="0.25">
      <c r="Q379" s="328"/>
    </row>
    <row r="380" spans="17:17" x14ac:dyDescent="0.25">
      <c r="Q380" s="328"/>
    </row>
    <row r="381" spans="17:17" x14ac:dyDescent="0.25">
      <c r="Q381" s="328"/>
    </row>
    <row r="382" spans="17:17" x14ac:dyDescent="0.25">
      <c r="Q382" s="328"/>
    </row>
    <row r="383" spans="17:17" x14ac:dyDescent="0.25">
      <c r="Q383" s="328"/>
    </row>
    <row r="384" spans="17:17" x14ac:dyDescent="0.25">
      <c r="Q384" s="328"/>
    </row>
    <row r="385" spans="17:17" x14ac:dyDescent="0.25">
      <c r="Q385" s="328"/>
    </row>
    <row r="386" spans="17:17" x14ac:dyDescent="0.25">
      <c r="Q386" s="328"/>
    </row>
    <row r="387" spans="17:17" x14ac:dyDescent="0.25">
      <c r="Q387" s="328"/>
    </row>
    <row r="388" spans="17:17" x14ac:dyDescent="0.25">
      <c r="Q388" s="328"/>
    </row>
    <row r="389" spans="17:17" x14ac:dyDescent="0.25">
      <c r="Q389" s="328"/>
    </row>
    <row r="390" spans="17:17" x14ac:dyDescent="0.25">
      <c r="Q390" s="328"/>
    </row>
    <row r="391" spans="17:17" x14ac:dyDescent="0.25">
      <c r="Q391" s="328"/>
    </row>
    <row r="392" spans="17:17" x14ac:dyDescent="0.25">
      <c r="Q392" s="328"/>
    </row>
    <row r="393" spans="17:17" x14ac:dyDescent="0.25">
      <c r="Q393" s="328"/>
    </row>
    <row r="394" spans="17:17" x14ac:dyDescent="0.25">
      <c r="Q394" s="328"/>
    </row>
    <row r="395" spans="17:17" x14ac:dyDescent="0.25">
      <c r="Q395" s="328"/>
    </row>
    <row r="396" spans="17:17" x14ac:dyDescent="0.25">
      <c r="Q396" s="328"/>
    </row>
    <row r="397" spans="17:17" x14ac:dyDescent="0.25">
      <c r="Q397" s="328"/>
    </row>
    <row r="398" spans="17:17" x14ac:dyDescent="0.25">
      <c r="Q398" s="328"/>
    </row>
    <row r="399" spans="17:17" x14ac:dyDescent="0.25">
      <c r="Q399" s="328"/>
    </row>
    <row r="400" spans="17:17" x14ac:dyDescent="0.25">
      <c r="Q400" s="328"/>
    </row>
    <row r="401" spans="17:17" x14ac:dyDescent="0.25">
      <c r="Q401" s="328"/>
    </row>
    <row r="402" spans="17:17" x14ac:dyDescent="0.25">
      <c r="Q402" s="328"/>
    </row>
    <row r="403" spans="17:17" x14ac:dyDescent="0.25">
      <c r="Q403" s="328"/>
    </row>
    <row r="404" spans="17:17" x14ac:dyDescent="0.25">
      <c r="Q404" s="328"/>
    </row>
    <row r="405" spans="17:17" x14ac:dyDescent="0.25">
      <c r="Q405" s="328"/>
    </row>
    <row r="406" spans="17:17" x14ac:dyDescent="0.25">
      <c r="Q406" s="328"/>
    </row>
    <row r="407" spans="17:17" x14ac:dyDescent="0.25">
      <c r="Q407" s="328"/>
    </row>
    <row r="408" spans="17:17" x14ac:dyDescent="0.25">
      <c r="Q408" s="328"/>
    </row>
    <row r="409" spans="17:17" x14ac:dyDescent="0.25">
      <c r="Q409" s="328"/>
    </row>
    <row r="410" spans="17:17" x14ac:dyDescent="0.25">
      <c r="Q410" s="328"/>
    </row>
    <row r="411" spans="17:17" x14ac:dyDescent="0.25">
      <c r="Q411" s="328"/>
    </row>
    <row r="412" spans="17:17" x14ac:dyDescent="0.25">
      <c r="Q412" s="328"/>
    </row>
    <row r="413" spans="17:17" x14ac:dyDescent="0.25">
      <c r="Q413" s="328"/>
    </row>
    <row r="414" spans="17:17" x14ac:dyDescent="0.25">
      <c r="Q414" s="328"/>
    </row>
    <row r="415" spans="17:17" x14ac:dyDescent="0.25">
      <c r="Q415" s="328"/>
    </row>
    <row r="416" spans="17:17" x14ac:dyDescent="0.25">
      <c r="Q416" s="328"/>
    </row>
    <row r="417" spans="17:17" x14ac:dyDescent="0.25">
      <c r="Q417" s="328"/>
    </row>
    <row r="418" spans="17:17" x14ac:dyDescent="0.25">
      <c r="Q418" s="328"/>
    </row>
    <row r="419" spans="17:17" x14ac:dyDescent="0.25">
      <c r="Q419" s="328"/>
    </row>
    <row r="420" spans="17:17" x14ac:dyDescent="0.25">
      <c r="Q420" s="328"/>
    </row>
    <row r="421" spans="17:17" x14ac:dyDescent="0.25">
      <c r="Q421" s="328"/>
    </row>
    <row r="422" spans="17:17" x14ac:dyDescent="0.25">
      <c r="Q422" s="328"/>
    </row>
    <row r="423" spans="17:17" x14ac:dyDescent="0.25">
      <c r="Q423" s="328"/>
    </row>
    <row r="424" spans="17:17" x14ac:dyDescent="0.25">
      <c r="Q424" s="328"/>
    </row>
    <row r="425" spans="17:17" x14ac:dyDescent="0.25">
      <c r="Q425" s="328"/>
    </row>
    <row r="426" spans="17:17" x14ac:dyDescent="0.25">
      <c r="Q426" s="328"/>
    </row>
    <row r="427" spans="17:17" x14ac:dyDescent="0.25">
      <c r="Q427" s="328"/>
    </row>
    <row r="428" spans="17:17" x14ac:dyDescent="0.25">
      <c r="Q428" s="328"/>
    </row>
    <row r="429" spans="17:17" x14ac:dyDescent="0.25">
      <c r="Q429" s="328"/>
    </row>
    <row r="430" spans="17:17" x14ac:dyDescent="0.25">
      <c r="Q430" s="328"/>
    </row>
    <row r="431" spans="17:17" x14ac:dyDescent="0.25">
      <c r="Q431" s="328"/>
    </row>
    <row r="432" spans="17:17" x14ac:dyDescent="0.25">
      <c r="Q432" s="328"/>
    </row>
    <row r="433" spans="17:17" x14ac:dyDescent="0.25">
      <c r="Q433" s="328"/>
    </row>
    <row r="434" spans="17:17" x14ac:dyDescent="0.25">
      <c r="Q434" s="328"/>
    </row>
    <row r="435" spans="17:17" x14ac:dyDescent="0.25">
      <c r="Q435" s="328"/>
    </row>
    <row r="436" spans="17:17" x14ac:dyDescent="0.25">
      <c r="Q436" s="328"/>
    </row>
    <row r="437" spans="17:17" x14ac:dyDescent="0.25">
      <c r="Q437" s="328"/>
    </row>
    <row r="438" spans="17:17" x14ac:dyDescent="0.25">
      <c r="Q438" s="328"/>
    </row>
    <row r="439" spans="17:17" x14ac:dyDescent="0.25">
      <c r="Q439" s="328"/>
    </row>
    <row r="440" spans="17:17" x14ac:dyDescent="0.25">
      <c r="Q440" s="328"/>
    </row>
    <row r="441" spans="17:17" x14ac:dyDescent="0.25">
      <c r="Q441" s="328"/>
    </row>
    <row r="442" spans="17:17" x14ac:dyDescent="0.25">
      <c r="Q442" s="328"/>
    </row>
    <row r="443" spans="17:17" x14ac:dyDescent="0.25">
      <c r="Q443" s="328"/>
    </row>
    <row r="444" spans="17:17" x14ac:dyDescent="0.25">
      <c r="Q444" s="328"/>
    </row>
    <row r="445" spans="17:17" x14ac:dyDescent="0.25">
      <c r="Q445" s="328"/>
    </row>
    <row r="446" spans="17:17" x14ac:dyDescent="0.25">
      <c r="Q446" s="328"/>
    </row>
    <row r="447" spans="17:17" x14ac:dyDescent="0.25">
      <c r="Q447" s="328"/>
    </row>
    <row r="448" spans="17:17" x14ac:dyDescent="0.25">
      <c r="Q448" s="328"/>
    </row>
    <row r="449" spans="17:17" x14ac:dyDescent="0.25">
      <c r="Q449" s="328"/>
    </row>
    <row r="450" spans="17:17" x14ac:dyDescent="0.25">
      <c r="Q450" s="328"/>
    </row>
    <row r="451" spans="17:17" x14ac:dyDescent="0.25">
      <c r="Q451" s="328"/>
    </row>
    <row r="452" spans="17:17" x14ac:dyDescent="0.25">
      <c r="Q452" s="328"/>
    </row>
    <row r="453" spans="17:17" x14ac:dyDescent="0.25">
      <c r="Q453" s="328"/>
    </row>
    <row r="454" spans="17:17" x14ac:dyDescent="0.25">
      <c r="Q454" s="328"/>
    </row>
    <row r="455" spans="17:17" x14ac:dyDescent="0.25">
      <c r="Q455" s="328"/>
    </row>
    <row r="456" spans="17:17" x14ac:dyDescent="0.25">
      <c r="Q456" s="328"/>
    </row>
    <row r="457" spans="17:17" x14ac:dyDescent="0.25">
      <c r="Q457" s="328"/>
    </row>
    <row r="458" spans="17:17" x14ac:dyDescent="0.25">
      <c r="Q458" s="328"/>
    </row>
    <row r="459" spans="17:17" x14ac:dyDescent="0.25">
      <c r="Q459" s="328"/>
    </row>
    <row r="460" spans="17:17" x14ac:dyDescent="0.25">
      <c r="Q460" s="328"/>
    </row>
    <row r="461" spans="17:17" x14ac:dyDescent="0.25">
      <c r="Q461" s="328"/>
    </row>
    <row r="462" spans="17:17" x14ac:dyDescent="0.25">
      <c r="Q462" s="328"/>
    </row>
    <row r="463" spans="17:17" x14ac:dyDescent="0.25">
      <c r="Q463" s="328"/>
    </row>
    <row r="464" spans="17:17" x14ac:dyDescent="0.25">
      <c r="Q464" s="328"/>
    </row>
    <row r="465" spans="17:17" x14ac:dyDescent="0.25">
      <c r="Q465" s="328"/>
    </row>
    <row r="466" spans="17:17" x14ac:dyDescent="0.25">
      <c r="Q466" s="328"/>
    </row>
    <row r="467" spans="17:17" x14ac:dyDescent="0.25">
      <c r="Q467" s="328"/>
    </row>
    <row r="468" spans="17:17" x14ac:dyDescent="0.25">
      <c r="Q468" s="328"/>
    </row>
    <row r="469" spans="17:17" x14ac:dyDescent="0.25">
      <c r="Q469" s="328"/>
    </row>
    <row r="470" spans="17:17" x14ac:dyDescent="0.25">
      <c r="Q470" s="328"/>
    </row>
    <row r="471" spans="17:17" x14ac:dyDescent="0.25">
      <c r="Q471" s="328"/>
    </row>
    <row r="472" spans="17:17" x14ac:dyDescent="0.25">
      <c r="Q472" s="328"/>
    </row>
    <row r="473" spans="17:17" x14ac:dyDescent="0.25">
      <c r="Q473" s="328"/>
    </row>
    <row r="474" spans="17:17" x14ac:dyDescent="0.25">
      <c r="Q474" s="328"/>
    </row>
    <row r="475" spans="17:17" x14ac:dyDescent="0.25">
      <c r="Q475" s="328"/>
    </row>
    <row r="476" spans="17:17" x14ac:dyDescent="0.25">
      <c r="Q476" s="328"/>
    </row>
    <row r="477" spans="17:17" x14ac:dyDescent="0.25">
      <c r="Q477" s="328"/>
    </row>
    <row r="478" spans="17:17" x14ac:dyDescent="0.25">
      <c r="Q478" s="328"/>
    </row>
    <row r="479" spans="17:17" x14ac:dyDescent="0.25">
      <c r="Q479" s="328"/>
    </row>
    <row r="480" spans="17:17" x14ac:dyDescent="0.25">
      <c r="Q480" s="328"/>
    </row>
    <row r="481" spans="17:17" x14ac:dyDescent="0.25">
      <c r="Q481" s="328"/>
    </row>
    <row r="482" spans="17:17" x14ac:dyDescent="0.25">
      <c r="Q482" s="328"/>
    </row>
    <row r="483" spans="17:17" x14ac:dyDescent="0.25">
      <c r="Q483" s="328"/>
    </row>
    <row r="484" spans="17:17" x14ac:dyDescent="0.25">
      <c r="Q484" s="328"/>
    </row>
    <row r="485" spans="17:17" x14ac:dyDescent="0.25">
      <c r="Q485" s="328"/>
    </row>
    <row r="486" spans="17:17" x14ac:dyDescent="0.25">
      <c r="Q486" s="328"/>
    </row>
    <row r="487" spans="17:17" x14ac:dyDescent="0.25">
      <c r="Q487" s="328"/>
    </row>
    <row r="488" spans="17:17" x14ac:dyDescent="0.25">
      <c r="Q488" s="328"/>
    </row>
    <row r="489" spans="17:17" x14ac:dyDescent="0.25">
      <c r="Q489" s="328"/>
    </row>
    <row r="490" spans="17:17" x14ac:dyDescent="0.25">
      <c r="Q490" s="328"/>
    </row>
    <row r="491" spans="17:17" x14ac:dyDescent="0.25">
      <c r="Q491" s="328"/>
    </row>
    <row r="492" spans="17:17" x14ac:dyDescent="0.25">
      <c r="Q492" s="328"/>
    </row>
    <row r="493" spans="17:17" x14ac:dyDescent="0.25">
      <c r="Q493" s="328"/>
    </row>
    <row r="494" spans="17:17" x14ac:dyDescent="0.25">
      <c r="Q494" s="328"/>
    </row>
    <row r="495" spans="17:17" x14ac:dyDescent="0.25">
      <c r="Q495" s="328"/>
    </row>
    <row r="496" spans="17:17" x14ac:dyDescent="0.25">
      <c r="Q496" s="328"/>
    </row>
    <row r="497" spans="17:17" x14ac:dyDescent="0.25">
      <c r="Q497" s="328"/>
    </row>
    <row r="498" spans="17:17" x14ac:dyDescent="0.25">
      <c r="Q498" s="328"/>
    </row>
    <row r="499" spans="17:17" x14ac:dyDescent="0.25">
      <c r="Q499" s="328"/>
    </row>
    <row r="500" spans="17:17" x14ac:dyDescent="0.25">
      <c r="Q500" s="328"/>
    </row>
    <row r="501" spans="17:17" x14ac:dyDescent="0.25">
      <c r="Q501" s="328"/>
    </row>
    <row r="502" spans="17:17" x14ac:dyDescent="0.25">
      <c r="Q502" s="328"/>
    </row>
    <row r="503" spans="17:17" x14ac:dyDescent="0.25">
      <c r="Q503" s="328"/>
    </row>
    <row r="504" spans="17:17" x14ac:dyDescent="0.25">
      <c r="Q504" s="328"/>
    </row>
    <row r="505" spans="17:17" x14ac:dyDescent="0.25">
      <c r="Q505" s="328"/>
    </row>
    <row r="506" spans="17:17" x14ac:dyDescent="0.25">
      <c r="Q506" s="328"/>
    </row>
    <row r="507" spans="17:17" x14ac:dyDescent="0.25">
      <c r="Q507" s="328"/>
    </row>
    <row r="508" spans="17:17" x14ac:dyDescent="0.25">
      <c r="Q508" s="328"/>
    </row>
    <row r="509" spans="17:17" x14ac:dyDescent="0.25">
      <c r="Q509" s="328"/>
    </row>
    <row r="510" spans="17:17" x14ac:dyDescent="0.25">
      <c r="Q510" s="328"/>
    </row>
    <row r="511" spans="17:17" x14ac:dyDescent="0.25">
      <c r="Q511" s="328"/>
    </row>
    <row r="512" spans="17:17" x14ac:dyDescent="0.25">
      <c r="Q512" s="328"/>
    </row>
    <row r="513" spans="17:17" x14ac:dyDescent="0.25">
      <c r="Q513" s="328"/>
    </row>
    <row r="514" spans="17:17" x14ac:dyDescent="0.25">
      <c r="Q514" s="328"/>
    </row>
    <row r="515" spans="17:17" x14ac:dyDescent="0.25">
      <c r="Q515" s="328"/>
    </row>
    <row r="516" spans="17:17" x14ac:dyDescent="0.25">
      <c r="Q516" s="328"/>
    </row>
    <row r="517" spans="17:17" x14ac:dyDescent="0.25">
      <c r="Q517" s="328"/>
    </row>
    <row r="518" spans="17:17" x14ac:dyDescent="0.25">
      <c r="Q518" s="328"/>
    </row>
    <row r="519" spans="17:17" x14ac:dyDescent="0.25">
      <c r="Q519" s="328"/>
    </row>
    <row r="520" spans="17:17" x14ac:dyDescent="0.25">
      <c r="Q520" s="328"/>
    </row>
    <row r="521" spans="17:17" x14ac:dyDescent="0.25">
      <c r="Q521" s="328"/>
    </row>
    <row r="522" spans="17:17" x14ac:dyDescent="0.25">
      <c r="Q522" s="328"/>
    </row>
    <row r="523" spans="17:17" x14ac:dyDescent="0.25">
      <c r="Q523" s="328"/>
    </row>
    <row r="524" spans="17:17" x14ac:dyDescent="0.25">
      <c r="Q524" s="328"/>
    </row>
    <row r="525" spans="17:17" x14ac:dyDescent="0.25">
      <c r="Q525" s="328"/>
    </row>
    <row r="526" spans="17:17" x14ac:dyDescent="0.25">
      <c r="Q526" s="328"/>
    </row>
    <row r="527" spans="17:17" x14ac:dyDescent="0.25">
      <c r="Q527" s="328"/>
    </row>
    <row r="528" spans="17:17" x14ac:dyDescent="0.25">
      <c r="Q528" s="328"/>
    </row>
    <row r="529" spans="17:17" x14ac:dyDescent="0.25">
      <c r="Q529" s="328"/>
    </row>
    <row r="530" spans="17:17" x14ac:dyDescent="0.25">
      <c r="Q530" s="328"/>
    </row>
    <row r="531" spans="17:17" x14ac:dyDescent="0.25">
      <c r="Q531" s="328"/>
    </row>
    <row r="532" spans="17:17" x14ac:dyDescent="0.25">
      <c r="Q532" s="328"/>
    </row>
    <row r="533" spans="17:17" x14ac:dyDescent="0.25">
      <c r="Q533" s="328"/>
    </row>
    <row r="534" spans="17:17" x14ac:dyDescent="0.25">
      <c r="Q534" s="328"/>
    </row>
    <row r="535" spans="17:17" x14ac:dyDescent="0.25">
      <c r="Q535" s="328"/>
    </row>
    <row r="536" spans="17:17" x14ac:dyDescent="0.25">
      <c r="Q536" s="328"/>
    </row>
    <row r="537" spans="17:17" x14ac:dyDescent="0.25">
      <c r="Q537" s="328"/>
    </row>
    <row r="538" spans="17:17" x14ac:dyDescent="0.25">
      <c r="Q538" s="328"/>
    </row>
    <row r="539" spans="17:17" x14ac:dyDescent="0.25">
      <c r="Q539" s="328"/>
    </row>
    <row r="540" spans="17:17" x14ac:dyDescent="0.25">
      <c r="Q540" s="328"/>
    </row>
    <row r="541" spans="17:17" x14ac:dyDescent="0.25">
      <c r="Q541" s="328"/>
    </row>
    <row r="542" spans="17:17" x14ac:dyDescent="0.25">
      <c r="Q542" s="328"/>
    </row>
    <row r="543" spans="17:17" x14ac:dyDescent="0.25">
      <c r="Q543" s="328"/>
    </row>
    <row r="544" spans="17:17" x14ac:dyDescent="0.25">
      <c r="Q544" s="328"/>
    </row>
    <row r="545" spans="17:17" x14ac:dyDescent="0.25">
      <c r="Q545" s="328"/>
    </row>
    <row r="546" spans="17:17" x14ac:dyDescent="0.25">
      <c r="Q546" s="328"/>
    </row>
    <row r="547" spans="17:17" x14ac:dyDescent="0.25">
      <c r="Q547" s="328"/>
    </row>
    <row r="548" spans="17:17" x14ac:dyDescent="0.25">
      <c r="Q548" s="328"/>
    </row>
    <row r="549" spans="17:17" x14ac:dyDescent="0.25">
      <c r="Q549" s="328"/>
    </row>
    <row r="550" spans="17:17" x14ac:dyDescent="0.25">
      <c r="Q550" s="328"/>
    </row>
    <row r="551" spans="17:17" x14ac:dyDescent="0.25">
      <c r="Q551" s="328"/>
    </row>
    <row r="552" spans="17:17" x14ac:dyDescent="0.25">
      <c r="Q552" s="328"/>
    </row>
    <row r="553" spans="17:17" x14ac:dyDescent="0.25">
      <c r="Q553" s="328"/>
    </row>
    <row r="554" spans="17:17" x14ac:dyDescent="0.25">
      <c r="Q554" s="328"/>
    </row>
    <row r="555" spans="17:17" x14ac:dyDescent="0.25">
      <c r="Q555" s="328"/>
    </row>
    <row r="556" spans="17:17" x14ac:dyDescent="0.25">
      <c r="Q556" s="328"/>
    </row>
    <row r="557" spans="17:17" x14ac:dyDescent="0.25">
      <c r="Q557" s="328"/>
    </row>
    <row r="558" spans="17:17" x14ac:dyDescent="0.25">
      <c r="Q558" s="328"/>
    </row>
    <row r="559" spans="17:17" x14ac:dyDescent="0.25">
      <c r="Q559" s="328"/>
    </row>
    <row r="560" spans="17:17" x14ac:dyDescent="0.25">
      <c r="Q560" s="328"/>
    </row>
    <row r="561" spans="17:17" x14ac:dyDescent="0.25">
      <c r="Q561" s="328"/>
    </row>
    <row r="562" spans="17:17" x14ac:dyDescent="0.25">
      <c r="Q562" s="328"/>
    </row>
    <row r="563" spans="17:17" x14ac:dyDescent="0.25">
      <c r="Q563" s="328"/>
    </row>
    <row r="564" spans="17:17" x14ac:dyDescent="0.25">
      <c r="Q564" s="328"/>
    </row>
    <row r="565" spans="17:17" x14ac:dyDescent="0.25">
      <c r="Q565" s="328"/>
    </row>
    <row r="566" spans="17:17" x14ac:dyDescent="0.25">
      <c r="Q566" s="328"/>
    </row>
    <row r="567" spans="17:17" x14ac:dyDescent="0.25">
      <c r="Q567" s="328"/>
    </row>
    <row r="568" spans="17:17" x14ac:dyDescent="0.25">
      <c r="Q568" s="328"/>
    </row>
    <row r="569" spans="17:17" x14ac:dyDescent="0.25">
      <c r="Q569" s="328"/>
    </row>
    <row r="570" spans="17:17" x14ac:dyDescent="0.25">
      <c r="Q570" s="328"/>
    </row>
    <row r="571" spans="17:17" x14ac:dyDescent="0.25">
      <c r="Q571" s="328"/>
    </row>
    <row r="572" spans="17:17" x14ac:dyDescent="0.25">
      <c r="Q572" s="328"/>
    </row>
    <row r="573" spans="17:17" x14ac:dyDescent="0.25">
      <c r="Q573" s="328"/>
    </row>
    <row r="574" spans="17:17" x14ac:dyDescent="0.25">
      <c r="Q574" s="328"/>
    </row>
    <row r="575" spans="17:17" x14ac:dyDescent="0.25">
      <c r="Q575" s="328"/>
    </row>
    <row r="576" spans="17:17" x14ac:dyDescent="0.25">
      <c r="Q576" s="328"/>
    </row>
    <row r="577" spans="17:17" x14ac:dyDescent="0.25">
      <c r="Q577" s="328"/>
    </row>
    <row r="578" spans="17:17" x14ac:dyDescent="0.25">
      <c r="Q578" s="328"/>
    </row>
    <row r="579" spans="17:17" x14ac:dyDescent="0.25">
      <c r="Q579" s="328"/>
    </row>
    <row r="580" spans="17:17" x14ac:dyDescent="0.25">
      <c r="Q580" s="328"/>
    </row>
    <row r="581" spans="17:17" x14ac:dyDescent="0.25">
      <c r="Q581" s="328"/>
    </row>
    <row r="582" spans="17:17" x14ac:dyDescent="0.25">
      <c r="Q582" s="328"/>
    </row>
    <row r="583" spans="17:17" x14ac:dyDescent="0.25">
      <c r="Q583" s="328"/>
    </row>
    <row r="584" spans="17:17" x14ac:dyDescent="0.25">
      <c r="Q584" s="328"/>
    </row>
    <row r="585" spans="17:17" x14ac:dyDescent="0.25">
      <c r="Q585" s="328"/>
    </row>
    <row r="586" spans="17:17" x14ac:dyDescent="0.25">
      <c r="Q586" s="328"/>
    </row>
    <row r="587" spans="17:17" x14ac:dyDescent="0.25">
      <c r="Q587" s="328"/>
    </row>
    <row r="588" spans="17:17" x14ac:dyDescent="0.25">
      <c r="Q588" s="328"/>
    </row>
    <row r="589" spans="17:17" x14ac:dyDescent="0.25">
      <c r="Q589" s="328"/>
    </row>
    <row r="590" spans="17:17" x14ac:dyDescent="0.25">
      <c r="Q590" s="328"/>
    </row>
    <row r="591" spans="17:17" x14ac:dyDescent="0.25">
      <c r="Q591" s="328"/>
    </row>
    <row r="592" spans="17:17" x14ac:dyDescent="0.25">
      <c r="Q592" s="328"/>
    </row>
    <row r="593" spans="17:17" x14ac:dyDescent="0.25">
      <c r="Q593" s="328"/>
    </row>
    <row r="594" spans="17:17" x14ac:dyDescent="0.25">
      <c r="Q594" s="328"/>
    </row>
    <row r="595" spans="17:17" x14ac:dyDescent="0.25">
      <c r="Q595" s="328"/>
    </row>
    <row r="596" spans="17:17" x14ac:dyDescent="0.25">
      <c r="Q596" s="328"/>
    </row>
    <row r="597" spans="17:17" x14ac:dyDescent="0.25">
      <c r="Q597" s="328"/>
    </row>
    <row r="598" spans="17:17" x14ac:dyDescent="0.25">
      <c r="Q598" s="328"/>
    </row>
    <row r="599" spans="17:17" x14ac:dyDescent="0.25">
      <c r="Q599" s="328"/>
    </row>
    <row r="600" spans="17:17" x14ac:dyDescent="0.25">
      <c r="Q600" s="328"/>
    </row>
    <row r="601" spans="17:17" x14ac:dyDescent="0.25">
      <c r="Q601" s="328"/>
    </row>
    <row r="602" spans="17:17" x14ac:dyDescent="0.25">
      <c r="Q602" s="328"/>
    </row>
    <row r="603" spans="17:17" x14ac:dyDescent="0.25">
      <c r="Q603" s="328"/>
    </row>
    <row r="604" spans="17:17" x14ac:dyDescent="0.25">
      <c r="Q604" s="328"/>
    </row>
    <row r="605" spans="17:17" x14ac:dyDescent="0.25">
      <c r="Q605" s="328"/>
    </row>
    <row r="606" spans="17:17" x14ac:dyDescent="0.25">
      <c r="Q606" s="328"/>
    </row>
    <row r="607" spans="17:17" x14ac:dyDescent="0.25">
      <c r="Q607" s="328"/>
    </row>
    <row r="608" spans="17:17" x14ac:dyDescent="0.25">
      <c r="Q608" s="328"/>
    </row>
    <row r="609" spans="17:17" x14ac:dyDescent="0.25">
      <c r="Q609" s="328"/>
    </row>
    <row r="610" spans="17:17" x14ac:dyDescent="0.25">
      <c r="Q610" s="328"/>
    </row>
    <row r="611" spans="17:17" x14ac:dyDescent="0.25">
      <c r="Q611" s="328"/>
    </row>
    <row r="612" spans="17:17" x14ac:dyDescent="0.25">
      <c r="Q612" s="328"/>
    </row>
    <row r="613" spans="17:17" x14ac:dyDescent="0.25">
      <c r="Q613" s="328"/>
    </row>
    <row r="614" spans="17:17" x14ac:dyDescent="0.25">
      <c r="Q614" s="328"/>
    </row>
    <row r="615" spans="17:17" x14ac:dyDescent="0.25">
      <c r="Q615" s="328"/>
    </row>
    <row r="616" spans="17:17" x14ac:dyDescent="0.25">
      <c r="Q616" s="328"/>
    </row>
    <row r="617" spans="17:17" x14ac:dyDescent="0.25">
      <c r="Q617" s="328"/>
    </row>
    <row r="618" spans="17:17" x14ac:dyDescent="0.25">
      <c r="Q618" s="328"/>
    </row>
    <row r="619" spans="17:17" x14ac:dyDescent="0.25">
      <c r="Q619" s="328"/>
    </row>
    <row r="620" spans="17:17" x14ac:dyDescent="0.25">
      <c r="Q620" s="328"/>
    </row>
    <row r="621" spans="17:17" x14ac:dyDescent="0.25">
      <c r="Q621" s="328"/>
    </row>
    <row r="622" spans="17:17" x14ac:dyDescent="0.25">
      <c r="Q622" s="328"/>
    </row>
    <row r="623" spans="17:17" x14ac:dyDescent="0.25">
      <c r="Q623" s="328"/>
    </row>
    <row r="624" spans="17:17" x14ac:dyDescent="0.25">
      <c r="Q624" s="328"/>
    </row>
    <row r="625" spans="17:17" x14ac:dyDescent="0.25">
      <c r="Q625" s="328"/>
    </row>
    <row r="626" spans="17:17" x14ac:dyDescent="0.25">
      <c r="Q626" s="328"/>
    </row>
    <row r="627" spans="17:17" x14ac:dyDescent="0.25">
      <c r="Q627" s="328"/>
    </row>
    <row r="628" spans="17:17" x14ac:dyDescent="0.25">
      <c r="Q628" s="328"/>
    </row>
    <row r="629" spans="17:17" x14ac:dyDescent="0.25">
      <c r="Q629" s="328"/>
    </row>
    <row r="630" spans="17:17" x14ac:dyDescent="0.25">
      <c r="Q630" s="328"/>
    </row>
    <row r="631" spans="17:17" x14ac:dyDescent="0.25">
      <c r="Q631" s="328"/>
    </row>
    <row r="632" spans="17:17" x14ac:dyDescent="0.25">
      <c r="Q632" s="328"/>
    </row>
    <row r="633" spans="17:17" x14ac:dyDescent="0.25">
      <c r="Q633" s="328"/>
    </row>
    <row r="634" spans="17:17" x14ac:dyDescent="0.25">
      <c r="Q634" s="328"/>
    </row>
    <row r="635" spans="17:17" x14ac:dyDescent="0.25">
      <c r="Q635" s="328"/>
    </row>
    <row r="636" spans="17:17" x14ac:dyDescent="0.25">
      <c r="Q636" s="328"/>
    </row>
    <row r="637" spans="17:17" x14ac:dyDescent="0.25">
      <c r="Q637" s="328"/>
    </row>
    <row r="638" spans="17:17" x14ac:dyDescent="0.25">
      <c r="Q638" s="328"/>
    </row>
    <row r="639" spans="17:17" x14ac:dyDescent="0.25">
      <c r="Q639" s="328"/>
    </row>
    <row r="640" spans="17:17" x14ac:dyDescent="0.25">
      <c r="Q640" s="328"/>
    </row>
    <row r="641" spans="17:17" x14ac:dyDescent="0.25">
      <c r="Q641" s="328"/>
    </row>
    <row r="642" spans="17:17" x14ac:dyDescent="0.25">
      <c r="Q642" s="328"/>
    </row>
    <row r="643" spans="17:17" x14ac:dyDescent="0.25">
      <c r="Q643" s="328"/>
    </row>
    <row r="644" spans="17:17" x14ac:dyDescent="0.25">
      <c r="Q644" s="328"/>
    </row>
    <row r="645" spans="17:17" x14ac:dyDescent="0.25">
      <c r="Q645" s="328"/>
    </row>
    <row r="646" spans="17:17" x14ac:dyDescent="0.25">
      <c r="Q646" s="328"/>
    </row>
    <row r="647" spans="17:17" x14ac:dyDescent="0.25">
      <c r="Q647" s="328"/>
    </row>
    <row r="648" spans="17:17" x14ac:dyDescent="0.25">
      <c r="Q648" s="328"/>
    </row>
    <row r="649" spans="17:17" x14ac:dyDescent="0.25">
      <c r="Q649" s="328"/>
    </row>
    <row r="650" spans="17:17" x14ac:dyDescent="0.25">
      <c r="Q650" s="328"/>
    </row>
    <row r="651" spans="17:17" x14ac:dyDescent="0.25">
      <c r="Q651" s="328"/>
    </row>
    <row r="652" spans="17:17" x14ac:dyDescent="0.25">
      <c r="Q652" s="328"/>
    </row>
    <row r="653" spans="17:17" x14ac:dyDescent="0.25">
      <c r="Q653" s="328"/>
    </row>
    <row r="654" spans="17:17" x14ac:dyDescent="0.25">
      <c r="Q654" s="328"/>
    </row>
    <row r="655" spans="17:17" x14ac:dyDescent="0.25">
      <c r="Q655" s="328"/>
    </row>
    <row r="656" spans="17:17" x14ac:dyDescent="0.25">
      <c r="Q656" s="328"/>
    </row>
    <row r="657" spans="17:17" x14ac:dyDescent="0.25">
      <c r="Q657" s="328"/>
    </row>
    <row r="658" spans="17:17" x14ac:dyDescent="0.25">
      <c r="Q658" s="328"/>
    </row>
    <row r="659" spans="17:17" x14ac:dyDescent="0.25">
      <c r="Q659" s="328"/>
    </row>
    <row r="660" spans="17:17" x14ac:dyDescent="0.25">
      <c r="Q660" s="328"/>
    </row>
    <row r="661" spans="17:17" x14ac:dyDescent="0.25">
      <c r="Q661" s="328"/>
    </row>
    <row r="662" spans="17:17" x14ac:dyDescent="0.25">
      <c r="Q662" s="328"/>
    </row>
    <row r="663" spans="17:17" x14ac:dyDescent="0.25">
      <c r="Q663" s="328"/>
    </row>
    <row r="664" spans="17:17" x14ac:dyDescent="0.25">
      <c r="Q664" s="328"/>
    </row>
    <row r="665" spans="17:17" x14ac:dyDescent="0.25">
      <c r="Q665" s="328"/>
    </row>
    <row r="666" spans="17:17" x14ac:dyDescent="0.25">
      <c r="Q666" s="328"/>
    </row>
    <row r="667" spans="17:17" x14ac:dyDescent="0.25">
      <c r="Q667" s="328"/>
    </row>
    <row r="668" spans="17:17" x14ac:dyDescent="0.25">
      <c r="Q668" s="328"/>
    </row>
    <row r="669" spans="17:17" x14ac:dyDescent="0.25">
      <c r="Q669" s="328"/>
    </row>
    <row r="670" spans="17:17" x14ac:dyDescent="0.25">
      <c r="Q670" s="328"/>
    </row>
    <row r="671" spans="17:17" x14ac:dyDescent="0.25">
      <c r="Q671" s="328"/>
    </row>
    <row r="672" spans="17:17" x14ac:dyDescent="0.25">
      <c r="Q672" s="328"/>
    </row>
    <row r="673" spans="17:17" x14ac:dyDescent="0.25">
      <c r="Q673" s="328"/>
    </row>
    <row r="674" spans="17:17" x14ac:dyDescent="0.25">
      <c r="Q674" s="328"/>
    </row>
    <row r="675" spans="17:17" x14ac:dyDescent="0.25">
      <c r="Q675" s="328"/>
    </row>
    <row r="676" spans="17:17" x14ac:dyDescent="0.25">
      <c r="Q676" s="328"/>
    </row>
    <row r="677" spans="17:17" x14ac:dyDescent="0.25">
      <c r="Q677" s="328"/>
    </row>
    <row r="678" spans="17:17" x14ac:dyDescent="0.25">
      <c r="Q678" s="328"/>
    </row>
    <row r="679" spans="17:17" x14ac:dyDescent="0.25">
      <c r="Q679" s="328"/>
    </row>
    <row r="680" spans="17:17" x14ac:dyDescent="0.25">
      <c r="Q680" s="328"/>
    </row>
    <row r="681" spans="17:17" x14ac:dyDescent="0.25">
      <c r="Q681" s="328"/>
    </row>
    <row r="682" spans="17:17" x14ac:dyDescent="0.25">
      <c r="Q682" s="328"/>
    </row>
    <row r="683" spans="17:17" x14ac:dyDescent="0.25">
      <c r="Q683" s="328"/>
    </row>
    <row r="684" spans="17:17" x14ac:dyDescent="0.25">
      <c r="Q684" s="328"/>
    </row>
    <row r="685" spans="17:17" x14ac:dyDescent="0.25">
      <c r="Q685" s="328"/>
    </row>
    <row r="686" spans="17:17" x14ac:dyDescent="0.25">
      <c r="Q686" s="328"/>
    </row>
    <row r="687" spans="17:17" x14ac:dyDescent="0.25">
      <c r="Q687" s="328"/>
    </row>
    <row r="688" spans="17:17" x14ac:dyDescent="0.25">
      <c r="Q688" s="328"/>
    </row>
    <row r="689" spans="17:17" x14ac:dyDescent="0.25">
      <c r="Q689" s="328"/>
    </row>
    <row r="690" spans="17:17" x14ac:dyDescent="0.25">
      <c r="Q690" s="328"/>
    </row>
    <row r="691" spans="17:17" x14ac:dyDescent="0.25">
      <c r="Q691" s="328"/>
    </row>
    <row r="692" spans="17:17" x14ac:dyDescent="0.25">
      <c r="Q692" s="328"/>
    </row>
    <row r="693" spans="17:17" x14ac:dyDescent="0.25">
      <c r="Q693" s="328"/>
    </row>
    <row r="694" spans="17:17" x14ac:dyDescent="0.25">
      <c r="Q694" s="328"/>
    </row>
    <row r="695" spans="17:17" x14ac:dyDescent="0.25">
      <c r="Q695" s="328"/>
    </row>
    <row r="696" spans="17:17" x14ac:dyDescent="0.25">
      <c r="Q696" s="328"/>
    </row>
    <row r="697" spans="17:17" x14ac:dyDescent="0.25">
      <c r="Q697" s="328"/>
    </row>
    <row r="698" spans="17:17" x14ac:dyDescent="0.25">
      <c r="Q698" s="328"/>
    </row>
    <row r="699" spans="17:17" x14ac:dyDescent="0.25">
      <c r="Q699" s="328"/>
    </row>
    <row r="700" spans="17:17" x14ac:dyDescent="0.25">
      <c r="Q700" s="328"/>
    </row>
    <row r="701" spans="17:17" x14ac:dyDescent="0.25">
      <c r="Q701" s="328"/>
    </row>
    <row r="702" spans="17:17" x14ac:dyDescent="0.25">
      <c r="Q702" s="328"/>
    </row>
    <row r="703" spans="17:17" x14ac:dyDescent="0.25">
      <c r="Q703" s="328"/>
    </row>
    <row r="704" spans="17:17" x14ac:dyDescent="0.25">
      <c r="Q704" s="328"/>
    </row>
    <row r="705" spans="17:17" x14ac:dyDescent="0.25">
      <c r="Q705" s="328"/>
    </row>
    <row r="706" spans="17:17" x14ac:dyDescent="0.25">
      <c r="Q706" s="328"/>
    </row>
    <row r="707" spans="17:17" x14ac:dyDescent="0.25">
      <c r="Q707" s="328"/>
    </row>
    <row r="708" spans="17:17" x14ac:dyDescent="0.25">
      <c r="Q708" s="328"/>
    </row>
    <row r="709" spans="17:17" x14ac:dyDescent="0.25">
      <c r="Q709" s="328"/>
    </row>
    <row r="710" spans="17:17" x14ac:dyDescent="0.25">
      <c r="Q710" s="328"/>
    </row>
    <row r="711" spans="17:17" x14ac:dyDescent="0.25">
      <c r="Q711" s="328"/>
    </row>
    <row r="712" spans="17:17" x14ac:dyDescent="0.25">
      <c r="Q712" s="328"/>
    </row>
    <row r="713" spans="17:17" x14ac:dyDescent="0.25">
      <c r="Q713" s="328"/>
    </row>
    <row r="714" spans="17:17" x14ac:dyDescent="0.25">
      <c r="Q714" s="328"/>
    </row>
    <row r="715" spans="17:17" x14ac:dyDescent="0.25">
      <c r="Q715" s="328"/>
    </row>
    <row r="716" spans="17:17" x14ac:dyDescent="0.25">
      <c r="Q716" s="328"/>
    </row>
    <row r="717" spans="17:17" x14ac:dyDescent="0.25">
      <c r="Q717" s="328"/>
    </row>
    <row r="718" spans="17:17" x14ac:dyDescent="0.25">
      <c r="Q718" s="328"/>
    </row>
    <row r="719" spans="17:17" x14ac:dyDescent="0.25">
      <c r="Q719" s="328"/>
    </row>
    <row r="720" spans="17:17" x14ac:dyDescent="0.25">
      <c r="Q720" s="328"/>
    </row>
    <row r="721" spans="17:17" x14ac:dyDescent="0.25">
      <c r="Q721" s="328"/>
    </row>
    <row r="722" spans="17:17" x14ac:dyDescent="0.25">
      <c r="Q722" s="328"/>
    </row>
    <row r="723" spans="17:17" x14ac:dyDescent="0.25">
      <c r="Q723" s="328"/>
    </row>
    <row r="724" spans="17:17" x14ac:dyDescent="0.25">
      <c r="Q724" s="328"/>
    </row>
    <row r="725" spans="17:17" x14ac:dyDescent="0.25">
      <c r="Q725" s="328"/>
    </row>
    <row r="726" spans="17:17" x14ac:dyDescent="0.25">
      <c r="Q726" s="328"/>
    </row>
    <row r="727" spans="17:17" x14ac:dyDescent="0.25">
      <c r="Q727" s="328"/>
    </row>
    <row r="728" spans="17:17" x14ac:dyDescent="0.25">
      <c r="Q728" s="328"/>
    </row>
    <row r="729" spans="17:17" x14ac:dyDescent="0.25">
      <c r="Q729" s="328"/>
    </row>
    <row r="730" spans="17:17" x14ac:dyDescent="0.25">
      <c r="Q730" s="328"/>
    </row>
    <row r="731" spans="17:17" x14ac:dyDescent="0.25">
      <c r="Q731" s="328"/>
    </row>
    <row r="732" spans="17:17" x14ac:dyDescent="0.25">
      <c r="Q732" s="328"/>
    </row>
    <row r="733" spans="17:17" x14ac:dyDescent="0.25">
      <c r="Q733" s="328"/>
    </row>
    <row r="734" spans="17:17" x14ac:dyDescent="0.25">
      <c r="Q734" s="328"/>
    </row>
    <row r="735" spans="17:17" x14ac:dyDescent="0.25">
      <c r="Q735" s="328"/>
    </row>
    <row r="736" spans="17:17" x14ac:dyDescent="0.25">
      <c r="Q736" s="328"/>
    </row>
    <row r="737" spans="17:17" x14ac:dyDescent="0.25">
      <c r="Q737" s="328"/>
    </row>
    <row r="738" spans="17:17" x14ac:dyDescent="0.25">
      <c r="Q738" s="328"/>
    </row>
    <row r="739" spans="17:17" x14ac:dyDescent="0.25">
      <c r="Q739" s="328"/>
    </row>
    <row r="740" spans="17:17" x14ac:dyDescent="0.25">
      <c r="Q740" s="328"/>
    </row>
    <row r="741" spans="17:17" x14ac:dyDescent="0.25">
      <c r="Q741" s="328"/>
    </row>
    <row r="742" spans="17:17" x14ac:dyDescent="0.25">
      <c r="Q742" s="328"/>
    </row>
    <row r="743" spans="17:17" x14ac:dyDescent="0.25">
      <c r="Q743" s="328"/>
    </row>
    <row r="744" spans="17:17" x14ac:dyDescent="0.25">
      <c r="Q744" s="328"/>
    </row>
    <row r="745" spans="17:17" x14ac:dyDescent="0.25">
      <c r="Q745" s="328"/>
    </row>
    <row r="746" spans="17:17" x14ac:dyDescent="0.25">
      <c r="Q746" s="328"/>
    </row>
    <row r="747" spans="17:17" x14ac:dyDescent="0.25">
      <c r="Q747" s="328"/>
    </row>
    <row r="748" spans="17:17" x14ac:dyDescent="0.25">
      <c r="Q748" s="328"/>
    </row>
    <row r="749" spans="17:17" x14ac:dyDescent="0.25">
      <c r="Q749" s="328"/>
    </row>
    <row r="750" spans="17:17" x14ac:dyDescent="0.25">
      <c r="Q750" s="328"/>
    </row>
    <row r="751" spans="17:17" x14ac:dyDescent="0.25">
      <c r="Q751" s="328"/>
    </row>
    <row r="752" spans="17:17" x14ac:dyDescent="0.25">
      <c r="Q752" s="328"/>
    </row>
    <row r="753" spans="17:17" x14ac:dyDescent="0.25">
      <c r="Q753" s="328"/>
    </row>
    <row r="754" spans="17:17" x14ac:dyDescent="0.25">
      <c r="Q754" s="328"/>
    </row>
    <row r="755" spans="17:17" x14ac:dyDescent="0.25">
      <c r="Q755" s="328"/>
    </row>
    <row r="756" spans="17:17" x14ac:dyDescent="0.25">
      <c r="Q756" s="328"/>
    </row>
    <row r="757" spans="17:17" x14ac:dyDescent="0.25">
      <c r="Q757" s="328"/>
    </row>
    <row r="758" spans="17:17" x14ac:dyDescent="0.25">
      <c r="Q758" s="328"/>
    </row>
    <row r="759" spans="17:17" x14ac:dyDescent="0.25">
      <c r="Q759" s="328"/>
    </row>
    <row r="760" spans="17:17" x14ac:dyDescent="0.25">
      <c r="Q760" s="328"/>
    </row>
    <row r="761" spans="17:17" x14ac:dyDescent="0.25">
      <c r="Q761" s="328"/>
    </row>
    <row r="762" spans="17:17" x14ac:dyDescent="0.25">
      <c r="Q762" s="328"/>
    </row>
    <row r="763" spans="17:17" x14ac:dyDescent="0.25">
      <c r="Q763" s="328"/>
    </row>
    <row r="764" spans="17:17" x14ac:dyDescent="0.25">
      <c r="Q764" s="328"/>
    </row>
    <row r="765" spans="17:17" x14ac:dyDescent="0.25">
      <c r="Q765" s="328"/>
    </row>
    <row r="766" spans="17:17" x14ac:dyDescent="0.25">
      <c r="Q766" s="328"/>
    </row>
    <row r="767" spans="17:17" x14ac:dyDescent="0.25">
      <c r="Q767" s="328"/>
    </row>
    <row r="768" spans="17:17" x14ac:dyDescent="0.25">
      <c r="Q768" s="328"/>
    </row>
    <row r="769" spans="17:17" x14ac:dyDescent="0.25">
      <c r="Q769" s="328"/>
    </row>
    <row r="770" spans="17:17" x14ac:dyDescent="0.25">
      <c r="Q770" s="328"/>
    </row>
    <row r="771" spans="17:17" x14ac:dyDescent="0.25">
      <c r="Q771" s="328"/>
    </row>
    <row r="772" spans="17:17" x14ac:dyDescent="0.25">
      <c r="Q772" s="328"/>
    </row>
    <row r="773" spans="17:17" x14ac:dyDescent="0.25">
      <c r="Q773" s="328"/>
    </row>
    <row r="774" spans="17:17" x14ac:dyDescent="0.25">
      <c r="Q774" s="328"/>
    </row>
    <row r="775" spans="17:17" x14ac:dyDescent="0.25">
      <c r="Q775" s="328"/>
    </row>
    <row r="776" spans="17:17" x14ac:dyDescent="0.25">
      <c r="Q776" s="328"/>
    </row>
    <row r="777" spans="17:17" x14ac:dyDescent="0.25">
      <c r="Q777" s="328"/>
    </row>
    <row r="778" spans="17:17" x14ac:dyDescent="0.25">
      <c r="Q778" s="328"/>
    </row>
    <row r="779" spans="17:17" x14ac:dyDescent="0.25">
      <c r="Q779" s="328"/>
    </row>
    <row r="780" spans="17:17" x14ac:dyDescent="0.25">
      <c r="Q780" s="328"/>
    </row>
    <row r="781" spans="17:17" x14ac:dyDescent="0.25">
      <c r="Q781" s="328"/>
    </row>
    <row r="782" spans="17:17" x14ac:dyDescent="0.25">
      <c r="Q782" s="328"/>
    </row>
    <row r="783" spans="17:17" x14ac:dyDescent="0.25">
      <c r="Q783" s="328"/>
    </row>
    <row r="784" spans="17:17" x14ac:dyDescent="0.25">
      <c r="Q784" s="328"/>
    </row>
    <row r="785" spans="17:17" x14ac:dyDescent="0.25">
      <c r="Q785" s="328"/>
    </row>
    <row r="786" spans="17:17" x14ac:dyDescent="0.25">
      <c r="Q786" s="328"/>
    </row>
    <row r="787" spans="17:17" x14ac:dyDescent="0.25">
      <c r="Q787" s="328"/>
    </row>
    <row r="788" spans="17:17" x14ac:dyDescent="0.25">
      <c r="Q788" s="328"/>
    </row>
    <row r="789" spans="17:17" x14ac:dyDescent="0.25">
      <c r="Q789" s="328"/>
    </row>
    <row r="790" spans="17:17" x14ac:dyDescent="0.25">
      <c r="Q790" s="328"/>
    </row>
    <row r="791" spans="17:17" x14ac:dyDescent="0.25">
      <c r="Q791" s="328"/>
    </row>
    <row r="792" spans="17:17" x14ac:dyDescent="0.25">
      <c r="Q792" s="328"/>
    </row>
    <row r="793" spans="17:17" x14ac:dyDescent="0.25">
      <c r="Q793" s="328"/>
    </row>
    <row r="794" spans="17:17" x14ac:dyDescent="0.25">
      <c r="Q794" s="328"/>
    </row>
    <row r="795" spans="17:17" x14ac:dyDescent="0.25">
      <c r="Q795" s="328"/>
    </row>
    <row r="796" spans="17:17" x14ac:dyDescent="0.25">
      <c r="Q796" s="328"/>
    </row>
    <row r="797" spans="17:17" x14ac:dyDescent="0.25">
      <c r="Q797" s="328"/>
    </row>
    <row r="798" spans="17:17" x14ac:dyDescent="0.25">
      <c r="Q798" s="328"/>
    </row>
    <row r="799" spans="17:17" x14ac:dyDescent="0.25">
      <c r="Q799" s="328"/>
    </row>
    <row r="800" spans="17:17" x14ac:dyDescent="0.25">
      <c r="Q800" s="328"/>
    </row>
    <row r="801" spans="17:17" x14ac:dyDescent="0.25">
      <c r="Q801" s="328"/>
    </row>
    <row r="802" spans="17:17" x14ac:dyDescent="0.25">
      <c r="Q802" s="328"/>
    </row>
    <row r="803" spans="17:17" x14ac:dyDescent="0.25">
      <c r="Q803" s="328"/>
    </row>
    <row r="804" spans="17:17" x14ac:dyDescent="0.25">
      <c r="Q804" s="328"/>
    </row>
    <row r="805" spans="17:17" x14ac:dyDescent="0.25">
      <c r="Q805" s="328"/>
    </row>
    <row r="806" spans="17:17" x14ac:dyDescent="0.25">
      <c r="Q806" s="328"/>
    </row>
    <row r="807" spans="17:17" x14ac:dyDescent="0.25">
      <c r="Q807" s="328"/>
    </row>
    <row r="808" spans="17:17" x14ac:dyDescent="0.25">
      <c r="Q808" s="328"/>
    </row>
    <row r="809" spans="17:17" x14ac:dyDescent="0.25">
      <c r="Q809" s="328"/>
    </row>
    <row r="810" spans="17:17" x14ac:dyDescent="0.25">
      <c r="Q810" s="328"/>
    </row>
    <row r="811" spans="17:17" x14ac:dyDescent="0.25">
      <c r="Q811" s="328"/>
    </row>
    <row r="812" spans="17:17" x14ac:dyDescent="0.25">
      <c r="Q812" s="328"/>
    </row>
    <row r="813" spans="17:17" x14ac:dyDescent="0.25">
      <c r="Q813" s="328"/>
    </row>
    <row r="814" spans="17:17" x14ac:dyDescent="0.25">
      <c r="Q814" s="328"/>
    </row>
    <row r="815" spans="17:17" x14ac:dyDescent="0.25">
      <c r="Q815" s="328"/>
    </row>
    <row r="816" spans="17:17" x14ac:dyDescent="0.25">
      <c r="Q816" s="328"/>
    </row>
    <row r="817" spans="17:17" x14ac:dyDescent="0.25">
      <c r="Q817" s="328"/>
    </row>
    <row r="818" spans="17:17" x14ac:dyDescent="0.25">
      <c r="Q818" s="328"/>
    </row>
    <row r="819" spans="17:17" x14ac:dyDescent="0.25">
      <c r="Q819" s="328"/>
    </row>
    <row r="820" spans="17:17" x14ac:dyDescent="0.25">
      <c r="Q820" s="328"/>
    </row>
    <row r="821" spans="17:17" x14ac:dyDescent="0.25">
      <c r="Q821" s="328"/>
    </row>
    <row r="822" spans="17:17" x14ac:dyDescent="0.25">
      <c r="Q822" s="328"/>
    </row>
    <row r="823" spans="17:17" x14ac:dyDescent="0.25">
      <c r="Q823" s="328"/>
    </row>
    <row r="824" spans="17:17" x14ac:dyDescent="0.25">
      <c r="Q824" s="328"/>
    </row>
    <row r="825" spans="17:17" x14ac:dyDescent="0.25">
      <c r="Q825" s="328"/>
    </row>
    <row r="826" spans="17:17" x14ac:dyDescent="0.25">
      <c r="Q826" s="328"/>
    </row>
    <row r="827" spans="17:17" x14ac:dyDescent="0.25">
      <c r="Q827" s="328"/>
    </row>
    <row r="828" spans="17:17" x14ac:dyDescent="0.25">
      <c r="Q828" s="328"/>
    </row>
    <row r="829" spans="17:17" x14ac:dyDescent="0.25">
      <c r="Q829" s="328"/>
    </row>
    <row r="830" spans="17:17" x14ac:dyDescent="0.25">
      <c r="Q830" s="328"/>
    </row>
    <row r="831" spans="17:17" x14ac:dyDescent="0.25">
      <c r="Q831" s="328"/>
    </row>
    <row r="832" spans="17:17" x14ac:dyDescent="0.25">
      <c r="Q832" s="328"/>
    </row>
    <row r="833" spans="17:17" x14ac:dyDescent="0.25">
      <c r="Q833" s="328"/>
    </row>
    <row r="834" spans="17:17" x14ac:dyDescent="0.25">
      <c r="Q834" s="328"/>
    </row>
    <row r="835" spans="17:17" x14ac:dyDescent="0.25">
      <c r="Q835" s="328"/>
    </row>
    <row r="836" spans="17:17" x14ac:dyDescent="0.25">
      <c r="Q836" s="328"/>
    </row>
    <row r="837" spans="17:17" x14ac:dyDescent="0.25">
      <c r="Q837" s="328"/>
    </row>
    <row r="838" spans="17:17" x14ac:dyDescent="0.25">
      <c r="Q838" s="328"/>
    </row>
    <row r="839" spans="17:17" x14ac:dyDescent="0.25">
      <c r="Q839" s="328"/>
    </row>
    <row r="840" spans="17:17" x14ac:dyDescent="0.25">
      <c r="Q840" s="328"/>
    </row>
    <row r="841" spans="17:17" x14ac:dyDescent="0.25">
      <c r="Q841" s="328"/>
    </row>
    <row r="842" spans="17:17" x14ac:dyDescent="0.25">
      <c r="Q842" s="328"/>
    </row>
    <row r="843" spans="17:17" x14ac:dyDescent="0.25">
      <c r="Q843" s="328"/>
    </row>
    <row r="844" spans="17:17" x14ac:dyDescent="0.25">
      <c r="Q844" s="328"/>
    </row>
    <row r="845" spans="17:17" x14ac:dyDescent="0.25">
      <c r="Q845" s="328"/>
    </row>
    <row r="846" spans="17:17" x14ac:dyDescent="0.25">
      <c r="Q846" s="328"/>
    </row>
    <row r="847" spans="17:17" x14ac:dyDescent="0.25">
      <c r="Q847" s="328"/>
    </row>
    <row r="848" spans="17:17" x14ac:dyDescent="0.25">
      <c r="Q848" s="328"/>
    </row>
    <row r="849" spans="17:17" x14ac:dyDescent="0.25">
      <c r="Q849" s="328"/>
    </row>
    <row r="850" spans="17:17" x14ac:dyDescent="0.25">
      <c r="Q850" s="328"/>
    </row>
    <row r="851" spans="17:17" x14ac:dyDescent="0.25">
      <c r="Q851" s="328"/>
    </row>
    <row r="852" spans="17:17" x14ac:dyDescent="0.25">
      <c r="Q852" s="328"/>
    </row>
    <row r="853" spans="17:17" x14ac:dyDescent="0.25">
      <c r="Q853" s="328"/>
    </row>
    <row r="854" spans="17:17" x14ac:dyDescent="0.25">
      <c r="Q854" s="328"/>
    </row>
    <row r="855" spans="17:17" x14ac:dyDescent="0.25">
      <c r="Q855" s="328"/>
    </row>
    <row r="856" spans="17:17" x14ac:dyDescent="0.25">
      <c r="Q856" s="328"/>
    </row>
    <row r="857" spans="17:17" x14ac:dyDescent="0.25">
      <c r="Q857" s="328"/>
    </row>
    <row r="858" spans="17:17" x14ac:dyDescent="0.25">
      <c r="Q858" s="328"/>
    </row>
    <row r="859" spans="17:17" x14ac:dyDescent="0.25">
      <c r="Q859" s="328"/>
    </row>
    <row r="860" spans="17:17" x14ac:dyDescent="0.25">
      <c r="Q860" s="328"/>
    </row>
    <row r="861" spans="17:17" x14ac:dyDescent="0.25">
      <c r="Q861" s="328"/>
    </row>
    <row r="862" spans="17:17" x14ac:dyDescent="0.25">
      <c r="Q862" s="328"/>
    </row>
    <row r="863" spans="17:17" x14ac:dyDescent="0.25">
      <c r="Q863" s="328"/>
    </row>
    <row r="864" spans="17:17" x14ac:dyDescent="0.25">
      <c r="Q864" s="328"/>
    </row>
    <row r="865" spans="17:17" x14ac:dyDescent="0.25">
      <c r="Q865" s="328"/>
    </row>
    <row r="866" spans="17:17" x14ac:dyDescent="0.25">
      <c r="Q866" s="328"/>
    </row>
    <row r="867" spans="17:17" x14ac:dyDescent="0.25">
      <c r="Q867" s="328"/>
    </row>
    <row r="868" spans="17:17" x14ac:dyDescent="0.25">
      <c r="Q868" s="328"/>
    </row>
    <row r="869" spans="17:17" x14ac:dyDescent="0.25">
      <c r="Q869" s="328"/>
    </row>
    <row r="870" spans="17:17" x14ac:dyDescent="0.25">
      <c r="Q870" s="328"/>
    </row>
    <row r="871" spans="17:17" x14ac:dyDescent="0.25">
      <c r="Q871" s="328"/>
    </row>
    <row r="872" spans="17:17" x14ac:dyDescent="0.25">
      <c r="Q872" s="328"/>
    </row>
    <row r="873" spans="17:17" x14ac:dyDescent="0.25">
      <c r="Q873" s="328"/>
    </row>
    <row r="874" spans="17:17" x14ac:dyDescent="0.25">
      <c r="Q874" s="328"/>
    </row>
    <row r="875" spans="17:17" x14ac:dyDescent="0.25">
      <c r="Q875" s="328"/>
    </row>
    <row r="876" spans="17:17" x14ac:dyDescent="0.25">
      <c r="Q876" s="328"/>
    </row>
    <row r="877" spans="17:17" x14ac:dyDescent="0.25">
      <c r="Q877" s="328"/>
    </row>
    <row r="878" spans="17:17" x14ac:dyDescent="0.25">
      <c r="Q878" s="328"/>
    </row>
    <row r="879" spans="17:17" x14ac:dyDescent="0.25">
      <c r="Q879" s="328"/>
    </row>
    <row r="880" spans="17:17" x14ac:dyDescent="0.25">
      <c r="Q880" s="328"/>
    </row>
    <row r="881" spans="17:17" x14ac:dyDescent="0.25">
      <c r="Q881" s="328"/>
    </row>
    <row r="882" spans="17:17" x14ac:dyDescent="0.25">
      <c r="Q882" s="328"/>
    </row>
    <row r="883" spans="17:17" x14ac:dyDescent="0.25">
      <c r="Q883" s="328"/>
    </row>
    <row r="884" spans="17:17" x14ac:dyDescent="0.25">
      <c r="Q884" s="328"/>
    </row>
    <row r="885" spans="17:17" x14ac:dyDescent="0.25">
      <c r="Q885" s="328"/>
    </row>
    <row r="886" spans="17:17" x14ac:dyDescent="0.25">
      <c r="Q886" s="328"/>
    </row>
    <row r="887" spans="17:17" x14ac:dyDescent="0.25">
      <c r="Q887" s="328"/>
    </row>
    <row r="888" spans="17:17" x14ac:dyDescent="0.25">
      <c r="Q888" s="328"/>
    </row>
    <row r="889" spans="17:17" x14ac:dyDescent="0.25">
      <c r="Q889" s="328"/>
    </row>
    <row r="890" spans="17:17" x14ac:dyDescent="0.25">
      <c r="Q890" s="328"/>
    </row>
    <row r="891" spans="17:17" x14ac:dyDescent="0.25">
      <c r="Q891" s="328"/>
    </row>
    <row r="892" spans="17:17" x14ac:dyDescent="0.25">
      <c r="Q892" s="328"/>
    </row>
    <row r="893" spans="17:17" x14ac:dyDescent="0.25">
      <c r="Q893" s="328"/>
    </row>
    <row r="894" spans="17:17" x14ac:dyDescent="0.25">
      <c r="Q894" s="328"/>
    </row>
    <row r="895" spans="17:17" x14ac:dyDescent="0.25">
      <c r="Q895" s="328"/>
    </row>
    <row r="896" spans="17:17" x14ac:dyDescent="0.25">
      <c r="Q896" s="328"/>
    </row>
    <row r="897" spans="17:17" x14ac:dyDescent="0.25">
      <c r="Q897" s="328"/>
    </row>
    <row r="898" spans="17:17" x14ac:dyDescent="0.25">
      <c r="Q898" s="328"/>
    </row>
    <row r="899" spans="17:17" x14ac:dyDescent="0.25">
      <c r="Q899" s="328"/>
    </row>
    <row r="900" spans="17:17" x14ac:dyDescent="0.25">
      <c r="Q900" s="328"/>
    </row>
    <row r="901" spans="17:17" x14ac:dyDescent="0.25">
      <c r="Q901" s="328"/>
    </row>
    <row r="902" spans="17:17" x14ac:dyDescent="0.25">
      <c r="Q902" s="328"/>
    </row>
    <row r="903" spans="17:17" x14ac:dyDescent="0.25">
      <c r="Q903" s="328"/>
    </row>
    <row r="904" spans="17:17" x14ac:dyDescent="0.25">
      <c r="Q904" s="328"/>
    </row>
    <row r="905" spans="17:17" x14ac:dyDescent="0.25">
      <c r="Q905" s="328"/>
    </row>
    <row r="906" spans="17:17" x14ac:dyDescent="0.25">
      <c r="Q906" s="328"/>
    </row>
    <row r="907" spans="17:17" x14ac:dyDescent="0.25">
      <c r="Q907" s="328"/>
    </row>
    <row r="908" spans="17:17" x14ac:dyDescent="0.25">
      <c r="Q908" s="328"/>
    </row>
    <row r="909" spans="17:17" x14ac:dyDescent="0.25">
      <c r="Q909" s="328"/>
    </row>
    <row r="910" spans="17:17" x14ac:dyDescent="0.25">
      <c r="Q910" s="328"/>
    </row>
    <row r="911" spans="17:17" x14ac:dyDescent="0.25">
      <c r="Q911" s="328"/>
    </row>
    <row r="912" spans="17:17" x14ac:dyDescent="0.25">
      <c r="Q912" s="328"/>
    </row>
    <row r="913" spans="17:17" x14ac:dyDescent="0.25">
      <c r="Q913" s="328"/>
    </row>
    <row r="914" spans="17:17" x14ac:dyDescent="0.25">
      <c r="Q914" s="328"/>
    </row>
    <row r="915" spans="17:17" x14ac:dyDescent="0.25">
      <c r="Q915" s="328"/>
    </row>
    <row r="916" spans="17:17" x14ac:dyDescent="0.25">
      <c r="Q916" s="328"/>
    </row>
    <row r="917" spans="17:17" x14ac:dyDescent="0.25">
      <c r="Q917" s="328"/>
    </row>
    <row r="918" spans="17:17" x14ac:dyDescent="0.25">
      <c r="Q918" s="328"/>
    </row>
    <row r="919" spans="17:17" x14ac:dyDescent="0.25">
      <c r="Q919" s="328"/>
    </row>
    <row r="920" spans="17:17" x14ac:dyDescent="0.25">
      <c r="Q920" s="328"/>
    </row>
    <row r="921" spans="17:17" x14ac:dyDescent="0.25">
      <c r="Q921" s="328"/>
    </row>
    <row r="922" spans="17:17" x14ac:dyDescent="0.25">
      <c r="Q922" s="328"/>
    </row>
    <row r="923" spans="17:17" x14ac:dyDescent="0.25">
      <c r="Q923" s="328"/>
    </row>
    <row r="924" spans="17:17" x14ac:dyDescent="0.25">
      <c r="Q924" s="328"/>
    </row>
    <row r="925" spans="17:17" x14ac:dyDescent="0.25">
      <c r="Q925" s="328"/>
    </row>
    <row r="926" spans="17:17" x14ac:dyDescent="0.25">
      <c r="Q926" s="328"/>
    </row>
    <row r="927" spans="17:17" x14ac:dyDescent="0.25">
      <c r="Q927" s="328"/>
    </row>
    <row r="928" spans="17:17" x14ac:dyDescent="0.25">
      <c r="Q928" s="328"/>
    </row>
    <row r="929" spans="17:17" x14ac:dyDescent="0.25">
      <c r="Q929" s="328"/>
    </row>
    <row r="930" spans="17:17" x14ac:dyDescent="0.25">
      <c r="Q930" s="328"/>
    </row>
    <row r="931" spans="17:17" x14ac:dyDescent="0.25">
      <c r="Q931" s="328"/>
    </row>
    <row r="932" spans="17:17" x14ac:dyDescent="0.25">
      <c r="Q932" s="328"/>
    </row>
    <row r="933" spans="17:17" x14ac:dyDescent="0.25">
      <c r="Q933" s="328"/>
    </row>
    <row r="934" spans="17:17" x14ac:dyDescent="0.25">
      <c r="Q934" s="328"/>
    </row>
    <row r="935" spans="17:17" x14ac:dyDescent="0.25">
      <c r="Q935" s="328"/>
    </row>
    <row r="936" spans="17:17" x14ac:dyDescent="0.25">
      <c r="Q936" s="328"/>
    </row>
    <row r="937" spans="17:17" x14ac:dyDescent="0.25">
      <c r="Q937" s="328"/>
    </row>
    <row r="938" spans="17:17" x14ac:dyDescent="0.25">
      <c r="Q938" s="328"/>
    </row>
    <row r="939" spans="17:17" x14ac:dyDescent="0.25">
      <c r="Q939" s="328"/>
    </row>
    <row r="940" spans="17:17" x14ac:dyDescent="0.25">
      <c r="Q940" s="328"/>
    </row>
    <row r="941" spans="17:17" x14ac:dyDescent="0.25">
      <c r="Q941" s="328"/>
    </row>
    <row r="942" spans="17:17" x14ac:dyDescent="0.25">
      <c r="Q942" s="328"/>
    </row>
    <row r="943" spans="17:17" x14ac:dyDescent="0.25">
      <c r="Q943" s="328"/>
    </row>
    <row r="944" spans="17:17" x14ac:dyDescent="0.25">
      <c r="Q944" s="328"/>
    </row>
    <row r="945" spans="17:17" x14ac:dyDescent="0.25">
      <c r="Q945" s="328"/>
    </row>
    <row r="946" spans="17:17" x14ac:dyDescent="0.25">
      <c r="Q946" s="328"/>
    </row>
    <row r="947" spans="17:17" x14ac:dyDescent="0.25">
      <c r="Q947" s="328"/>
    </row>
    <row r="948" spans="17:17" x14ac:dyDescent="0.25">
      <c r="Q948" s="328"/>
    </row>
    <row r="949" spans="17:17" x14ac:dyDescent="0.25">
      <c r="Q949" s="328"/>
    </row>
    <row r="950" spans="17:17" x14ac:dyDescent="0.25">
      <c r="Q950" s="328"/>
    </row>
    <row r="951" spans="17:17" x14ac:dyDescent="0.25">
      <c r="Q951" s="328"/>
    </row>
    <row r="952" spans="17:17" x14ac:dyDescent="0.25">
      <c r="Q952" s="328"/>
    </row>
    <row r="953" spans="17:17" x14ac:dyDescent="0.25">
      <c r="Q953" s="328"/>
    </row>
    <row r="954" spans="17:17" x14ac:dyDescent="0.25">
      <c r="Q954" s="328"/>
    </row>
    <row r="955" spans="17:17" x14ac:dyDescent="0.25">
      <c r="Q955" s="328"/>
    </row>
    <row r="956" spans="17:17" x14ac:dyDescent="0.25">
      <c r="Q956" s="328"/>
    </row>
    <row r="957" spans="17:17" x14ac:dyDescent="0.25">
      <c r="Q957" s="328"/>
    </row>
    <row r="958" spans="17:17" x14ac:dyDescent="0.25">
      <c r="Q958" s="328"/>
    </row>
    <row r="959" spans="17:17" x14ac:dyDescent="0.25">
      <c r="Q959" s="328"/>
    </row>
    <row r="960" spans="17:17" x14ac:dyDescent="0.25">
      <c r="Q960" s="328"/>
    </row>
    <row r="961" spans="17:17" x14ac:dyDescent="0.25">
      <c r="Q961" s="328"/>
    </row>
    <row r="962" spans="17:17" x14ac:dyDescent="0.25">
      <c r="Q962" s="328"/>
    </row>
    <row r="963" spans="17:17" x14ac:dyDescent="0.25">
      <c r="Q963" s="328"/>
    </row>
    <row r="964" spans="17:17" x14ac:dyDescent="0.25">
      <c r="Q964" s="328"/>
    </row>
    <row r="965" spans="17:17" x14ac:dyDescent="0.25">
      <c r="Q965" s="328"/>
    </row>
    <row r="966" spans="17:17" x14ac:dyDescent="0.25">
      <c r="Q966" s="328"/>
    </row>
    <row r="967" spans="17:17" x14ac:dyDescent="0.25">
      <c r="Q967" s="328"/>
    </row>
    <row r="968" spans="17:17" x14ac:dyDescent="0.25">
      <c r="Q968" s="328"/>
    </row>
    <row r="969" spans="17:17" x14ac:dyDescent="0.25">
      <c r="Q969" s="328"/>
    </row>
    <row r="970" spans="17:17" x14ac:dyDescent="0.25">
      <c r="Q970" s="328"/>
    </row>
    <row r="971" spans="17:17" x14ac:dyDescent="0.25">
      <c r="Q971" s="328"/>
    </row>
    <row r="972" spans="17:17" x14ac:dyDescent="0.25">
      <c r="Q972" s="328"/>
    </row>
    <row r="973" spans="17:17" x14ac:dyDescent="0.25">
      <c r="Q973" s="328"/>
    </row>
    <row r="974" spans="17:17" x14ac:dyDescent="0.25">
      <c r="Q974" s="328"/>
    </row>
    <row r="975" spans="17:17" x14ac:dyDescent="0.25">
      <c r="Q975" s="328"/>
    </row>
    <row r="976" spans="17:17" x14ac:dyDescent="0.25">
      <c r="Q976" s="328"/>
    </row>
    <row r="977" spans="17:17" x14ac:dyDescent="0.25">
      <c r="Q977" s="328"/>
    </row>
    <row r="978" spans="17:17" x14ac:dyDescent="0.25">
      <c r="Q978" s="328"/>
    </row>
    <row r="979" spans="17:17" x14ac:dyDescent="0.25">
      <c r="Q979" s="328"/>
    </row>
    <row r="980" spans="17:17" x14ac:dyDescent="0.25">
      <c r="Q980" s="328"/>
    </row>
    <row r="981" spans="17:17" x14ac:dyDescent="0.25">
      <c r="Q981" s="328"/>
    </row>
    <row r="982" spans="17:17" x14ac:dyDescent="0.25">
      <c r="Q982" s="328"/>
    </row>
    <row r="983" spans="17:17" x14ac:dyDescent="0.25">
      <c r="Q983" s="328"/>
    </row>
    <row r="984" spans="17:17" x14ac:dyDescent="0.25">
      <c r="Q984" s="328"/>
    </row>
    <row r="985" spans="17:17" x14ac:dyDescent="0.25">
      <c r="Q985" s="328"/>
    </row>
    <row r="986" spans="17:17" x14ac:dyDescent="0.25">
      <c r="Q986" s="328"/>
    </row>
    <row r="987" spans="17:17" x14ac:dyDescent="0.25">
      <c r="Q987" s="328"/>
    </row>
    <row r="988" spans="17:17" x14ac:dyDescent="0.25">
      <c r="Q988" s="328"/>
    </row>
    <row r="989" spans="17:17" x14ac:dyDescent="0.25">
      <c r="Q989" s="328"/>
    </row>
    <row r="990" spans="17:17" x14ac:dyDescent="0.25">
      <c r="Q990" s="328"/>
    </row>
    <row r="991" spans="17:17" x14ac:dyDescent="0.25">
      <c r="Q991" s="328"/>
    </row>
    <row r="992" spans="17:17" x14ac:dyDescent="0.25">
      <c r="Q992" s="328"/>
    </row>
    <row r="993" spans="17:17" x14ac:dyDescent="0.25">
      <c r="Q993" s="328"/>
    </row>
    <row r="994" spans="17:17" x14ac:dyDescent="0.25">
      <c r="Q994" s="328"/>
    </row>
    <row r="995" spans="17:17" x14ac:dyDescent="0.25">
      <c r="Q995" s="328"/>
    </row>
    <row r="996" spans="17:17" x14ac:dyDescent="0.25">
      <c r="Q996" s="328"/>
    </row>
    <row r="997" spans="17:17" x14ac:dyDescent="0.25">
      <c r="Q997" s="328"/>
    </row>
    <row r="998" spans="17:17" x14ac:dyDescent="0.25">
      <c r="Q998" s="328"/>
    </row>
    <row r="999" spans="17:17" x14ac:dyDescent="0.25">
      <c r="Q999" s="328"/>
    </row>
    <row r="1000" spans="17:17" x14ac:dyDescent="0.25">
      <c r="Q1000" s="328"/>
    </row>
    <row r="1001" spans="17:17" x14ac:dyDescent="0.25">
      <c r="Q1001" s="328"/>
    </row>
    <row r="1002" spans="17:17" x14ac:dyDescent="0.25">
      <c r="Q1002" s="328"/>
    </row>
    <row r="1003" spans="17:17" x14ac:dyDescent="0.25">
      <c r="Q1003" s="328"/>
    </row>
    <row r="1004" spans="17:17" x14ac:dyDescent="0.25">
      <c r="Q1004" s="328"/>
    </row>
    <row r="1005" spans="17:17" x14ac:dyDescent="0.25">
      <c r="Q1005" s="328"/>
    </row>
    <row r="1006" spans="17:17" x14ac:dyDescent="0.25">
      <c r="Q1006" s="328"/>
    </row>
    <row r="1007" spans="17:17" x14ac:dyDescent="0.25">
      <c r="Q1007" s="328"/>
    </row>
    <row r="1008" spans="17:17" x14ac:dyDescent="0.25">
      <c r="Q1008" s="328"/>
    </row>
    <row r="1009" spans="17:17" x14ac:dyDescent="0.25">
      <c r="Q1009" s="328"/>
    </row>
    <row r="1010" spans="17:17" x14ac:dyDescent="0.25">
      <c r="Q1010" s="328"/>
    </row>
    <row r="1011" spans="17:17" x14ac:dyDescent="0.25">
      <c r="Q1011" s="328"/>
    </row>
    <row r="1012" spans="17:17" x14ac:dyDescent="0.25">
      <c r="Q1012" s="328"/>
    </row>
    <row r="1013" spans="17:17" x14ac:dyDescent="0.25">
      <c r="Q1013" s="328"/>
    </row>
    <row r="1014" spans="17:17" x14ac:dyDescent="0.25">
      <c r="Q1014" s="328"/>
    </row>
    <row r="1015" spans="17:17" x14ac:dyDescent="0.25">
      <c r="Q1015" s="328"/>
    </row>
    <row r="1016" spans="17:17" x14ac:dyDescent="0.25">
      <c r="Q1016" s="328"/>
    </row>
    <row r="1017" spans="17:17" x14ac:dyDescent="0.25">
      <c r="Q1017" s="328"/>
    </row>
    <row r="1018" spans="17:17" x14ac:dyDescent="0.25">
      <c r="Q1018" s="328"/>
    </row>
    <row r="1019" spans="17:17" x14ac:dyDescent="0.25">
      <c r="Q1019" s="328"/>
    </row>
    <row r="1020" spans="17:17" x14ac:dyDescent="0.25">
      <c r="Q1020" s="328"/>
    </row>
    <row r="1021" spans="17:17" x14ac:dyDescent="0.25">
      <c r="Q1021" s="328"/>
    </row>
    <row r="1022" spans="17:17" x14ac:dyDescent="0.25">
      <c r="Q1022" s="328"/>
    </row>
    <row r="1023" spans="17:17" x14ac:dyDescent="0.25">
      <c r="Q1023" s="328"/>
    </row>
    <row r="1024" spans="17:17" x14ac:dyDescent="0.25">
      <c r="Q1024" s="328"/>
    </row>
    <row r="1025" spans="17:17" x14ac:dyDescent="0.25">
      <c r="Q1025" s="328"/>
    </row>
    <row r="1026" spans="17:17" x14ac:dyDescent="0.25">
      <c r="Q1026" s="328"/>
    </row>
    <row r="1027" spans="17:17" x14ac:dyDescent="0.25">
      <c r="Q1027" s="328"/>
    </row>
    <row r="1028" spans="17:17" x14ac:dyDescent="0.25">
      <c r="Q1028" s="328"/>
    </row>
    <row r="1029" spans="17:17" x14ac:dyDescent="0.25">
      <c r="Q1029" s="328"/>
    </row>
    <row r="1030" spans="17:17" x14ac:dyDescent="0.25">
      <c r="Q1030" s="328"/>
    </row>
    <row r="1031" spans="17:17" x14ac:dyDescent="0.25">
      <c r="Q1031" s="328"/>
    </row>
    <row r="1032" spans="17:17" x14ac:dyDescent="0.25">
      <c r="Q1032" s="328"/>
    </row>
    <row r="1033" spans="17:17" x14ac:dyDescent="0.25">
      <c r="Q1033" s="328"/>
    </row>
    <row r="1034" spans="17:17" x14ac:dyDescent="0.25">
      <c r="Q1034" s="328"/>
    </row>
    <row r="1035" spans="17:17" x14ac:dyDescent="0.25">
      <c r="Q1035" s="328"/>
    </row>
    <row r="1036" spans="17:17" x14ac:dyDescent="0.25">
      <c r="Q1036" s="328"/>
    </row>
    <row r="1037" spans="17:17" x14ac:dyDescent="0.25">
      <c r="Q1037" s="328"/>
    </row>
    <row r="1038" spans="17:17" x14ac:dyDescent="0.25">
      <c r="Q1038" s="328"/>
    </row>
    <row r="1039" spans="17:17" x14ac:dyDescent="0.25">
      <c r="Q1039" s="328"/>
    </row>
    <row r="1040" spans="17:17" x14ac:dyDescent="0.25">
      <c r="Q1040" s="328"/>
    </row>
    <row r="1041" spans="17:17" x14ac:dyDescent="0.25">
      <c r="Q1041" s="328"/>
    </row>
    <row r="1042" spans="17:17" x14ac:dyDescent="0.25">
      <c r="Q1042" s="328"/>
    </row>
    <row r="1043" spans="17:17" x14ac:dyDescent="0.25">
      <c r="Q1043" s="328"/>
    </row>
    <row r="1044" spans="17:17" x14ac:dyDescent="0.25">
      <c r="Q1044" s="328"/>
    </row>
    <row r="1045" spans="17:17" x14ac:dyDescent="0.25">
      <c r="Q1045" s="328"/>
    </row>
    <row r="1046" spans="17:17" x14ac:dyDescent="0.25">
      <c r="Q1046" s="328"/>
    </row>
    <row r="1047" spans="17:17" x14ac:dyDescent="0.25">
      <c r="Q1047" s="328"/>
    </row>
    <row r="1048" spans="17:17" x14ac:dyDescent="0.25">
      <c r="Q1048" s="328"/>
    </row>
    <row r="1049" spans="17:17" x14ac:dyDescent="0.25">
      <c r="Q1049" s="328"/>
    </row>
    <row r="1050" spans="17:17" x14ac:dyDescent="0.25">
      <c r="Q1050" s="328"/>
    </row>
    <row r="1051" spans="17:17" x14ac:dyDescent="0.25">
      <c r="Q1051" s="328"/>
    </row>
    <row r="1052" spans="17:17" x14ac:dyDescent="0.25">
      <c r="Q1052" s="328"/>
    </row>
    <row r="1053" spans="17:17" x14ac:dyDescent="0.25">
      <c r="Q1053" s="328"/>
    </row>
    <row r="1054" spans="17:17" x14ac:dyDescent="0.25">
      <c r="Q1054" s="328"/>
    </row>
    <row r="1055" spans="17:17" x14ac:dyDescent="0.25">
      <c r="Q1055" s="328"/>
    </row>
    <row r="1056" spans="17:17" x14ac:dyDescent="0.25">
      <c r="Q1056" s="328"/>
    </row>
    <row r="1057" spans="17:17" x14ac:dyDescent="0.25">
      <c r="Q1057" s="328"/>
    </row>
    <row r="1058" spans="17:17" x14ac:dyDescent="0.25">
      <c r="Q1058" s="328"/>
    </row>
    <row r="1059" spans="17:17" x14ac:dyDescent="0.25">
      <c r="Q1059" s="328"/>
    </row>
    <row r="1060" spans="17:17" x14ac:dyDescent="0.25">
      <c r="Q1060" s="328"/>
    </row>
    <row r="1061" spans="17:17" x14ac:dyDescent="0.25">
      <c r="Q1061" s="328"/>
    </row>
    <row r="1062" spans="17:17" x14ac:dyDescent="0.25">
      <c r="Q1062" s="328"/>
    </row>
    <row r="1063" spans="17:17" x14ac:dyDescent="0.25">
      <c r="Q1063" s="328"/>
    </row>
    <row r="1064" spans="17:17" x14ac:dyDescent="0.25">
      <c r="Q1064" s="328"/>
    </row>
    <row r="1065" spans="17:17" x14ac:dyDescent="0.25">
      <c r="Q1065" s="328"/>
    </row>
    <row r="1066" spans="17:17" x14ac:dyDescent="0.25">
      <c r="Q1066" s="328"/>
    </row>
    <row r="1067" spans="17:17" x14ac:dyDescent="0.25">
      <c r="Q1067" s="328"/>
    </row>
    <row r="1068" spans="17:17" x14ac:dyDescent="0.25">
      <c r="Q1068" s="328"/>
    </row>
    <row r="1069" spans="17:17" x14ac:dyDescent="0.25">
      <c r="Q1069" s="328"/>
    </row>
    <row r="1070" spans="17:17" x14ac:dyDescent="0.25">
      <c r="Q1070" s="328"/>
    </row>
    <row r="1071" spans="17:17" x14ac:dyDescent="0.25">
      <c r="Q1071" s="328"/>
    </row>
    <row r="1072" spans="17:17" x14ac:dyDescent="0.25">
      <c r="Q1072" s="328"/>
    </row>
    <row r="1073" spans="17:17" x14ac:dyDescent="0.25">
      <c r="Q1073" s="328"/>
    </row>
    <row r="1074" spans="17:17" x14ac:dyDescent="0.25">
      <c r="Q1074" s="328"/>
    </row>
    <row r="1075" spans="17:17" x14ac:dyDescent="0.25">
      <c r="Q1075" s="328"/>
    </row>
    <row r="1076" spans="17:17" x14ac:dyDescent="0.25">
      <c r="Q1076" s="328"/>
    </row>
    <row r="1077" spans="17:17" x14ac:dyDescent="0.25">
      <c r="Q1077" s="328"/>
    </row>
    <row r="1078" spans="17:17" x14ac:dyDescent="0.25">
      <c r="Q1078" s="328"/>
    </row>
    <row r="1079" spans="17:17" x14ac:dyDescent="0.25">
      <c r="Q1079" s="328"/>
    </row>
    <row r="1080" spans="17:17" x14ac:dyDescent="0.25">
      <c r="Q1080" s="328"/>
    </row>
    <row r="1081" spans="17:17" x14ac:dyDescent="0.25">
      <c r="Q1081" s="328"/>
    </row>
    <row r="1082" spans="17:17" x14ac:dyDescent="0.25">
      <c r="Q1082" s="328"/>
    </row>
    <row r="1083" spans="17:17" x14ac:dyDescent="0.25">
      <c r="Q1083" s="328"/>
    </row>
    <row r="1084" spans="17:17" x14ac:dyDescent="0.25">
      <c r="Q1084" s="328"/>
    </row>
    <row r="1085" spans="17:17" x14ac:dyDescent="0.25">
      <c r="Q1085" s="328"/>
    </row>
    <row r="1086" spans="17:17" x14ac:dyDescent="0.25">
      <c r="Q1086" s="328"/>
    </row>
    <row r="1087" spans="17:17" x14ac:dyDescent="0.25">
      <c r="Q1087" s="328"/>
    </row>
    <row r="1088" spans="17:17" x14ac:dyDescent="0.25">
      <c r="Q1088" s="328"/>
    </row>
    <row r="1089" spans="17:17" x14ac:dyDescent="0.25">
      <c r="Q1089" s="328"/>
    </row>
    <row r="1090" spans="17:17" x14ac:dyDescent="0.25">
      <c r="Q1090" s="328"/>
    </row>
    <row r="1091" spans="17:17" x14ac:dyDescent="0.25">
      <c r="Q1091" s="328"/>
    </row>
    <row r="1092" spans="17:17" x14ac:dyDescent="0.25">
      <c r="Q1092" s="328"/>
    </row>
    <row r="1093" spans="17:17" x14ac:dyDescent="0.25">
      <c r="Q1093" s="328"/>
    </row>
    <row r="1094" spans="17:17" x14ac:dyDescent="0.25">
      <c r="Q1094" s="328"/>
    </row>
    <row r="1095" spans="17:17" x14ac:dyDescent="0.25">
      <c r="Q1095" s="328"/>
    </row>
    <row r="1096" spans="17:17" x14ac:dyDescent="0.25">
      <c r="Q1096" s="328"/>
    </row>
    <row r="1097" spans="17:17" x14ac:dyDescent="0.25">
      <c r="Q1097" s="328"/>
    </row>
    <row r="1098" spans="17:17" x14ac:dyDescent="0.25">
      <c r="Q1098" s="328"/>
    </row>
    <row r="1099" spans="17:17" x14ac:dyDescent="0.25">
      <c r="Q1099" s="328"/>
    </row>
    <row r="1100" spans="17:17" x14ac:dyDescent="0.25">
      <c r="Q1100" s="328"/>
    </row>
    <row r="1101" spans="17:17" x14ac:dyDescent="0.25">
      <c r="Q1101" s="328"/>
    </row>
    <row r="1102" spans="17:17" x14ac:dyDescent="0.25">
      <c r="Q1102" s="328"/>
    </row>
    <row r="1103" spans="17:17" x14ac:dyDescent="0.25">
      <c r="Q1103" s="328"/>
    </row>
    <row r="1104" spans="17:17" x14ac:dyDescent="0.25">
      <c r="Q1104" s="328"/>
    </row>
    <row r="1105" spans="17:17" x14ac:dyDescent="0.25">
      <c r="Q1105" s="328"/>
    </row>
    <row r="1106" spans="17:17" x14ac:dyDescent="0.25">
      <c r="Q1106" s="328"/>
    </row>
    <row r="1107" spans="17:17" x14ac:dyDescent="0.25">
      <c r="Q1107" s="328"/>
    </row>
    <row r="1108" spans="17:17" x14ac:dyDescent="0.25">
      <c r="Q1108" s="328"/>
    </row>
    <row r="1109" spans="17:17" x14ac:dyDescent="0.25">
      <c r="Q1109" s="328"/>
    </row>
    <row r="1110" spans="17:17" x14ac:dyDescent="0.25">
      <c r="Q1110" s="328"/>
    </row>
    <row r="1111" spans="17:17" x14ac:dyDescent="0.25">
      <c r="Q1111" s="328"/>
    </row>
    <row r="1112" spans="17:17" x14ac:dyDescent="0.25">
      <c r="Q1112" s="328"/>
    </row>
    <row r="1113" spans="17:17" x14ac:dyDescent="0.25">
      <c r="Q1113" s="328"/>
    </row>
    <row r="1114" spans="17:17" x14ac:dyDescent="0.25">
      <c r="Q1114" s="328"/>
    </row>
    <row r="1115" spans="17:17" x14ac:dyDescent="0.25">
      <c r="Q1115" s="328"/>
    </row>
    <row r="1116" spans="17:17" x14ac:dyDescent="0.25">
      <c r="Q1116" s="328"/>
    </row>
    <row r="1117" spans="17:17" x14ac:dyDescent="0.25">
      <c r="Q1117" s="328"/>
    </row>
    <row r="1118" spans="17:17" x14ac:dyDescent="0.25">
      <c r="Q1118" s="328"/>
    </row>
    <row r="1119" spans="17:17" x14ac:dyDescent="0.25">
      <c r="Q1119" s="328"/>
    </row>
    <row r="1120" spans="17:17" x14ac:dyDescent="0.25">
      <c r="Q1120" s="328"/>
    </row>
    <row r="1121" spans="17:17" x14ac:dyDescent="0.25">
      <c r="Q1121" s="328"/>
    </row>
    <row r="1122" spans="17:17" x14ac:dyDescent="0.25">
      <c r="Q1122" s="328"/>
    </row>
    <row r="1123" spans="17:17" x14ac:dyDescent="0.25">
      <c r="Q1123" s="328"/>
    </row>
    <row r="1124" spans="17:17" x14ac:dyDescent="0.25">
      <c r="Q1124" s="328"/>
    </row>
    <row r="1125" spans="17:17" x14ac:dyDescent="0.25">
      <c r="Q1125" s="328"/>
    </row>
    <row r="1126" spans="17:17" x14ac:dyDescent="0.25">
      <c r="Q1126" s="328"/>
    </row>
    <row r="1127" spans="17:17" x14ac:dyDescent="0.25">
      <c r="Q1127" s="328"/>
    </row>
    <row r="1128" spans="17:17" x14ac:dyDescent="0.25">
      <c r="Q1128" s="328"/>
    </row>
    <row r="1129" spans="17:17" x14ac:dyDescent="0.25">
      <c r="Q1129" s="328"/>
    </row>
    <row r="1130" spans="17:17" x14ac:dyDescent="0.25">
      <c r="Q1130" s="328"/>
    </row>
    <row r="1131" spans="17:17" x14ac:dyDescent="0.25">
      <c r="Q1131" s="328"/>
    </row>
    <row r="1132" spans="17:17" x14ac:dyDescent="0.25">
      <c r="Q1132" s="328"/>
    </row>
    <row r="1133" spans="17:17" x14ac:dyDescent="0.25">
      <c r="Q1133" s="328"/>
    </row>
    <row r="1134" spans="17:17" x14ac:dyDescent="0.25">
      <c r="Q1134" s="328"/>
    </row>
    <row r="1135" spans="17:17" x14ac:dyDescent="0.25">
      <c r="Q1135" s="328"/>
    </row>
    <row r="1136" spans="17:17" x14ac:dyDescent="0.25">
      <c r="Q1136" s="328"/>
    </row>
    <row r="1137" spans="17:17" x14ac:dyDescent="0.25">
      <c r="Q1137" s="328"/>
    </row>
    <row r="1138" spans="17:17" x14ac:dyDescent="0.25">
      <c r="Q1138" s="328"/>
    </row>
    <row r="1139" spans="17:17" x14ac:dyDescent="0.25">
      <c r="Q1139" s="328"/>
    </row>
    <row r="1140" spans="17:17" x14ac:dyDescent="0.25">
      <c r="Q1140" s="328"/>
    </row>
    <row r="1141" spans="17:17" x14ac:dyDescent="0.25">
      <c r="Q1141" s="328"/>
    </row>
    <row r="1142" spans="17:17" x14ac:dyDescent="0.25">
      <c r="Q1142" s="328"/>
    </row>
    <row r="1143" spans="17:17" x14ac:dyDescent="0.25">
      <c r="Q1143" s="328"/>
    </row>
    <row r="1144" spans="17:17" x14ac:dyDescent="0.25">
      <c r="Q1144" s="328"/>
    </row>
    <row r="1145" spans="17:17" x14ac:dyDescent="0.25">
      <c r="Q1145" s="328"/>
    </row>
    <row r="1146" spans="17:17" x14ac:dyDescent="0.25">
      <c r="Q1146" s="328"/>
    </row>
    <row r="1147" spans="17:17" x14ac:dyDescent="0.25">
      <c r="Q1147" s="328"/>
    </row>
    <row r="1148" spans="17:17" x14ac:dyDescent="0.25">
      <c r="Q1148" s="328"/>
    </row>
    <row r="1149" spans="17:17" x14ac:dyDescent="0.25">
      <c r="Q1149" s="328"/>
    </row>
    <row r="1150" spans="17:17" x14ac:dyDescent="0.25">
      <c r="Q1150" s="328"/>
    </row>
    <row r="1151" spans="17:17" x14ac:dyDescent="0.25">
      <c r="Q1151" s="328"/>
    </row>
    <row r="1152" spans="17:17" x14ac:dyDescent="0.25">
      <c r="Q1152" s="328"/>
    </row>
    <row r="1153" spans="17:17" x14ac:dyDescent="0.25">
      <c r="Q1153" s="328"/>
    </row>
    <row r="1154" spans="17:17" x14ac:dyDescent="0.25">
      <c r="Q1154" s="328"/>
    </row>
    <row r="1155" spans="17:17" x14ac:dyDescent="0.25">
      <c r="Q1155" s="328"/>
    </row>
    <row r="1156" spans="17:17" x14ac:dyDescent="0.25">
      <c r="Q1156" s="328"/>
    </row>
    <row r="1157" spans="17:17" x14ac:dyDescent="0.25">
      <c r="Q1157" s="328"/>
    </row>
    <row r="1158" spans="17:17" x14ac:dyDescent="0.25">
      <c r="Q1158" s="328"/>
    </row>
    <row r="1159" spans="17:17" x14ac:dyDescent="0.25">
      <c r="Q1159" s="328"/>
    </row>
    <row r="1160" spans="17:17" x14ac:dyDescent="0.25">
      <c r="Q1160" s="328"/>
    </row>
    <row r="1161" spans="17:17" x14ac:dyDescent="0.25">
      <c r="Q1161" s="328"/>
    </row>
    <row r="1162" spans="17:17" x14ac:dyDescent="0.25">
      <c r="Q1162" s="328"/>
    </row>
    <row r="1163" spans="17:17" x14ac:dyDescent="0.25">
      <c r="Q1163" s="328"/>
    </row>
    <row r="1164" spans="17:17" x14ac:dyDescent="0.25">
      <c r="Q1164" s="328"/>
    </row>
    <row r="1165" spans="17:17" x14ac:dyDescent="0.25">
      <c r="Q1165" s="328"/>
    </row>
    <row r="1166" spans="17:17" x14ac:dyDescent="0.25">
      <c r="Q1166" s="328"/>
    </row>
    <row r="1167" spans="17:17" x14ac:dyDescent="0.25">
      <c r="Q1167" s="328"/>
    </row>
    <row r="1168" spans="17:17" x14ac:dyDescent="0.25">
      <c r="Q1168" s="328"/>
    </row>
    <row r="1169" spans="17:17" x14ac:dyDescent="0.25">
      <c r="Q1169" s="328"/>
    </row>
    <row r="1170" spans="17:17" x14ac:dyDescent="0.25">
      <c r="Q1170" s="328"/>
    </row>
    <row r="1171" spans="17:17" x14ac:dyDescent="0.25">
      <c r="Q1171" s="328"/>
    </row>
    <row r="1172" spans="17:17" x14ac:dyDescent="0.25">
      <c r="Q1172" s="328"/>
    </row>
    <row r="1173" spans="17:17" x14ac:dyDescent="0.25">
      <c r="Q1173" s="328"/>
    </row>
    <row r="1174" spans="17:17" x14ac:dyDescent="0.25">
      <c r="Q1174" s="328"/>
    </row>
    <row r="1175" spans="17:17" x14ac:dyDescent="0.25">
      <c r="Q1175" s="328"/>
    </row>
    <row r="1176" spans="17:17" x14ac:dyDescent="0.25">
      <c r="Q1176" s="328"/>
    </row>
    <row r="1177" spans="17:17" x14ac:dyDescent="0.25">
      <c r="Q1177" s="328"/>
    </row>
    <row r="1178" spans="17:17" x14ac:dyDescent="0.25">
      <c r="Q1178" s="328"/>
    </row>
    <row r="1179" spans="17:17" x14ac:dyDescent="0.25">
      <c r="Q1179" s="328"/>
    </row>
    <row r="1180" spans="17:17" x14ac:dyDescent="0.25">
      <c r="Q1180" s="328"/>
    </row>
    <row r="1181" spans="17:17" x14ac:dyDescent="0.25">
      <c r="Q1181" s="328"/>
    </row>
    <row r="1182" spans="17:17" x14ac:dyDescent="0.25">
      <c r="Q1182" s="328"/>
    </row>
    <row r="1183" spans="17:17" x14ac:dyDescent="0.25">
      <c r="Q1183" s="328"/>
    </row>
    <row r="1184" spans="17:17" x14ac:dyDescent="0.25">
      <c r="Q1184" s="328"/>
    </row>
    <row r="1185" spans="17:17" x14ac:dyDescent="0.25">
      <c r="Q1185" s="328"/>
    </row>
    <row r="1186" spans="17:17" x14ac:dyDescent="0.25">
      <c r="Q1186" s="328"/>
    </row>
    <row r="1187" spans="17:17" x14ac:dyDescent="0.25">
      <c r="Q1187" s="328"/>
    </row>
    <row r="1188" spans="17:17" x14ac:dyDescent="0.25">
      <c r="Q1188" s="328"/>
    </row>
    <row r="1189" spans="17:17" x14ac:dyDescent="0.25">
      <c r="Q1189" s="328"/>
    </row>
    <row r="1190" spans="17:17" x14ac:dyDescent="0.25">
      <c r="Q1190" s="328"/>
    </row>
    <row r="1191" spans="17:17" x14ac:dyDescent="0.25">
      <c r="Q1191" s="328"/>
    </row>
    <row r="1192" spans="17:17" x14ac:dyDescent="0.25">
      <c r="Q1192" s="328"/>
    </row>
    <row r="1193" spans="17:17" x14ac:dyDescent="0.25">
      <c r="Q1193" s="328"/>
    </row>
    <row r="1194" spans="17:17" x14ac:dyDescent="0.25">
      <c r="Q1194" s="328"/>
    </row>
    <row r="1195" spans="17:17" x14ac:dyDescent="0.25">
      <c r="Q1195" s="328"/>
    </row>
    <row r="1196" spans="17:17" x14ac:dyDescent="0.25">
      <c r="Q1196" s="328"/>
    </row>
    <row r="1197" spans="17:17" x14ac:dyDescent="0.25">
      <c r="Q1197" s="328"/>
    </row>
    <row r="1198" spans="17:17" x14ac:dyDescent="0.25">
      <c r="Q1198" s="328"/>
    </row>
    <row r="1199" spans="17:17" x14ac:dyDescent="0.25">
      <c r="Q1199" s="328"/>
    </row>
    <row r="1200" spans="17:17" x14ac:dyDescent="0.25">
      <c r="Q1200" s="328"/>
    </row>
    <row r="1201" spans="17:17" x14ac:dyDescent="0.25">
      <c r="Q1201" s="328"/>
    </row>
    <row r="1202" spans="17:17" x14ac:dyDescent="0.25">
      <c r="Q1202" s="328"/>
    </row>
    <row r="1203" spans="17:17" x14ac:dyDescent="0.25">
      <c r="Q1203" s="328"/>
    </row>
    <row r="1204" spans="17:17" x14ac:dyDescent="0.25">
      <c r="Q1204" s="328"/>
    </row>
    <row r="1205" spans="17:17" x14ac:dyDescent="0.25">
      <c r="Q1205" s="328"/>
    </row>
    <row r="1206" spans="17:17" x14ac:dyDescent="0.25">
      <c r="Q1206" s="328"/>
    </row>
    <row r="1207" spans="17:17" x14ac:dyDescent="0.25">
      <c r="Q1207" s="328"/>
    </row>
    <row r="1208" spans="17:17" x14ac:dyDescent="0.25">
      <c r="Q1208" s="328"/>
    </row>
    <row r="1209" spans="17:17" x14ac:dyDescent="0.25">
      <c r="Q1209" s="328"/>
    </row>
    <row r="1210" spans="17:17" x14ac:dyDescent="0.25">
      <c r="Q1210" s="328"/>
    </row>
    <row r="1211" spans="17:17" x14ac:dyDescent="0.25">
      <c r="Q1211" s="328"/>
    </row>
    <row r="1212" spans="17:17" x14ac:dyDescent="0.25">
      <c r="Q1212" s="328"/>
    </row>
    <row r="1213" spans="17:17" x14ac:dyDescent="0.25">
      <c r="Q1213" s="328"/>
    </row>
    <row r="1214" spans="17:17" x14ac:dyDescent="0.25">
      <c r="Q1214" s="328"/>
    </row>
    <row r="1215" spans="17:17" x14ac:dyDescent="0.25">
      <c r="Q1215" s="328"/>
    </row>
    <row r="1216" spans="17:17" x14ac:dyDescent="0.25">
      <c r="Q1216" s="328"/>
    </row>
    <row r="1217" spans="17:17" x14ac:dyDescent="0.25">
      <c r="Q1217" s="328"/>
    </row>
    <row r="1218" spans="17:17" x14ac:dyDescent="0.25">
      <c r="Q1218" s="328"/>
    </row>
    <row r="1219" spans="17:17" x14ac:dyDescent="0.25">
      <c r="Q1219" s="328"/>
    </row>
    <row r="1220" spans="17:17" x14ac:dyDescent="0.25">
      <c r="Q1220" s="328"/>
    </row>
    <row r="1221" spans="17:17" x14ac:dyDescent="0.25">
      <c r="Q1221" s="328"/>
    </row>
    <row r="1222" spans="17:17" x14ac:dyDescent="0.25">
      <c r="Q1222" s="328"/>
    </row>
    <row r="1223" spans="17:17" x14ac:dyDescent="0.25">
      <c r="Q1223" s="328"/>
    </row>
    <row r="1224" spans="17:17" x14ac:dyDescent="0.25">
      <c r="Q1224" s="328"/>
    </row>
    <row r="1225" spans="17:17" x14ac:dyDescent="0.25">
      <c r="Q1225" s="328"/>
    </row>
    <row r="1226" spans="17:17" x14ac:dyDescent="0.25">
      <c r="Q1226" s="328"/>
    </row>
    <row r="1227" spans="17:17" x14ac:dyDescent="0.25">
      <c r="Q1227" s="328"/>
    </row>
    <row r="1228" spans="17:17" x14ac:dyDescent="0.25">
      <c r="Q1228" s="328"/>
    </row>
    <row r="1229" spans="17:17" x14ac:dyDescent="0.25">
      <c r="Q1229" s="328"/>
    </row>
    <row r="1230" spans="17:17" x14ac:dyDescent="0.25">
      <c r="Q1230" s="328"/>
    </row>
    <row r="1231" spans="17:17" x14ac:dyDescent="0.25">
      <c r="Q1231" s="328"/>
    </row>
    <row r="1232" spans="17:17" x14ac:dyDescent="0.25">
      <c r="Q1232" s="328"/>
    </row>
    <row r="1233" spans="17:17" x14ac:dyDescent="0.25">
      <c r="Q1233" s="328"/>
    </row>
    <row r="1234" spans="17:17" x14ac:dyDescent="0.25">
      <c r="Q1234" s="328"/>
    </row>
    <row r="1235" spans="17:17" x14ac:dyDescent="0.25">
      <c r="Q1235" s="328"/>
    </row>
    <row r="1236" spans="17:17" x14ac:dyDescent="0.25">
      <c r="Q1236" s="328"/>
    </row>
    <row r="1237" spans="17:17" x14ac:dyDescent="0.25">
      <c r="Q1237" s="328"/>
    </row>
    <row r="1238" spans="17:17" x14ac:dyDescent="0.25">
      <c r="Q1238" s="328"/>
    </row>
    <row r="1239" spans="17:17" x14ac:dyDescent="0.25">
      <c r="Q1239" s="328"/>
    </row>
    <row r="1240" spans="17:17" x14ac:dyDescent="0.25">
      <c r="Q1240" s="328"/>
    </row>
    <row r="1241" spans="17:17" x14ac:dyDescent="0.25">
      <c r="Q1241" s="328"/>
    </row>
    <row r="1242" spans="17:17" x14ac:dyDescent="0.25">
      <c r="Q1242" s="328"/>
    </row>
    <row r="1243" spans="17:17" x14ac:dyDescent="0.25">
      <c r="Q1243" s="328"/>
    </row>
    <row r="1244" spans="17:17" x14ac:dyDescent="0.25">
      <c r="Q1244" s="328"/>
    </row>
    <row r="1245" spans="17:17" x14ac:dyDescent="0.25">
      <c r="Q1245" s="328"/>
    </row>
    <row r="1246" spans="17:17" x14ac:dyDescent="0.25">
      <c r="Q1246" s="328"/>
    </row>
    <row r="1247" spans="17:17" x14ac:dyDescent="0.25">
      <c r="Q1247" s="328"/>
    </row>
    <row r="1248" spans="17:17" x14ac:dyDescent="0.25">
      <c r="Q1248" s="328"/>
    </row>
    <row r="1249" spans="17:17" x14ac:dyDescent="0.25">
      <c r="Q1249" s="328"/>
    </row>
    <row r="1250" spans="17:17" x14ac:dyDescent="0.25">
      <c r="Q1250" s="328"/>
    </row>
    <row r="1251" spans="17:17" x14ac:dyDescent="0.25">
      <c r="Q1251" s="328"/>
    </row>
    <row r="1252" spans="17:17" x14ac:dyDescent="0.25">
      <c r="Q1252" s="328"/>
    </row>
    <row r="1253" spans="17:17" x14ac:dyDescent="0.25">
      <c r="Q1253" s="328"/>
    </row>
    <row r="1254" spans="17:17" x14ac:dyDescent="0.25">
      <c r="Q1254" s="328"/>
    </row>
    <row r="1255" spans="17:17" x14ac:dyDescent="0.25">
      <c r="Q1255" s="328"/>
    </row>
    <row r="1256" spans="17:17" x14ac:dyDescent="0.25">
      <c r="Q1256" s="328"/>
    </row>
    <row r="1257" spans="17:17" x14ac:dyDescent="0.25">
      <c r="Q1257" s="328"/>
    </row>
    <row r="1258" spans="17:17" x14ac:dyDescent="0.25">
      <c r="Q1258" s="328"/>
    </row>
    <row r="1259" spans="17:17" x14ac:dyDescent="0.25">
      <c r="Q1259" s="328"/>
    </row>
    <row r="1260" spans="17:17" x14ac:dyDescent="0.25">
      <c r="Q1260" s="328"/>
    </row>
    <row r="1261" spans="17:17" x14ac:dyDescent="0.25">
      <c r="Q1261" s="328"/>
    </row>
    <row r="1262" spans="17:17" x14ac:dyDescent="0.25">
      <c r="Q1262" s="328"/>
    </row>
    <row r="1263" spans="17:17" x14ac:dyDescent="0.25">
      <c r="Q1263" s="328"/>
    </row>
    <row r="1264" spans="17:17" x14ac:dyDescent="0.25">
      <c r="Q1264" s="328"/>
    </row>
    <row r="1265" spans="17:17" x14ac:dyDescent="0.25">
      <c r="Q1265" s="328"/>
    </row>
    <row r="1266" spans="17:17" x14ac:dyDescent="0.25">
      <c r="Q1266" s="328"/>
    </row>
    <row r="1267" spans="17:17" x14ac:dyDescent="0.25">
      <c r="Q1267" s="328"/>
    </row>
    <row r="1268" spans="17:17" x14ac:dyDescent="0.25">
      <c r="Q1268" s="328"/>
    </row>
    <row r="1269" spans="17:17" x14ac:dyDescent="0.25">
      <c r="Q1269" s="328"/>
    </row>
    <row r="1270" spans="17:17" x14ac:dyDescent="0.25">
      <c r="Q1270" s="328"/>
    </row>
    <row r="1271" spans="17:17" x14ac:dyDescent="0.25">
      <c r="Q1271" s="328"/>
    </row>
    <row r="1272" spans="17:17" x14ac:dyDescent="0.25">
      <c r="Q1272" s="328"/>
    </row>
    <row r="1273" spans="17:17" x14ac:dyDescent="0.25">
      <c r="Q1273" s="328"/>
    </row>
    <row r="1274" spans="17:17" x14ac:dyDescent="0.25">
      <c r="Q1274" s="328"/>
    </row>
    <row r="1275" spans="17:17" x14ac:dyDescent="0.25">
      <c r="Q1275" s="328"/>
    </row>
    <row r="1276" spans="17:17" x14ac:dyDescent="0.25">
      <c r="Q1276" s="328"/>
    </row>
    <row r="1277" spans="17:17" x14ac:dyDescent="0.25">
      <c r="Q1277" s="328"/>
    </row>
    <row r="1278" spans="17:17" x14ac:dyDescent="0.25">
      <c r="Q1278" s="328"/>
    </row>
    <row r="1279" spans="17:17" x14ac:dyDescent="0.25">
      <c r="Q1279" s="328"/>
    </row>
    <row r="1280" spans="17:17" x14ac:dyDescent="0.25">
      <c r="Q1280" s="328"/>
    </row>
    <row r="1281" spans="17:17" x14ac:dyDescent="0.25">
      <c r="Q1281" s="328"/>
    </row>
    <row r="1282" spans="17:17" x14ac:dyDescent="0.25">
      <c r="Q1282" s="328"/>
    </row>
    <row r="1283" spans="17:17" x14ac:dyDescent="0.25">
      <c r="Q1283" s="328"/>
    </row>
    <row r="1284" spans="17:17" x14ac:dyDescent="0.25">
      <c r="Q1284" s="328"/>
    </row>
    <row r="1285" spans="17:17" x14ac:dyDescent="0.25">
      <c r="Q1285" s="328"/>
    </row>
    <row r="1286" spans="17:17" x14ac:dyDescent="0.25">
      <c r="Q1286" s="328"/>
    </row>
    <row r="1287" spans="17:17" x14ac:dyDescent="0.25">
      <c r="Q1287" s="328"/>
    </row>
    <row r="1288" spans="17:17" x14ac:dyDescent="0.25">
      <c r="Q1288" s="328"/>
    </row>
    <row r="1289" spans="17:17" x14ac:dyDescent="0.25">
      <c r="Q1289" s="328"/>
    </row>
    <row r="1290" spans="17:17" x14ac:dyDescent="0.25">
      <c r="Q1290" s="328"/>
    </row>
    <row r="1291" spans="17:17" x14ac:dyDescent="0.25">
      <c r="Q1291" s="328"/>
    </row>
    <row r="1292" spans="17:17" x14ac:dyDescent="0.25">
      <c r="Q1292" s="328"/>
    </row>
    <row r="1293" spans="17:17" x14ac:dyDescent="0.25">
      <c r="Q1293" s="328"/>
    </row>
    <row r="1294" spans="17:17" x14ac:dyDescent="0.25">
      <c r="Q1294" s="328"/>
    </row>
    <row r="1295" spans="17:17" x14ac:dyDescent="0.25">
      <c r="Q1295" s="328"/>
    </row>
    <row r="1296" spans="17:17" x14ac:dyDescent="0.25">
      <c r="Q1296" s="328"/>
    </row>
    <row r="1297" spans="17:17" x14ac:dyDescent="0.25">
      <c r="Q1297" s="328"/>
    </row>
    <row r="1298" spans="17:17" x14ac:dyDescent="0.25">
      <c r="Q1298" s="328"/>
    </row>
    <row r="1299" spans="17:17" x14ac:dyDescent="0.25">
      <c r="Q1299" s="328"/>
    </row>
    <row r="1300" spans="17:17" x14ac:dyDescent="0.25">
      <c r="Q1300" s="328"/>
    </row>
    <row r="1301" spans="17:17" x14ac:dyDescent="0.25">
      <c r="Q1301" s="328"/>
    </row>
    <row r="1302" spans="17:17" x14ac:dyDescent="0.25">
      <c r="Q1302" s="328"/>
    </row>
    <row r="1303" spans="17:17" x14ac:dyDescent="0.25">
      <c r="Q1303" s="328"/>
    </row>
    <row r="1304" spans="17:17" x14ac:dyDescent="0.25">
      <c r="Q1304" s="328"/>
    </row>
    <row r="1305" spans="17:17" x14ac:dyDescent="0.25">
      <c r="Q1305" s="328"/>
    </row>
    <row r="1306" spans="17:17" x14ac:dyDescent="0.25">
      <c r="Q1306" s="328"/>
    </row>
    <row r="1307" spans="17:17" x14ac:dyDescent="0.25">
      <c r="Q1307" s="328"/>
    </row>
    <row r="1308" spans="17:17" x14ac:dyDescent="0.25">
      <c r="Q1308" s="328"/>
    </row>
    <row r="1309" spans="17:17" x14ac:dyDescent="0.25">
      <c r="Q1309" s="328"/>
    </row>
    <row r="1310" spans="17:17" x14ac:dyDescent="0.25">
      <c r="Q1310" s="328"/>
    </row>
    <row r="1311" spans="17:17" x14ac:dyDescent="0.25">
      <c r="Q1311" s="328"/>
    </row>
    <row r="1312" spans="17:17" x14ac:dyDescent="0.25">
      <c r="Q1312" s="328"/>
    </row>
    <row r="1313" spans="17:17" x14ac:dyDescent="0.25">
      <c r="Q1313" s="328"/>
    </row>
    <row r="1314" spans="17:17" x14ac:dyDescent="0.25">
      <c r="Q1314" s="328"/>
    </row>
    <row r="1315" spans="17:17" x14ac:dyDescent="0.25">
      <c r="Q1315" s="328"/>
    </row>
    <row r="1316" spans="17:17" x14ac:dyDescent="0.25">
      <c r="Q1316" s="328"/>
    </row>
    <row r="1317" spans="17:17" x14ac:dyDescent="0.25">
      <c r="Q1317" s="328"/>
    </row>
    <row r="1318" spans="17:17" x14ac:dyDescent="0.25">
      <c r="Q1318" s="328"/>
    </row>
    <row r="1319" spans="17:17" x14ac:dyDescent="0.25">
      <c r="Q1319" s="328"/>
    </row>
    <row r="1320" spans="17:17" x14ac:dyDescent="0.25">
      <c r="Q1320" s="328"/>
    </row>
    <row r="1321" spans="17:17" x14ac:dyDescent="0.25">
      <c r="Q1321" s="328"/>
    </row>
    <row r="1322" spans="17:17" x14ac:dyDescent="0.25">
      <c r="Q1322" s="328"/>
    </row>
    <row r="1323" spans="17:17" x14ac:dyDescent="0.25">
      <c r="Q1323" s="328"/>
    </row>
    <row r="1324" spans="17:17" x14ac:dyDescent="0.25">
      <c r="Q1324" s="328"/>
    </row>
    <row r="1325" spans="17:17" x14ac:dyDescent="0.25">
      <c r="Q1325" s="328"/>
    </row>
    <row r="1326" spans="17:17" x14ac:dyDescent="0.25">
      <c r="Q1326" s="328"/>
    </row>
    <row r="1327" spans="17:17" x14ac:dyDescent="0.25">
      <c r="Q1327" s="328"/>
    </row>
    <row r="1328" spans="17:17" x14ac:dyDescent="0.25">
      <c r="Q1328" s="328"/>
    </row>
    <row r="1329" spans="17:17" x14ac:dyDescent="0.25">
      <c r="Q1329" s="328"/>
    </row>
    <row r="1330" spans="17:17" x14ac:dyDescent="0.25">
      <c r="Q1330" s="328"/>
    </row>
    <row r="1331" spans="17:17" x14ac:dyDescent="0.25">
      <c r="Q1331" s="328"/>
    </row>
    <row r="1332" spans="17:17" x14ac:dyDescent="0.25">
      <c r="Q1332" s="328"/>
    </row>
    <row r="1333" spans="17:17" x14ac:dyDescent="0.25">
      <c r="Q1333" s="328"/>
    </row>
    <row r="1334" spans="17:17" x14ac:dyDescent="0.25">
      <c r="Q1334" s="328"/>
    </row>
    <row r="1335" spans="17:17" x14ac:dyDescent="0.25">
      <c r="Q1335" s="328"/>
    </row>
    <row r="1336" spans="17:17" x14ac:dyDescent="0.25">
      <c r="Q1336" s="328"/>
    </row>
    <row r="1337" spans="17:17" x14ac:dyDescent="0.25">
      <c r="Q1337" s="328"/>
    </row>
    <row r="1338" spans="17:17" x14ac:dyDescent="0.25">
      <c r="Q1338" s="328"/>
    </row>
    <row r="1339" spans="17:17" x14ac:dyDescent="0.25">
      <c r="Q1339" s="328"/>
    </row>
    <row r="1340" spans="17:17" x14ac:dyDescent="0.25">
      <c r="Q1340" s="328"/>
    </row>
    <row r="1341" spans="17:17" x14ac:dyDescent="0.25">
      <c r="Q1341" s="328"/>
    </row>
    <row r="1342" spans="17:17" x14ac:dyDescent="0.25">
      <c r="Q1342" s="328"/>
    </row>
    <row r="1343" spans="17:17" x14ac:dyDescent="0.25">
      <c r="Q1343" s="328"/>
    </row>
    <row r="1344" spans="17:17" x14ac:dyDescent="0.25">
      <c r="Q1344" s="328"/>
    </row>
    <row r="1345" spans="17:17" x14ac:dyDescent="0.25">
      <c r="Q1345" s="328"/>
    </row>
    <row r="1346" spans="17:17" x14ac:dyDescent="0.25">
      <c r="Q1346" s="328"/>
    </row>
    <row r="1347" spans="17:17" x14ac:dyDescent="0.25">
      <c r="Q1347" s="328"/>
    </row>
    <row r="1348" spans="17:17" x14ac:dyDescent="0.25">
      <c r="Q1348" s="328"/>
    </row>
    <row r="1349" spans="17:17" x14ac:dyDescent="0.25">
      <c r="Q1349" s="328"/>
    </row>
    <row r="1350" spans="17:17" x14ac:dyDescent="0.25">
      <c r="Q1350" s="328"/>
    </row>
    <row r="1351" spans="17:17" x14ac:dyDescent="0.25">
      <c r="Q1351" s="328"/>
    </row>
    <row r="1352" spans="17:17" x14ac:dyDescent="0.25">
      <c r="Q1352" s="328"/>
    </row>
    <row r="1353" spans="17:17" x14ac:dyDescent="0.25">
      <c r="Q1353" s="328"/>
    </row>
    <row r="1354" spans="17:17" x14ac:dyDescent="0.25">
      <c r="Q1354" s="328"/>
    </row>
    <row r="1355" spans="17:17" x14ac:dyDescent="0.25">
      <c r="Q1355" s="328"/>
    </row>
    <row r="1356" spans="17:17" x14ac:dyDescent="0.25">
      <c r="Q1356" s="328"/>
    </row>
    <row r="1357" spans="17:17" x14ac:dyDescent="0.25">
      <c r="Q1357" s="328"/>
    </row>
    <row r="1358" spans="17:17" x14ac:dyDescent="0.25">
      <c r="Q1358" s="328"/>
    </row>
    <row r="1359" spans="17:17" x14ac:dyDescent="0.25">
      <c r="Q1359" s="328"/>
    </row>
    <row r="1360" spans="17:17" x14ac:dyDescent="0.25">
      <c r="Q1360" s="328"/>
    </row>
    <row r="1361" spans="17:17" x14ac:dyDescent="0.25">
      <c r="Q1361" s="328"/>
    </row>
    <row r="1362" spans="17:17" x14ac:dyDescent="0.25">
      <c r="Q1362" s="328"/>
    </row>
    <row r="1363" spans="17:17" x14ac:dyDescent="0.25">
      <c r="Q1363" s="328"/>
    </row>
    <row r="1364" spans="17:17" x14ac:dyDescent="0.25">
      <c r="Q1364" s="328"/>
    </row>
    <row r="1365" spans="17:17" x14ac:dyDescent="0.25">
      <c r="Q1365" s="328"/>
    </row>
    <row r="1366" spans="17:17" x14ac:dyDescent="0.25">
      <c r="Q1366" s="328"/>
    </row>
    <row r="1367" spans="17:17" x14ac:dyDescent="0.25">
      <c r="Q1367" s="328"/>
    </row>
    <row r="1368" spans="17:17" x14ac:dyDescent="0.25">
      <c r="Q1368" s="328"/>
    </row>
    <row r="1369" spans="17:17" x14ac:dyDescent="0.25">
      <c r="Q1369" s="328"/>
    </row>
    <row r="1370" spans="17:17" x14ac:dyDescent="0.25">
      <c r="Q1370" s="328"/>
    </row>
    <row r="1371" spans="17:17" x14ac:dyDescent="0.25">
      <c r="Q1371" s="328"/>
    </row>
    <row r="1372" spans="17:17" x14ac:dyDescent="0.25">
      <c r="Q1372" s="328"/>
    </row>
    <row r="1373" spans="17:17" x14ac:dyDescent="0.25">
      <c r="Q1373" s="328"/>
    </row>
    <row r="1374" spans="17:17" x14ac:dyDescent="0.25">
      <c r="Q1374" s="328"/>
    </row>
    <row r="1375" spans="17:17" x14ac:dyDescent="0.25">
      <c r="Q1375" s="328"/>
    </row>
    <row r="1376" spans="17:17" x14ac:dyDescent="0.25">
      <c r="Q1376" s="328"/>
    </row>
    <row r="1377" spans="17:17" x14ac:dyDescent="0.25">
      <c r="Q1377" s="328"/>
    </row>
    <row r="1378" spans="17:17" x14ac:dyDescent="0.25">
      <c r="Q1378" s="328"/>
    </row>
    <row r="1379" spans="17:17" x14ac:dyDescent="0.25">
      <c r="Q1379" s="328"/>
    </row>
    <row r="1380" spans="17:17" x14ac:dyDescent="0.25">
      <c r="Q1380" s="328"/>
    </row>
    <row r="1381" spans="17:17" x14ac:dyDescent="0.25">
      <c r="Q1381" s="328"/>
    </row>
    <row r="1382" spans="17:17" x14ac:dyDescent="0.25">
      <c r="Q1382" s="328"/>
    </row>
    <row r="1383" spans="17:17" x14ac:dyDescent="0.25">
      <c r="Q1383" s="328"/>
    </row>
    <row r="1384" spans="17:17" x14ac:dyDescent="0.25">
      <c r="Q1384" s="328"/>
    </row>
    <row r="1385" spans="17:17" x14ac:dyDescent="0.25">
      <c r="Q1385" s="328"/>
    </row>
    <row r="1386" spans="17:17" x14ac:dyDescent="0.25">
      <c r="Q1386" s="328"/>
    </row>
    <row r="1387" spans="17:17" x14ac:dyDescent="0.25">
      <c r="Q1387" s="328"/>
    </row>
    <row r="1388" spans="17:17" x14ac:dyDescent="0.25">
      <c r="Q1388" s="328"/>
    </row>
    <row r="1389" spans="17:17" x14ac:dyDescent="0.25">
      <c r="Q1389" s="328"/>
    </row>
    <row r="1390" spans="17:17" x14ac:dyDescent="0.25">
      <c r="Q1390" s="328"/>
    </row>
    <row r="1391" spans="17:17" x14ac:dyDescent="0.25">
      <c r="Q1391" s="328"/>
    </row>
    <row r="1392" spans="17:17" x14ac:dyDescent="0.25">
      <c r="Q1392" s="328"/>
    </row>
    <row r="1393" spans="17:17" x14ac:dyDescent="0.25">
      <c r="Q1393" s="328"/>
    </row>
    <row r="1394" spans="17:17" x14ac:dyDescent="0.25">
      <c r="Q1394" s="328"/>
    </row>
    <row r="1395" spans="17:17" x14ac:dyDescent="0.25">
      <c r="Q1395" s="328"/>
    </row>
    <row r="1396" spans="17:17" x14ac:dyDescent="0.25">
      <c r="Q1396" s="328"/>
    </row>
    <row r="1397" spans="17:17" x14ac:dyDescent="0.25">
      <c r="Q1397" s="328"/>
    </row>
    <row r="1398" spans="17:17" x14ac:dyDescent="0.25">
      <c r="Q1398" s="328"/>
    </row>
    <row r="1399" spans="17:17" x14ac:dyDescent="0.25">
      <c r="Q1399" s="328"/>
    </row>
    <row r="1400" spans="17:17" x14ac:dyDescent="0.25">
      <c r="Q1400" s="328"/>
    </row>
    <row r="1401" spans="17:17" x14ac:dyDescent="0.25">
      <c r="Q1401" s="328"/>
    </row>
    <row r="1402" spans="17:17" x14ac:dyDescent="0.25">
      <c r="Q1402" s="328"/>
    </row>
    <row r="1403" spans="17:17" x14ac:dyDescent="0.25">
      <c r="Q1403" s="328"/>
    </row>
    <row r="1404" spans="17:17" x14ac:dyDescent="0.25">
      <c r="Q1404" s="328"/>
    </row>
    <row r="1405" spans="17:17" x14ac:dyDescent="0.25">
      <c r="Q1405" s="328"/>
    </row>
    <row r="1406" spans="17:17" x14ac:dyDescent="0.25">
      <c r="Q1406" s="328"/>
    </row>
    <row r="1407" spans="17:17" x14ac:dyDescent="0.25">
      <c r="Q1407" s="328"/>
    </row>
    <row r="1408" spans="17:17" x14ac:dyDescent="0.25">
      <c r="Q1408" s="328"/>
    </row>
    <row r="1409" spans="17:17" x14ac:dyDescent="0.25">
      <c r="Q1409" s="328"/>
    </row>
    <row r="1410" spans="17:17" x14ac:dyDescent="0.25">
      <c r="Q1410" s="328"/>
    </row>
    <row r="1411" spans="17:17" x14ac:dyDescent="0.25">
      <c r="Q1411" s="328"/>
    </row>
    <row r="1412" spans="17:17" x14ac:dyDescent="0.25">
      <c r="Q1412" s="328"/>
    </row>
    <row r="1413" spans="17:17" x14ac:dyDescent="0.25">
      <c r="Q1413" s="328"/>
    </row>
    <row r="1414" spans="17:17" x14ac:dyDescent="0.25">
      <c r="Q1414" s="328"/>
    </row>
    <row r="1415" spans="17:17" x14ac:dyDescent="0.25">
      <c r="Q1415" s="328"/>
    </row>
    <row r="1416" spans="17:17" x14ac:dyDescent="0.25">
      <c r="Q1416" s="328"/>
    </row>
    <row r="1417" spans="17:17" x14ac:dyDescent="0.25">
      <c r="Q1417" s="328"/>
    </row>
    <row r="1418" spans="17:17" x14ac:dyDescent="0.25">
      <c r="Q1418" s="328"/>
    </row>
    <row r="1419" spans="17:17" x14ac:dyDescent="0.25">
      <c r="Q1419" s="328"/>
    </row>
    <row r="1420" spans="17:17" x14ac:dyDescent="0.25">
      <c r="Q1420" s="328"/>
    </row>
    <row r="1421" spans="17:17" x14ac:dyDescent="0.25">
      <c r="Q1421" s="328"/>
    </row>
    <row r="1422" spans="17:17" x14ac:dyDescent="0.25">
      <c r="Q1422" s="328"/>
    </row>
    <row r="1423" spans="17:17" x14ac:dyDescent="0.25">
      <c r="Q1423" s="328"/>
    </row>
    <row r="1424" spans="17:17" x14ac:dyDescent="0.25">
      <c r="Q1424" s="328"/>
    </row>
    <row r="1425" spans="17:17" x14ac:dyDescent="0.25">
      <c r="Q1425" s="328"/>
    </row>
    <row r="1426" spans="17:17" x14ac:dyDescent="0.25">
      <c r="Q1426" s="328"/>
    </row>
    <row r="1427" spans="17:17" x14ac:dyDescent="0.25">
      <c r="Q1427" s="328"/>
    </row>
    <row r="1428" spans="17:17" x14ac:dyDescent="0.25">
      <c r="Q1428" s="328"/>
    </row>
    <row r="1429" spans="17:17" x14ac:dyDescent="0.25">
      <c r="Q1429" s="328"/>
    </row>
    <row r="1430" spans="17:17" x14ac:dyDescent="0.25">
      <c r="Q1430" s="328"/>
    </row>
    <row r="1431" spans="17:17" x14ac:dyDescent="0.25">
      <c r="Q1431" s="328"/>
    </row>
    <row r="1432" spans="17:17" x14ac:dyDescent="0.25">
      <c r="Q1432" s="328"/>
    </row>
    <row r="1433" spans="17:17" x14ac:dyDescent="0.25">
      <c r="Q1433" s="328"/>
    </row>
    <row r="1434" spans="17:17" x14ac:dyDescent="0.25">
      <c r="Q1434" s="328"/>
    </row>
    <row r="1435" spans="17:17" x14ac:dyDescent="0.25">
      <c r="Q1435" s="328"/>
    </row>
    <row r="1436" spans="17:17" x14ac:dyDescent="0.25">
      <c r="Q1436" s="328"/>
    </row>
    <row r="1437" spans="17:17" x14ac:dyDescent="0.25">
      <c r="Q1437" s="328"/>
    </row>
    <row r="1438" spans="17:17" x14ac:dyDescent="0.25">
      <c r="Q1438" s="328"/>
    </row>
    <row r="1439" spans="17:17" x14ac:dyDescent="0.25">
      <c r="Q1439" s="328"/>
    </row>
    <row r="1440" spans="17:17" x14ac:dyDescent="0.25">
      <c r="Q1440" s="328"/>
    </row>
    <row r="1441" spans="17:17" x14ac:dyDescent="0.25">
      <c r="Q1441" s="328"/>
    </row>
    <row r="1442" spans="17:17" x14ac:dyDescent="0.25">
      <c r="Q1442" s="328"/>
    </row>
    <row r="1443" spans="17:17" x14ac:dyDescent="0.25">
      <c r="Q1443" s="328"/>
    </row>
    <row r="1444" spans="17:17" x14ac:dyDescent="0.25">
      <c r="Q1444" s="328"/>
    </row>
    <row r="1445" spans="17:17" x14ac:dyDescent="0.25">
      <c r="Q1445" s="328"/>
    </row>
    <row r="1446" spans="17:17" x14ac:dyDescent="0.25">
      <c r="Q1446" s="328"/>
    </row>
    <row r="1447" spans="17:17" x14ac:dyDescent="0.25">
      <c r="Q1447" s="328"/>
    </row>
    <row r="1448" spans="17:17" x14ac:dyDescent="0.25">
      <c r="Q1448" s="328"/>
    </row>
    <row r="1449" spans="17:17" x14ac:dyDescent="0.25">
      <c r="Q1449" s="328"/>
    </row>
    <row r="1450" spans="17:17" x14ac:dyDescent="0.25">
      <c r="Q1450" s="328"/>
    </row>
    <row r="1451" spans="17:17" x14ac:dyDescent="0.25">
      <c r="Q1451" s="328"/>
    </row>
    <row r="1452" spans="17:17" x14ac:dyDescent="0.25">
      <c r="Q1452" s="328"/>
    </row>
    <row r="1453" spans="17:17" x14ac:dyDescent="0.25">
      <c r="Q1453" s="328"/>
    </row>
    <row r="1454" spans="17:17" x14ac:dyDescent="0.25">
      <c r="Q1454" s="328"/>
    </row>
    <row r="1455" spans="17:17" x14ac:dyDescent="0.25">
      <c r="Q1455" s="328"/>
    </row>
    <row r="1456" spans="17:17" x14ac:dyDescent="0.25">
      <c r="Q1456" s="328"/>
    </row>
    <row r="1457" spans="17:17" x14ac:dyDescent="0.25">
      <c r="Q1457" s="328"/>
    </row>
    <row r="1458" spans="17:17" x14ac:dyDescent="0.25">
      <c r="Q1458" s="328"/>
    </row>
    <row r="1459" spans="17:17" x14ac:dyDescent="0.25">
      <c r="Q1459" s="328"/>
    </row>
    <row r="1460" spans="17:17" x14ac:dyDescent="0.25">
      <c r="Q1460" s="328"/>
    </row>
    <row r="1461" spans="17:17" x14ac:dyDescent="0.25">
      <c r="Q1461" s="328"/>
    </row>
    <row r="1462" spans="17:17" x14ac:dyDescent="0.25">
      <c r="Q1462" s="328"/>
    </row>
    <row r="1463" spans="17:17" x14ac:dyDescent="0.25">
      <c r="Q1463" s="328"/>
    </row>
    <row r="1464" spans="17:17" x14ac:dyDescent="0.25">
      <c r="Q1464" s="328"/>
    </row>
    <row r="1465" spans="17:17" x14ac:dyDescent="0.25">
      <c r="Q1465" s="328"/>
    </row>
    <row r="1466" spans="17:17" x14ac:dyDescent="0.25">
      <c r="Q1466" s="328"/>
    </row>
    <row r="1467" spans="17:17" x14ac:dyDescent="0.25">
      <c r="Q1467" s="328"/>
    </row>
    <row r="1468" spans="17:17" x14ac:dyDescent="0.25">
      <c r="Q1468" s="328"/>
    </row>
    <row r="1469" spans="17:17" x14ac:dyDescent="0.25">
      <c r="Q1469" s="328"/>
    </row>
    <row r="1470" spans="17:17" x14ac:dyDescent="0.25">
      <c r="Q1470" s="328"/>
    </row>
    <row r="1471" spans="17:17" x14ac:dyDescent="0.25">
      <c r="Q1471" s="328"/>
    </row>
    <row r="1472" spans="17:17" x14ac:dyDescent="0.25">
      <c r="Q1472" s="328"/>
    </row>
    <row r="1473" spans="17:17" x14ac:dyDescent="0.25">
      <c r="Q1473" s="328"/>
    </row>
    <row r="1474" spans="17:17" x14ac:dyDescent="0.25">
      <c r="Q1474" s="328"/>
    </row>
    <row r="1475" spans="17:17" x14ac:dyDescent="0.25">
      <c r="Q1475" s="328"/>
    </row>
    <row r="1476" spans="17:17" x14ac:dyDescent="0.25">
      <c r="Q1476" s="328"/>
    </row>
    <row r="1477" spans="17:17" x14ac:dyDescent="0.25">
      <c r="Q1477" s="328"/>
    </row>
    <row r="1478" spans="17:17" x14ac:dyDescent="0.25">
      <c r="Q1478" s="328"/>
    </row>
    <row r="1479" spans="17:17" x14ac:dyDescent="0.25">
      <c r="Q1479" s="328"/>
    </row>
    <row r="1480" spans="17:17" x14ac:dyDescent="0.25">
      <c r="Q1480" s="328"/>
    </row>
    <row r="1481" spans="17:17" x14ac:dyDescent="0.25">
      <c r="Q1481" s="328"/>
    </row>
    <row r="1482" spans="17:17" x14ac:dyDescent="0.25">
      <c r="Q1482" s="328"/>
    </row>
    <row r="1483" spans="17:17" x14ac:dyDescent="0.25">
      <c r="Q1483" s="328"/>
    </row>
    <row r="1484" spans="17:17" x14ac:dyDescent="0.25">
      <c r="Q1484" s="328"/>
    </row>
    <row r="1485" spans="17:17" x14ac:dyDescent="0.25">
      <c r="Q1485" s="328"/>
    </row>
    <row r="1486" spans="17:17" x14ac:dyDescent="0.25">
      <c r="Q1486" s="328"/>
    </row>
    <row r="1487" spans="17:17" x14ac:dyDescent="0.25">
      <c r="Q1487" s="328"/>
    </row>
    <row r="1488" spans="17:17" x14ac:dyDescent="0.25">
      <c r="Q1488" s="328"/>
    </row>
    <row r="1489" spans="17:17" x14ac:dyDescent="0.25">
      <c r="Q1489" s="328"/>
    </row>
    <row r="1490" spans="17:17" x14ac:dyDescent="0.25">
      <c r="Q1490" s="328"/>
    </row>
    <row r="1491" spans="17:17" x14ac:dyDescent="0.25">
      <c r="Q1491" s="328"/>
    </row>
    <row r="1492" spans="17:17" x14ac:dyDescent="0.25">
      <c r="Q1492" s="328"/>
    </row>
    <row r="1493" spans="17:17" x14ac:dyDescent="0.25">
      <c r="Q1493" s="328"/>
    </row>
    <row r="1494" spans="17:17" x14ac:dyDescent="0.25">
      <c r="Q1494" s="328"/>
    </row>
    <row r="1495" spans="17:17" x14ac:dyDescent="0.25">
      <c r="Q1495" s="328"/>
    </row>
    <row r="1496" spans="17:17" x14ac:dyDescent="0.25">
      <c r="Q1496" s="328"/>
    </row>
    <row r="1497" spans="17:17" x14ac:dyDescent="0.25">
      <c r="Q1497" s="328"/>
    </row>
    <row r="1498" spans="17:17" x14ac:dyDescent="0.25">
      <c r="Q1498" s="328"/>
    </row>
    <row r="1499" spans="17:17" x14ac:dyDescent="0.25">
      <c r="Q1499" s="328"/>
    </row>
    <row r="1500" spans="17:17" x14ac:dyDescent="0.25">
      <c r="Q1500" s="328"/>
    </row>
    <row r="1501" spans="17:17" x14ac:dyDescent="0.25">
      <c r="Q1501" s="328"/>
    </row>
    <row r="1502" spans="17:17" x14ac:dyDescent="0.25">
      <c r="Q1502" s="328"/>
    </row>
    <row r="1503" spans="17:17" x14ac:dyDescent="0.25">
      <c r="Q1503" s="328"/>
    </row>
    <row r="1504" spans="17:17" x14ac:dyDescent="0.25">
      <c r="Q1504" s="328"/>
    </row>
    <row r="1505" spans="17:17" x14ac:dyDescent="0.25">
      <c r="Q1505" s="328"/>
    </row>
    <row r="1506" spans="17:17" x14ac:dyDescent="0.25">
      <c r="Q1506" s="328"/>
    </row>
    <row r="1507" spans="17:17" x14ac:dyDescent="0.25">
      <c r="Q1507" s="328"/>
    </row>
    <row r="1508" spans="17:17" x14ac:dyDescent="0.25">
      <c r="Q1508" s="328"/>
    </row>
    <row r="1509" spans="17:17" x14ac:dyDescent="0.25">
      <c r="Q1509" s="328"/>
    </row>
    <row r="1510" spans="17:17" x14ac:dyDescent="0.25">
      <c r="Q1510" s="328"/>
    </row>
    <row r="1511" spans="17:17" x14ac:dyDescent="0.25">
      <c r="Q1511" s="328"/>
    </row>
    <row r="1512" spans="17:17" x14ac:dyDescent="0.25">
      <c r="Q1512" s="328"/>
    </row>
    <row r="1513" spans="17:17" x14ac:dyDescent="0.25">
      <c r="Q1513" s="328"/>
    </row>
    <row r="1514" spans="17:17" x14ac:dyDescent="0.25">
      <c r="Q1514" s="328"/>
    </row>
    <row r="1515" spans="17:17" x14ac:dyDescent="0.25">
      <c r="Q1515" s="328"/>
    </row>
    <row r="1516" spans="17:17" x14ac:dyDescent="0.25">
      <c r="Q1516" s="328"/>
    </row>
    <row r="1517" spans="17:17" x14ac:dyDescent="0.25">
      <c r="Q1517" s="328"/>
    </row>
    <row r="1518" spans="17:17" x14ac:dyDescent="0.25">
      <c r="Q1518" s="328"/>
    </row>
    <row r="1519" spans="17:17" x14ac:dyDescent="0.25">
      <c r="Q1519" s="328"/>
    </row>
    <row r="1520" spans="17:17" x14ac:dyDescent="0.25">
      <c r="Q1520" s="328"/>
    </row>
    <row r="1521" spans="17:17" x14ac:dyDescent="0.25">
      <c r="Q1521" s="328"/>
    </row>
    <row r="1522" spans="17:17" x14ac:dyDescent="0.25">
      <c r="Q1522" s="328"/>
    </row>
    <row r="1523" spans="17:17" x14ac:dyDescent="0.25">
      <c r="Q1523" s="328"/>
    </row>
    <row r="1524" spans="17:17" x14ac:dyDescent="0.25">
      <c r="Q1524" s="328"/>
    </row>
    <row r="1525" spans="17:17" x14ac:dyDescent="0.25">
      <c r="Q1525" s="328"/>
    </row>
    <row r="1526" spans="17:17" x14ac:dyDescent="0.25">
      <c r="Q1526" s="328"/>
    </row>
    <row r="1527" spans="17:17" x14ac:dyDescent="0.25">
      <c r="Q1527" s="328"/>
    </row>
    <row r="1528" spans="17:17" x14ac:dyDescent="0.25">
      <c r="Q1528" s="328"/>
    </row>
    <row r="1529" spans="17:17" x14ac:dyDescent="0.25">
      <c r="Q1529" s="328"/>
    </row>
    <row r="1530" spans="17:17" x14ac:dyDescent="0.25">
      <c r="Q1530" s="328"/>
    </row>
    <row r="1531" spans="17:17" x14ac:dyDescent="0.25">
      <c r="Q1531" s="328"/>
    </row>
    <row r="1532" spans="17:17" x14ac:dyDescent="0.25">
      <c r="Q1532" s="328"/>
    </row>
    <row r="1533" spans="17:17" x14ac:dyDescent="0.25">
      <c r="Q1533" s="328"/>
    </row>
    <row r="1534" spans="17:17" x14ac:dyDescent="0.25">
      <c r="Q1534" s="328"/>
    </row>
    <row r="1535" spans="17:17" x14ac:dyDescent="0.25">
      <c r="Q1535" s="328"/>
    </row>
    <row r="1536" spans="17:17" x14ac:dyDescent="0.25">
      <c r="Q1536" s="328"/>
    </row>
    <row r="1537" spans="17:17" x14ac:dyDescent="0.25">
      <c r="Q1537" s="328"/>
    </row>
    <row r="1538" spans="17:17" x14ac:dyDescent="0.25">
      <c r="Q1538" s="328"/>
    </row>
    <row r="1539" spans="17:17" x14ac:dyDescent="0.25">
      <c r="Q1539" s="328"/>
    </row>
    <row r="1540" spans="17:17" x14ac:dyDescent="0.25">
      <c r="Q1540" s="328"/>
    </row>
    <row r="1541" spans="17:17" x14ac:dyDescent="0.25">
      <c r="Q1541" s="328"/>
    </row>
    <row r="1542" spans="17:17" x14ac:dyDescent="0.25">
      <c r="Q1542" s="328"/>
    </row>
    <row r="1543" spans="17:17" x14ac:dyDescent="0.25">
      <c r="Q1543" s="328"/>
    </row>
    <row r="1544" spans="17:17" x14ac:dyDescent="0.25">
      <c r="Q1544" s="328"/>
    </row>
    <row r="1545" spans="17:17" x14ac:dyDescent="0.25">
      <c r="Q1545" s="328"/>
    </row>
    <row r="1546" spans="17:17" x14ac:dyDescent="0.25">
      <c r="Q1546" s="328"/>
    </row>
    <row r="1547" spans="17:17" x14ac:dyDescent="0.25">
      <c r="Q1547" s="328"/>
    </row>
    <row r="1548" spans="17:17" x14ac:dyDescent="0.25">
      <c r="Q1548" s="328"/>
    </row>
    <row r="1549" spans="17:17" x14ac:dyDescent="0.25">
      <c r="Q1549" s="328"/>
    </row>
    <row r="1550" spans="17:17" x14ac:dyDescent="0.25">
      <c r="Q1550" s="328"/>
    </row>
    <row r="1551" spans="17:17" x14ac:dyDescent="0.25">
      <c r="Q1551" s="328"/>
    </row>
    <row r="1552" spans="17:17" x14ac:dyDescent="0.25">
      <c r="Q1552" s="328"/>
    </row>
    <row r="1553" spans="17:17" x14ac:dyDescent="0.25">
      <c r="Q1553" s="328"/>
    </row>
    <row r="1554" spans="17:17" x14ac:dyDescent="0.25">
      <c r="Q1554" s="328"/>
    </row>
    <row r="1555" spans="17:17" x14ac:dyDescent="0.25">
      <c r="Q1555" s="328"/>
    </row>
    <row r="1556" spans="17:17" x14ac:dyDescent="0.25">
      <c r="Q1556" s="328"/>
    </row>
    <row r="1557" spans="17:17" x14ac:dyDescent="0.25">
      <c r="Q1557" s="328"/>
    </row>
    <row r="1558" spans="17:17" x14ac:dyDescent="0.25">
      <c r="Q1558" s="328"/>
    </row>
    <row r="1559" spans="17:17" x14ac:dyDescent="0.25">
      <c r="Q1559" s="328"/>
    </row>
    <row r="1560" spans="17:17" x14ac:dyDescent="0.25">
      <c r="Q1560" s="328"/>
    </row>
    <row r="1561" spans="17:17" x14ac:dyDescent="0.25">
      <c r="Q1561" s="328"/>
    </row>
    <row r="1562" spans="17:17" x14ac:dyDescent="0.25">
      <c r="Q1562" s="328"/>
    </row>
    <row r="1563" spans="17:17" x14ac:dyDescent="0.25">
      <c r="Q1563" s="328"/>
    </row>
    <row r="1564" spans="17:17" x14ac:dyDescent="0.25">
      <c r="Q1564" s="328"/>
    </row>
    <row r="1565" spans="17:17" x14ac:dyDescent="0.25">
      <c r="Q1565" s="328"/>
    </row>
    <row r="1566" spans="17:17" x14ac:dyDescent="0.25">
      <c r="Q1566" s="328"/>
    </row>
    <row r="1567" spans="17:17" x14ac:dyDescent="0.25">
      <c r="Q1567" s="328"/>
    </row>
    <row r="1568" spans="17:17" x14ac:dyDescent="0.25">
      <c r="Q1568" s="328"/>
    </row>
    <row r="1569" spans="17:17" x14ac:dyDescent="0.25">
      <c r="Q1569" s="328"/>
    </row>
    <row r="1570" spans="17:17" x14ac:dyDescent="0.25">
      <c r="Q1570" s="328"/>
    </row>
    <row r="1571" spans="17:17" x14ac:dyDescent="0.25">
      <c r="Q1571" s="328"/>
    </row>
    <row r="1572" spans="17:17" x14ac:dyDescent="0.25">
      <c r="Q1572" s="328"/>
    </row>
    <row r="1573" spans="17:17" x14ac:dyDescent="0.25">
      <c r="Q1573" s="328"/>
    </row>
    <row r="1574" spans="17:17" x14ac:dyDescent="0.25">
      <c r="Q1574" s="328"/>
    </row>
    <row r="1575" spans="17:17" x14ac:dyDescent="0.25">
      <c r="Q1575" s="328"/>
    </row>
    <row r="1576" spans="17:17" x14ac:dyDescent="0.25">
      <c r="Q1576" s="328"/>
    </row>
    <row r="1577" spans="17:17" x14ac:dyDescent="0.25">
      <c r="Q1577" s="328"/>
    </row>
    <row r="1578" spans="17:17" x14ac:dyDescent="0.25">
      <c r="Q1578" s="328"/>
    </row>
    <row r="1579" spans="17:17" x14ac:dyDescent="0.25">
      <c r="Q1579" s="328"/>
    </row>
    <row r="1580" spans="17:17" x14ac:dyDescent="0.25">
      <c r="Q1580" s="328"/>
    </row>
    <row r="1581" spans="17:17" x14ac:dyDescent="0.25">
      <c r="Q1581" s="328"/>
    </row>
    <row r="1582" spans="17:17" x14ac:dyDescent="0.25">
      <c r="Q1582" s="328"/>
    </row>
    <row r="1583" spans="17:17" x14ac:dyDescent="0.25">
      <c r="Q1583" s="328"/>
    </row>
    <row r="1584" spans="17:17" x14ac:dyDescent="0.25">
      <c r="Q1584" s="328"/>
    </row>
    <row r="1585" spans="17:17" x14ac:dyDescent="0.25">
      <c r="Q1585" s="328"/>
    </row>
    <row r="1586" spans="17:17" x14ac:dyDescent="0.25">
      <c r="Q1586" s="328"/>
    </row>
    <row r="1587" spans="17:17" x14ac:dyDescent="0.25">
      <c r="Q1587" s="328"/>
    </row>
    <row r="1588" spans="17:17" x14ac:dyDescent="0.25">
      <c r="Q1588" s="328"/>
    </row>
    <row r="1589" spans="17:17" x14ac:dyDescent="0.25">
      <c r="Q1589" s="328"/>
    </row>
    <row r="1590" spans="17:17" x14ac:dyDescent="0.25">
      <c r="Q1590" s="328"/>
    </row>
    <row r="1591" spans="17:17" x14ac:dyDescent="0.25">
      <c r="Q1591" s="328"/>
    </row>
    <row r="1592" spans="17:17" x14ac:dyDescent="0.25">
      <c r="Q1592" s="328"/>
    </row>
    <row r="1593" spans="17:17" x14ac:dyDescent="0.25">
      <c r="Q1593" s="328"/>
    </row>
    <row r="1594" spans="17:17" x14ac:dyDescent="0.25">
      <c r="Q1594" s="328"/>
    </row>
    <row r="1595" spans="17:17" x14ac:dyDescent="0.25">
      <c r="Q1595" s="328"/>
    </row>
    <row r="1596" spans="17:17" x14ac:dyDescent="0.25">
      <c r="Q1596" s="328"/>
    </row>
    <row r="1597" spans="17:17" x14ac:dyDescent="0.25">
      <c r="Q1597" s="328"/>
    </row>
    <row r="1598" spans="17:17" x14ac:dyDescent="0.25">
      <c r="Q1598" s="328"/>
    </row>
    <row r="1599" spans="17:17" x14ac:dyDescent="0.25">
      <c r="Q1599" s="328"/>
    </row>
    <row r="1600" spans="17:17" x14ac:dyDescent="0.25">
      <c r="Q1600" s="328"/>
    </row>
    <row r="1601" spans="17:17" x14ac:dyDescent="0.25">
      <c r="Q1601" s="328"/>
    </row>
    <row r="1602" spans="17:17" x14ac:dyDescent="0.25">
      <c r="Q1602" s="328"/>
    </row>
    <row r="1603" spans="17:17" x14ac:dyDescent="0.25">
      <c r="Q1603" s="328"/>
    </row>
    <row r="1604" spans="17:17" x14ac:dyDescent="0.25">
      <c r="Q1604" s="328"/>
    </row>
    <row r="1605" spans="17:17" x14ac:dyDescent="0.25">
      <c r="Q1605" s="328"/>
    </row>
    <row r="1606" spans="17:17" x14ac:dyDescent="0.25">
      <c r="Q1606" s="328"/>
    </row>
    <row r="1607" spans="17:17" x14ac:dyDescent="0.25">
      <c r="Q1607" s="328"/>
    </row>
    <row r="1608" spans="17:17" x14ac:dyDescent="0.25">
      <c r="Q1608" s="328"/>
    </row>
    <row r="1609" spans="17:17" x14ac:dyDescent="0.25">
      <c r="Q1609" s="328"/>
    </row>
    <row r="1610" spans="17:17" x14ac:dyDescent="0.25">
      <c r="Q1610" s="328"/>
    </row>
    <row r="1611" spans="17:17" x14ac:dyDescent="0.25">
      <c r="Q1611" s="328"/>
    </row>
    <row r="1612" spans="17:17" x14ac:dyDescent="0.25">
      <c r="Q1612" s="328"/>
    </row>
    <row r="1613" spans="17:17" x14ac:dyDescent="0.25">
      <c r="Q1613" s="328"/>
    </row>
    <row r="1614" spans="17:17" x14ac:dyDescent="0.25">
      <c r="Q1614" s="328"/>
    </row>
    <row r="1615" spans="17:17" x14ac:dyDescent="0.25">
      <c r="Q1615" s="328"/>
    </row>
    <row r="1616" spans="17:17" x14ac:dyDescent="0.25">
      <c r="Q1616" s="328"/>
    </row>
    <row r="1617" spans="17:17" x14ac:dyDescent="0.25">
      <c r="Q1617" s="328"/>
    </row>
    <row r="1618" spans="17:17" x14ac:dyDescent="0.25">
      <c r="Q1618" s="328"/>
    </row>
    <row r="1619" spans="17:17" x14ac:dyDescent="0.25">
      <c r="Q1619" s="328"/>
    </row>
    <row r="1620" spans="17:17" x14ac:dyDescent="0.25">
      <c r="Q1620" s="328"/>
    </row>
    <row r="1621" spans="17:17" x14ac:dyDescent="0.25">
      <c r="Q1621" s="328"/>
    </row>
    <row r="1622" spans="17:17" x14ac:dyDescent="0.25">
      <c r="Q1622" s="328"/>
    </row>
    <row r="1623" spans="17:17" x14ac:dyDescent="0.25">
      <c r="Q1623" s="328"/>
    </row>
    <row r="1624" spans="17:17" x14ac:dyDescent="0.25">
      <c r="Q1624" s="328"/>
    </row>
    <row r="1625" spans="17:17" x14ac:dyDescent="0.25">
      <c r="Q1625" s="328"/>
    </row>
    <row r="1626" spans="17:17" x14ac:dyDescent="0.25">
      <c r="Q1626" s="328"/>
    </row>
    <row r="1627" spans="17:17" x14ac:dyDescent="0.25">
      <c r="Q1627" s="328"/>
    </row>
    <row r="1628" spans="17:17" x14ac:dyDescent="0.25">
      <c r="Q1628" s="328"/>
    </row>
    <row r="1629" spans="17:17" x14ac:dyDescent="0.25">
      <c r="Q1629" s="328"/>
    </row>
    <row r="1630" spans="17:17" x14ac:dyDescent="0.25">
      <c r="Q1630" s="328"/>
    </row>
    <row r="1631" spans="17:17" x14ac:dyDescent="0.25">
      <c r="Q1631" s="328"/>
    </row>
    <row r="1632" spans="17:17" x14ac:dyDescent="0.25">
      <c r="Q1632" s="328"/>
    </row>
    <row r="1633" spans="17:17" x14ac:dyDescent="0.25">
      <c r="Q1633" s="328"/>
    </row>
    <row r="1634" spans="17:17" x14ac:dyDescent="0.25">
      <c r="Q1634" s="328"/>
    </row>
    <row r="1635" spans="17:17" x14ac:dyDescent="0.25">
      <c r="Q1635" s="328"/>
    </row>
    <row r="1636" spans="17:17" x14ac:dyDescent="0.25">
      <c r="Q1636" s="328"/>
    </row>
    <row r="1637" spans="17:17" x14ac:dyDescent="0.25">
      <c r="Q1637" s="328"/>
    </row>
    <row r="1638" spans="17:17" x14ac:dyDescent="0.25">
      <c r="Q1638" s="328"/>
    </row>
    <row r="1639" spans="17:17" x14ac:dyDescent="0.25">
      <c r="Q1639" s="328"/>
    </row>
    <row r="1640" spans="17:17" x14ac:dyDescent="0.25">
      <c r="Q1640" s="328"/>
    </row>
    <row r="1641" spans="17:17" x14ac:dyDescent="0.25">
      <c r="Q1641" s="328"/>
    </row>
    <row r="1642" spans="17:17" x14ac:dyDescent="0.25">
      <c r="Q1642" s="328"/>
    </row>
    <row r="1643" spans="17:17" x14ac:dyDescent="0.25">
      <c r="Q1643" s="328"/>
    </row>
    <row r="1644" spans="17:17" x14ac:dyDescent="0.25">
      <c r="Q1644" s="328"/>
    </row>
    <row r="1645" spans="17:17" x14ac:dyDescent="0.25">
      <c r="Q1645" s="328"/>
    </row>
    <row r="1646" spans="17:17" x14ac:dyDescent="0.25">
      <c r="Q1646" s="328"/>
    </row>
    <row r="1647" spans="17:17" x14ac:dyDescent="0.25">
      <c r="Q1647" s="328"/>
    </row>
    <row r="1648" spans="17:17" x14ac:dyDescent="0.25">
      <c r="Q1648" s="328"/>
    </row>
    <row r="1649" spans="17:17" x14ac:dyDescent="0.25">
      <c r="Q1649" s="328"/>
    </row>
    <row r="1650" spans="17:17" x14ac:dyDescent="0.25">
      <c r="Q1650" s="328"/>
    </row>
    <row r="1651" spans="17:17" x14ac:dyDescent="0.25">
      <c r="Q1651" s="328"/>
    </row>
    <row r="1652" spans="17:17" x14ac:dyDescent="0.25">
      <c r="Q1652" s="328"/>
    </row>
    <row r="1653" spans="17:17" x14ac:dyDescent="0.25">
      <c r="Q1653" s="328"/>
    </row>
    <row r="1654" spans="17:17" x14ac:dyDescent="0.25">
      <c r="Q1654" s="328"/>
    </row>
    <row r="1655" spans="17:17" x14ac:dyDescent="0.25">
      <c r="Q1655" s="328"/>
    </row>
    <row r="1656" spans="17:17" x14ac:dyDescent="0.25">
      <c r="Q1656" s="328"/>
    </row>
    <row r="1657" spans="17:17" x14ac:dyDescent="0.25">
      <c r="Q1657" s="328"/>
    </row>
    <row r="1658" spans="17:17" x14ac:dyDescent="0.25">
      <c r="Q1658" s="328"/>
    </row>
    <row r="1659" spans="17:17" x14ac:dyDescent="0.25">
      <c r="Q1659" s="328"/>
    </row>
    <row r="1660" spans="17:17" x14ac:dyDescent="0.25">
      <c r="Q1660" s="328"/>
    </row>
    <row r="1661" spans="17:17" x14ac:dyDescent="0.25">
      <c r="Q1661" s="328"/>
    </row>
    <row r="1662" spans="17:17" x14ac:dyDescent="0.25">
      <c r="Q1662" s="328"/>
    </row>
    <row r="1663" spans="17:17" x14ac:dyDescent="0.25">
      <c r="Q1663" s="328"/>
    </row>
    <row r="1664" spans="17:17" x14ac:dyDescent="0.25">
      <c r="Q1664" s="328"/>
    </row>
    <row r="1665" spans="17:17" x14ac:dyDescent="0.25">
      <c r="Q1665" s="328"/>
    </row>
    <row r="1666" spans="17:17" x14ac:dyDescent="0.25">
      <c r="Q1666" s="328"/>
    </row>
    <row r="1667" spans="17:17" x14ac:dyDescent="0.25">
      <c r="Q1667" s="328"/>
    </row>
    <row r="1668" spans="17:17" x14ac:dyDescent="0.25">
      <c r="Q1668" s="328"/>
    </row>
    <row r="1669" spans="17:17" x14ac:dyDescent="0.25">
      <c r="Q1669" s="328"/>
    </row>
    <row r="1670" spans="17:17" x14ac:dyDescent="0.25">
      <c r="Q1670" s="328"/>
    </row>
    <row r="1671" spans="17:17" x14ac:dyDescent="0.25">
      <c r="Q1671" s="328"/>
    </row>
    <row r="1672" spans="17:17" x14ac:dyDescent="0.25">
      <c r="Q1672" s="328"/>
    </row>
    <row r="1673" spans="17:17" x14ac:dyDescent="0.25">
      <c r="Q1673" s="328"/>
    </row>
    <row r="1674" spans="17:17" x14ac:dyDescent="0.25">
      <c r="Q1674" s="328"/>
    </row>
    <row r="1675" spans="17:17" x14ac:dyDescent="0.25">
      <c r="Q1675" s="328"/>
    </row>
    <row r="1676" spans="17:17" x14ac:dyDescent="0.25">
      <c r="Q1676" s="328"/>
    </row>
    <row r="1677" spans="17:17" x14ac:dyDescent="0.25">
      <c r="Q1677" s="328"/>
    </row>
    <row r="1678" spans="17:17" x14ac:dyDescent="0.25">
      <c r="Q1678" s="328"/>
    </row>
    <row r="1679" spans="17:17" x14ac:dyDescent="0.25">
      <c r="Q1679" s="328"/>
    </row>
    <row r="1680" spans="17:17" x14ac:dyDescent="0.25">
      <c r="Q1680" s="328"/>
    </row>
    <row r="1681" spans="17:17" x14ac:dyDescent="0.25">
      <c r="Q1681" s="328"/>
    </row>
    <row r="1682" spans="17:17" x14ac:dyDescent="0.25">
      <c r="Q1682" s="328"/>
    </row>
    <row r="1683" spans="17:17" x14ac:dyDescent="0.25">
      <c r="Q1683" s="328"/>
    </row>
    <row r="1684" spans="17:17" x14ac:dyDescent="0.25">
      <c r="Q1684" s="328"/>
    </row>
    <row r="1685" spans="17:17" x14ac:dyDescent="0.25">
      <c r="Q1685" s="328"/>
    </row>
    <row r="1686" spans="17:17" x14ac:dyDescent="0.25">
      <c r="Q1686" s="328"/>
    </row>
    <row r="1687" spans="17:17" x14ac:dyDescent="0.25">
      <c r="Q1687" s="328"/>
    </row>
    <row r="1688" spans="17:17" x14ac:dyDescent="0.25">
      <c r="Q1688" s="328"/>
    </row>
    <row r="1689" spans="17:17" x14ac:dyDescent="0.25">
      <c r="Q1689" s="328"/>
    </row>
    <row r="1690" spans="17:17" x14ac:dyDescent="0.25">
      <c r="Q1690" s="328"/>
    </row>
    <row r="1691" spans="17:17" x14ac:dyDescent="0.25">
      <c r="Q1691" s="328"/>
    </row>
    <row r="1692" spans="17:17" x14ac:dyDescent="0.25">
      <c r="Q1692" s="328"/>
    </row>
    <row r="1693" spans="17:17" x14ac:dyDescent="0.25">
      <c r="Q1693" s="328"/>
    </row>
    <row r="1694" spans="17:17" x14ac:dyDescent="0.25">
      <c r="Q1694" s="328"/>
    </row>
    <row r="1695" spans="17:17" x14ac:dyDescent="0.25">
      <c r="Q1695" s="328"/>
    </row>
    <row r="1696" spans="17:17" x14ac:dyDescent="0.25">
      <c r="Q1696" s="328"/>
    </row>
    <row r="1697" spans="17:17" x14ac:dyDescent="0.25">
      <c r="Q1697" s="328"/>
    </row>
    <row r="1698" spans="17:17" x14ac:dyDescent="0.25">
      <c r="Q1698" s="328"/>
    </row>
    <row r="1699" spans="17:17" x14ac:dyDescent="0.25">
      <c r="Q1699" s="328"/>
    </row>
    <row r="1700" spans="17:17" x14ac:dyDescent="0.25">
      <c r="Q1700" s="328"/>
    </row>
    <row r="1701" spans="17:17" x14ac:dyDescent="0.25">
      <c r="Q1701" s="328"/>
    </row>
    <row r="1702" spans="17:17" x14ac:dyDescent="0.25">
      <c r="Q1702" s="328"/>
    </row>
    <row r="1703" spans="17:17" x14ac:dyDescent="0.25">
      <c r="Q1703" s="328"/>
    </row>
    <row r="1704" spans="17:17" x14ac:dyDescent="0.25">
      <c r="Q1704" s="328"/>
    </row>
    <row r="1705" spans="17:17" x14ac:dyDescent="0.25">
      <c r="Q1705" s="328"/>
    </row>
    <row r="1706" spans="17:17" x14ac:dyDescent="0.25">
      <c r="Q1706" s="328"/>
    </row>
    <row r="1707" spans="17:17" x14ac:dyDescent="0.25">
      <c r="Q1707" s="328"/>
    </row>
    <row r="1708" spans="17:17" x14ac:dyDescent="0.25">
      <c r="Q1708" s="328"/>
    </row>
    <row r="1709" spans="17:17" x14ac:dyDescent="0.25">
      <c r="Q1709" s="328"/>
    </row>
    <row r="1710" spans="17:17" x14ac:dyDescent="0.25">
      <c r="Q1710" s="328"/>
    </row>
    <row r="1711" spans="17:17" x14ac:dyDescent="0.25">
      <c r="Q1711" s="328"/>
    </row>
    <row r="1712" spans="17:17" x14ac:dyDescent="0.25">
      <c r="Q1712" s="328"/>
    </row>
    <row r="1713" spans="17:17" x14ac:dyDescent="0.25">
      <c r="Q1713" s="328"/>
    </row>
    <row r="1714" spans="17:17" x14ac:dyDescent="0.25">
      <c r="Q1714" s="328"/>
    </row>
    <row r="1715" spans="17:17" x14ac:dyDescent="0.25">
      <c r="Q1715" s="328"/>
    </row>
    <row r="1716" spans="17:17" x14ac:dyDescent="0.25">
      <c r="Q1716" s="328"/>
    </row>
    <row r="1717" spans="17:17" x14ac:dyDescent="0.25">
      <c r="Q1717" s="328"/>
    </row>
    <row r="1718" spans="17:17" x14ac:dyDescent="0.25">
      <c r="Q1718" s="328"/>
    </row>
    <row r="1719" spans="17:17" x14ac:dyDescent="0.25">
      <c r="Q1719" s="328"/>
    </row>
    <row r="1720" spans="17:17" x14ac:dyDescent="0.25">
      <c r="Q1720" s="328"/>
    </row>
    <row r="1721" spans="17:17" x14ac:dyDescent="0.25">
      <c r="Q1721" s="328"/>
    </row>
    <row r="1722" spans="17:17" x14ac:dyDescent="0.25">
      <c r="Q1722" s="328"/>
    </row>
    <row r="1723" spans="17:17" x14ac:dyDescent="0.25">
      <c r="Q1723" s="328"/>
    </row>
    <row r="1724" spans="17:17" x14ac:dyDescent="0.25">
      <c r="Q1724" s="328"/>
    </row>
    <row r="1725" spans="17:17" x14ac:dyDescent="0.25">
      <c r="Q1725" s="328"/>
    </row>
    <row r="1726" spans="17:17" x14ac:dyDescent="0.25">
      <c r="Q1726" s="328"/>
    </row>
    <row r="1727" spans="17:17" x14ac:dyDescent="0.25">
      <c r="Q1727" s="328"/>
    </row>
    <row r="1728" spans="17:17" x14ac:dyDescent="0.25">
      <c r="Q1728" s="328"/>
    </row>
    <row r="1729" spans="17:17" x14ac:dyDescent="0.25">
      <c r="Q1729" s="328"/>
    </row>
    <row r="1730" spans="17:17" x14ac:dyDescent="0.25">
      <c r="Q1730" s="328"/>
    </row>
    <row r="1731" spans="17:17" x14ac:dyDescent="0.25">
      <c r="Q1731" s="328"/>
    </row>
    <row r="1732" spans="17:17" x14ac:dyDescent="0.25">
      <c r="Q1732" s="328"/>
    </row>
    <row r="1733" spans="17:17" x14ac:dyDescent="0.25">
      <c r="Q1733" s="328"/>
    </row>
    <row r="1734" spans="17:17" x14ac:dyDescent="0.25">
      <c r="Q1734" s="328"/>
    </row>
    <row r="1735" spans="17:17" x14ac:dyDescent="0.25">
      <c r="Q1735" s="328"/>
    </row>
    <row r="1736" spans="17:17" x14ac:dyDescent="0.25">
      <c r="Q1736" s="328"/>
    </row>
    <row r="1737" spans="17:17" x14ac:dyDescent="0.25">
      <c r="Q1737" s="328"/>
    </row>
    <row r="1738" spans="17:17" x14ac:dyDescent="0.25">
      <c r="Q1738" s="328"/>
    </row>
    <row r="1739" spans="17:17" x14ac:dyDescent="0.25">
      <c r="Q1739" s="328"/>
    </row>
    <row r="1740" spans="17:17" x14ac:dyDescent="0.25">
      <c r="Q1740" s="328"/>
    </row>
    <row r="1741" spans="17:17" x14ac:dyDescent="0.25">
      <c r="Q1741" s="328"/>
    </row>
    <row r="1742" spans="17:17" x14ac:dyDescent="0.25">
      <c r="Q1742" s="328"/>
    </row>
    <row r="1743" spans="17:17" x14ac:dyDescent="0.25">
      <c r="Q1743" s="328"/>
    </row>
    <row r="1744" spans="17:17" x14ac:dyDescent="0.25">
      <c r="Q1744" s="328"/>
    </row>
    <row r="1745" spans="17:17" x14ac:dyDescent="0.25">
      <c r="Q1745" s="328"/>
    </row>
    <row r="1746" spans="17:17" x14ac:dyDescent="0.25">
      <c r="Q1746" s="328"/>
    </row>
    <row r="1747" spans="17:17" x14ac:dyDescent="0.25">
      <c r="Q1747" s="328"/>
    </row>
    <row r="1748" spans="17:17" x14ac:dyDescent="0.25">
      <c r="Q1748" s="328"/>
    </row>
    <row r="1749" spans="17:17" x14ac:dyDescent="0.25">
      <c r="Q1749" s="328"/>
    </row>
    <row r="1750" spans="17:17" x14ac:dyDescent="0.25">
      <c r="Q1750" s="328"/>
    </row>
    <row r="1751" spans="17:17" x14ac:dyDescent="0.25">
      <c r="Q1751" s="328"/>
    </row>
    <row r="1752" spans="17:17" x14ac:dyDescent="0.25">
      <c r="Q1752" s="328"/>
    </row>
    <row r="1753" spans="17:17" x14ac:dyDescent="0.25">
      <c r="Q1753" s="328"/>
    </row>
    <row r="1754" spans="17:17" x14ac:dyDescent="0.25">
      <c r="Q1754" s="328"/>
    </row>
    <row r="1755" spans="17:17" x14ac:dyDescent="0.25">
      <c r="Q1755" s="328"/>
    </row>
    <row r="1756" spans="17:17" x14ac:dyDescent="0.25">
      <c r="Q1756" s="328"/>
    </row>
    <row r="1757" spans="17:17" x14ac:dyDescent="0.25">
      <c r="Q1757" s="328"/>
    </row>
    <row r="1758" spans="17:17" x14ac:dyDescent="0.25">
      <c r="Q1758" s="328"/>
    </row>
    <row r="1759" spans="17:17" x14ac:dyDescent="0.25">
      <c r="Q1759" s="328"/>
    </row>
    <row r="1760" spans="17:17" x14ac:dyDescent="0.25">
      <c r="Q1760" s="328"/>
    </row>
    <row r="1761" spans="17:17" x14ac:dyDescent="0.25">
      <c r="Q1761" s="328"/>
    </row>
    <row r="1762" spans="17:17" x14ac:dyDescent="0.25">
      <c r="Q1762" s="328"/>
    </row>
    <row r="1763" spans="17:17" x14ac:dyDescent="0.25">
      <c r="Q1763" s="328"/>
    </row>
    <row r="1764" spans="17:17" x14ac:dyDescent="0.25">
      <c r="Q1764" s="328"/>
    </row>
    <row r="1765" spans="17:17" x14ac:dyDescent="0.25">
      <c r="Q1765" s="328"/>
    </row>
    <row r="1766" spans="17:17" x14ac:dyDescent="0.25">
      <c r="Q1766" s="328"/>
    </row>
    <row r="1767" spans="17:17" x14ac:dyDescent="0.25">
      <c r="Q1767" s="328"/>
    </row>
    <row r="1768" spans="17:17" x14ac:dyDescent="0.25">
      <c r="Q1768" s="328"/>
    </row>
    <row r="1769" spans="17:17" x14ac:dyDescent="0.25">
      <c r="Q1769" s="328"/>
    </row>
    <row r="1770" spans="17:17" x14ac:dyDescent="0.25">
      <c r="Q1770" s="328"/>
    </row>
    <row r="1771" spans="17:17" x14ac:dyDescent="0.25">
      <c r="Q1771" s="328"/>
    </row>
    <row r="1772" spans="17:17" x14ac:dyDescent="0.25">
      <c r="Q1772" s="328"/>
    </row>
    <row r="1773" spans="17:17" x14ac:dyDescent="0.25">
      <c r="Q1773" s="328"/>
    </row>
    <row r="1774" spans="17:17" x14ac:dyDescent="0.25">
      <c r="Q1774" s="328"/>
    </row>
    <row r="1775" spans="17:17" x14ac:dyDescent="0.25">
      <c r="Q1775" s="328"/>
    </row>
    <row r="1776" spans="17:17" x14ac:dyDescent="0.25">
      <c r="Q1776" s="328"/>
    </row>
    <row r="1777" spans="17:17" x14ac:dyDescent="0.25">
      <c r="Q1777" s="328"/>
    </row>
    <row r="1778" spans="17:17" x14ac:dyDescent="0.25">
      <c r="Q1778" s="328"/>
    </row>
    <row r="1779" spans="17:17" x14ac:dyDescent="0.25">
      <c r="Q1779" s="328"/>
    </row>
    <row r="1780" spans="17:17" x14ac:dyDescent="0.25">
      <c r="Q1780" s="328"/>
    </row>
    <row r="1781" spans="17:17" x14ac:dyDescent="0.25">
      <c r="Q1781" s="328"/>
    </row>
    <row r="1782" spans="17:17" x14ac:dyDescent="0.25">
      <c r="Q1782" s="328"/>
    </row>
    <row r="1783" spans="17:17" x14ac:dyDescent="0.25">
      <c r="Q1783" s="328"/>
    </row>
    <row r="1784" spans="17:17" x14ac:dyDescent="0.25">
      <c r="Q1784" s="328"/>
    </row>
    <row r="1785" spans="17:17" x14ac:dyDescent="0.25">
      <c r="Q1785" s="328"/>
    </row>
    <row r="1786" spans="17:17" x14ac:dyDescent="0.25">
      <c r="Q1786" s="328"/>
    </row>
    <row r="1787" spans="17:17" x14ac:dyDescent="0.25">
      <c r="Q1787" s="328"/>
    </row>
    <row r="1788" spans="17:17" x14ac:dyDescent="0.25">
      <c r="Q1788" s="328"/>
    </row>
    <row r="1789" spans="17:17" x14ac:dyDescent="0.25">
      <c r="Q1789" s="328"/>
    </row>
    <row r="1790" spans="17:17" x14ac:dyDescent="0.25">
      <c r="Q1790" s="328"/>
    </row>
    <row r="1791" spans="17:17" x14ac:dyDescent="0.25">
      <c r="Q1791" s="328"/>
    </row>
    <row r="1792" spans="17:17" x14ac:dyDescent="0.25">
      <c r="Q1792" s="328"/>
    </row>
    <row r="1793" spans="17:17" x14ac:dyDescent="0.25">
      <c r="Q1793" s="328"/>
    </row>
    <row r="1794" spans="17:17" x14ac:dyDescent="0.25">
      <c r="Q1794" s="328"/>
    </row>
    <row r="1795" spans="17:17" x14ac:dyDescent="0.25">
      <c r="Q1795" s="328"/>
    </row>
    <row r="1796" spans="17:17" x14ac:dyDescent="0.25">
      <c r="Q1796" s="328"/>
    </row>
    <row r="1797" spans="17:17" x14ac:dyDescent="0.25">
      <c r="Q1797" s="328"/>
    </row>
    <row r="1798" spans="17:17" x14ac:dyDescent="0.25">
      <c r="Q1798" s="328"/>
    </row>
    <row r="1799" spans="17:17" x14ac:dyDescent="0.25">
      <c r="Q1799" s="328"/>
    </row>
    <row r="1800" spans="17:17" x14ac:dyDescent="0.25">
      <c r="Q1800" s="328"/>
    </row>
    <row r="1801" spans="17:17" x14ac:dyDescent="0.25">
      <c r="Q1801" s="328"/>
    </row>
    <row r="1802" spans="17:17" x14ac:dyDescent="0.25">
      <c r="Q1802" s="328"/>
    </row>
    <row r="1803" spans="17:17" x14ac:dyDescent="0.25">
      <c r="Q1803" s="328"/>
    </row>
    <row r="1804" spans="17:17" x14ac:dyDescent="0.25">
      <c r="Q1804" s="328"/>
    </row>
    <row r="1805" spans="17:17" x14ac:dyDescent="0.25">
      <c r="Q1805" s="328"/>
    </row>
    <row r="1806" spans="17:17" x14ac:dyDescent="0.25">
      <c r="Q1806" s="328"/>
    </row>
    <row r="1807" spans="17:17" x14ac:dyDescent="0.25">
      <c r="Q1807" s="328"/>
    </row>
    <row r="1808" spans="17:17" x14ac:dyDescent="0.25">
      <c r="Q1808" s="328"/>
    </row>
    <row r="1809" spans="17:17" x14ac:dyDescent="0.25">
      <c r="Q1809" s="328"/>
    </row>
    <row r="1810" spans="17:17" x14ac:dyDescent="0.25">
      <c r="Q1810" s="328"/>
    </row>
    <row r="1811" spans="17:17" x14ac:dyDescent="0.25">
      <c r="Q1811" s="328"/>
    </row>
    <row r="1812" spans="17:17" x14ac:dyDescent="0.25">
      <c r="Q1812" s="328"/>
    </row>
    <row r="1813" spans="17:17" x14ac:dyDescent="0.25">
      <c r="Q1813" s="328"/>
    </row>
    <row r="1814" spans="17:17" x14ac:dyDescent="0.25">
      <c r="Q1814" s="328"/>
    </row>
    <row r="1815" spans="17:17" x14ac:dyDescent="0.25">
      <c r="Q1815" s="328"/>
    </row>
    <row r="1816" spans="17:17" x14ac:dyDescent="0.25">
      <c r="Q1816" s="328"/>
    </row>
    <row r="1817" spans="17:17" x14ac:dyDescent="0.25">
      <c r="Q1817" s="328"/>
    </row>
    <row r="1818" spans="17:17" x14ac:dyDescent="0.25">
      <c r="Q1818" s="328"/>
    </row>
    <row r="1819" spans="17:17" x14ac:dyDescent="0.25">
      <c r="Q1819" s="328"/>
    </row>
    <row r="1820" spans="17:17" x14ac:dyDescent="0.25">
      <c r="Q1820" s="328"/>
    </row>
    <row r="1821" spans="17:17" x14ac:dyDescent="0.25">
      <c r="Q1821" s="328"/>
    </row>
    <row r="1822" spans="17:17" x14ac:dyDescent="0.25">
      <c r="Q1822" s="328"/>
    </row>
    <row r="1823" spans="17:17" x14ac:dyDescent="0.25">
      <c r="Q1823" s="328"/>
    </row>
    <row r="1824" spans="17:17" x14ac:dyDescent="0.25">
      <c r="Q1824" s="328"/>
    </row>
    <row r="1825" spans="17:17" x14ac:dyDescent="0.25">
      <c r="Q1825" s="328"/>
    </row>
    <row r="1826" spans="17:17" x14ac:dyDescent="0.25">
      <c r="Q1826" s="328"/>
    </row>
    <row r="1827" spans="17:17" x14ac:dyDescent="0.25">
      <c r="Q1827" s="328"/>
    </row>
    <row r="1828" spans="17:17" x14ac:dyDescent="0.25">
      <c r="Q1828" s="328"/>
    </row>
    <row r="1829" spans="17:17" x14ac:dyDescent="0.25">
      <c r="Q1829" s="328"/>
    </row>
    <row r="1830" spans="17:17" x14ac:dyDescent="0.25">
      <c r="Q1830" s="328"/>
    </row>
    <row r="1831" spans="17:17" x14ac:dyDescent="0.25">
      <c r="Q1831" s="328"/>
    </row>
    <row r="1832" spans="17:17" x14ac:dyDescent="0.25">
      <c r="Q1832" s="328"/>
    </row>
    <row r="1833" spans="17:17" x14ac:dyDescent="0.25">
      <c r="Q1833" s="328"/>
    </row>
    <row r="1834" spans="17:17" x14ac:dyDescent="0.25">
      <c r="Q1834" s="328"/>
    </row>
    <row r="1835" spans="17:17" x14ac:dyDescent="0.25">
      <c r="Q1835" s="328"/>
    </row>
    <row r="1836" spans="17:17" x14ac:dyDescent="0.25">
      <c r="Q1836" s="328"/>
    </row>
    <row r="1837" spans="17:17" x14ac:dyDescent="0.25">
      <c r="Q1837" s="328"/>
    </row>
    <row r="1838" spans="17:17" x14ac:dyDescent="0.25">
      <c r="Q1838" s="328"/>
    </row>
    <row r="1839" spans="17:17" x14ac:dyDescent="0.25">
      <c r="Q1839" s="328"/>
    </row>
    <row r="1840" spans="17:17" x14ac:dyDescent="0.25">
      <c r="Q1840" s="328"/>
    </row>
    <row r="1841" spans="17:17" x14ac:dyDescent="0.25">
      <c r="Q1841" s="328"/>
    </row>
    <row r="1842" spans="17:17" x14ac:dyDescent="0.25">
      <c r="Q1842" s="328"/>
    </row>
    <row r="1843" spans="17:17" x14ac:dyDescent="0.25">
      <c r="Q1843" s="328"/>
    </row>
    <row r="1844" spans="17:17" x14ac:dyDescent="0.25">
      <c r="Q1844" s="328"/>
    </row>
    <row r="1845" spans="17:17" x14ac:dyDescent="0.25">
      <c r="Q1845" s="328"/>
    </row>
    <row r="1846" spans="17:17" x14ac:dyDescent="0.25">
      <c r="Q1846" s="328"/>
    </row>
    <row r="1847" spans="17:17" x14ac:dyDescent="0.25">
      <c r="Q1847" s="328"/>
    </row>
    <row r="1848" spans="17:17" x14ac:dyDescent="0.25">
      <c r="Q1848" s="328"/>
    </row>
    <row r="1849" spans="17:17" x14ac:dyDescent="0.25">
      <c r="Q1849" s="328"/>
    </row>
    <row r="1850" spans="17:17" x14ac:dyDescent="0.25">
      <c r="Q1850" s="328"/>
    </row>
    <row r="1851" spans="17:17" x14ac:dyDescent="0.25">
      <c r="Q1851" s="328"/>
    </row>
    <row r="1852" spans="17:17" x14ac:dyDescent="0.25">
      <c r="Q1852" s="328"/>
    </row>
    <row r="1853" spans="17:17" x14ac:dyDescent="0.25">
      <c r="Q1853" s="328"/>
    </row>
    <row r="1854" spans="17:17" x14ac:dyDescent="0.25">
      <c r="Q1854" s="328"/>
    </row>
    <row r="1855" spans="17:17" x14ac:dyDescent="0.25">
      <c r="Q1855" s="328"/>
    </row>
    <row r="1856" spans="17:17" x14ac:dyDescent="0.25">
      <c r="Q1856" s="328"/>
    </row>
    <row r="1857" spans="17:17" x14ac:dyDescent="0.25">
      <c r="Q1857" s="328"/>
    </row>
    <row r="1858" spans="17:17" x14ac:dyDescent="0.25">
      <c r="Q1858" s="328"/>
    </row>
    <row r="1859" spans="17:17" x14ac:dyDescent="0.25">
      <c r="Q1859" s="328"/>
    </row>
    <row r="1860" spans="17:17" x14ac:dyDescent="0.25">
      <c r="Q1860" s="328"/>
    </row>
    <row r="1861" spans="17:17" x14ac:dyDescent="0.25">
      <c r="Q1861" s="328"/>
    </row>
    <row r="1862" spans="17:17" x14ac:dyDescent="0.25">
      <c r="Q1862" s="328"/>
    </row>
    <row r="1863" spans="17:17" x14ac:dyDescent="0.25">
      <c r="Q1863" s="328"/>
    </row>
    <row r="1864" spans="17:17" x14ac:dyDescent="0.25">
      <c r="Q1864" s="328"/>
    </row>
    <row r="1865" spans="17:17" x14ac:dyDescent="0.25">
      <c r="Q1865" s="328"/>
    </row>
    <row r="1866" spans="17:17" x14ac:dyDescent="0.25">
      <c r="Q1866" s="328"/>
    </row>
    <row r="1867" spans="17:17" x14ac:dyDescent="0.25">
      <c r="Q1867" s="328"/>
    </row>
    <row r="1868" spans="17:17" x14ac:dyDescent="0.25">
      <c r="Q1868" s="328"/>
    </row>
    <row r="1869" spans="17:17" x14ac:dyDescent="0.25">
      <c r="Q1869" s="328"/>
    </row>
    <row r="1870" spans="17:17" x14ac:dyDescent="0.25">
      <c r="Q1870" s="328"/>
    </row>
    <row r="1871" spans="17:17" x14ac:dyDescent="0.25">
      <c r="Q1871" s="328"/>
    </row>
    <row r="1872" spans="17:17" x14ac:dyDescent="0.25">
      <c r="Q1872" s="328"/>
    </row>
    <row r="1873" spans="17:17" x14ac:dyDescent="0.25">
      <c r="Q1873" s="328"/>
    </row>
    <row r="1874" spans="17:17" x14ac:dyDescent="0.25">
      <c r="Q1874" s="328"/>
    </row>
    <row r="1875" spans="17:17" x14ac:dyDescent="0.25">
      <c r="Q1875" s="328"/>
    </row>
    <row r="1876" spans="17:17" x14ac:dyDescent="0.25">
      <c r="Q1876" s="328"/>
    </row>
    <row r="1877" spans="17:17" x14ac:dyDescent="0.25">
      <c r="Q1877" s="328"/>
    </row>
    <row r="1878" spans="17:17" x14ac:dyDescent="0.25">
      <c r="Q1878" s="328"/>
    </row>
    <row r="1879" spans="17:17" x14ac:dyDescent="0.25">
      <c r="Q1879" s="328"/>
    </row>
    <row r="1880" spans="17:17" x14ac:dyDescent="0.25">
      <c r="Q1880" s="328"/>
    </row>
    <row r="1881" spans="17:17" x14ac:dyDescent="0.25">
      <c r="Q1881" s="328"/>
    </row>
    <row r="1882" spans="17:17" x14ac:dyDescent="0.25">
      <c r="Q1882" s="328"/>
    </row>
    <row r="1883" spans="17:17" x14ac:dyDescent="0.25">
      <c r="Q1883" s="328"/>
    </row>
    <row r="1884" spans="17:17" x14ac:dyDescent="0.25">
      <c r="Q1884" s="328"/>
    </row>
    <row r="1885" spans="17:17" x14ac:dyDescent="0.25">
      <c r="Q1885" s="328"/>
    </row>
    <row r="1886" spans="17:17" x14ac:dyDescent="0.25">
      <c r="Q1886" s="328"/>
    </row>
    <row r="1887" spans="17:17" x14ac:dyDescent="0.25">
      <c r="Q1887" s="328"/>
    </row>
    <row r="1888" spans="17:17" x14ac:dyDescent="0.25">
      <c r="Q1888" s="328"/>
    </row>
    <row r="1889" spans="17:17" x14ac:dyDescent="0.25">
      <c r="Q1889" s="328"/>
    </row>
    <row r="1890" spans="17:17" x14ac:dyDescent="0.25">
      <c r="Q1890" s="328"/>
    </row>
    <row r="1891" spans="17:17" x14ac:dyDescent="0.25">
      <c r="Q1891" s="328"/>
    </row>
    <row r="1892" spans="17:17" x14ac:dyDescent="0.25">
      <c r="Q1892" s="328"/>
    </row>
    <row r="1893" spans="17:17" x14ac:dyDescent="0.25">
      <c r="Q1893" s="328"/>
    </row>
    <row r="1894" spans="17:17" x14ac:dyDescent="0.25">
      <c r="Q1894" s="328"/>
    </row>
    <row r="1895" spans="17:17" x14ac:dyDescent="0.25">
      <c r="Q1895" s="328"/>
    </row>
    <row r="1896" spans="17:17" x14ac:dyDescent="0.25">
      <c r="Q1896" s="328"/>
    </row>
    <row r="1897" spans="17:17" x14ac:dyDescent="0.25">
      <c r="Q1897" s="328"/>
    </row>
    <row r="1898" spans="17:17" x14ac:dyDescent="0.25">
      <c r="Q1898" s="328"/>
    </row>
    <row r="1899" spans="17:17" x14ac:dyDescent="0.25">
      <c r="Q1899" s="328"/>
    </row>
    <row r="1900" spans="17:17" x14ac:dyDescent="0.25">
      <c r="Q1900" s="328"/>
    </row>
    <row r="1901" spans="17:17" x14ac:dyDescent="0.25">
      <c r="Q1901" s="328"/>
    </row>
    <row r="1902" spans="17:17" x14ac:dyDescent="0.25">
      <c r="Q1902" s="328"/>
    </row>
    <row r="1903" spans="17:17" x14ac:dyDescent="0.25">
      <c r="Q1903" s="328"/>
    </row>
    <row r="1904" spans="17:17" x14ac:dyDescent="0.25">
      <c r="Q1904" s="328"/>
    </row>
    <row r="1905" spans="17:17" x14ac:dyDescent="0.25">
      <c r="Q1905" s="328"/>
    </row>
    <row r="1906" spans="17:17" x14ac:dyDescent="0.25">
      <c r="Q1906" s="328"/>
    </row>
    <row r="1907" spans="17:17" x14ac:dyDescent="0.25">
      <c r="Q1907" s="328"/>
    </row>
    <row r="1908" spans="17:17" x14ac:dyDescent="0.25">
      <c r="Q1908" s="328"/>
    </row>
    <row r="1909" spans="17:17" x14ac:dyDescent="0.25">
      <c r="Q1909" s="328"/>
    </row>
    <row r="1910" spans="17:17" x14ac:dyDescent="0.25">
      <c r="Q1910" s="328"/>
    </row>
    <row r="1911" spans="17:17" x14ac:dyDescent="0.25">
      <c r="Q1911" s="328"/>
    </row>
    <row r="1912" spans="17:17" x14ac:dyDescent="0.25">
      <c r="Q1912" s="328"/>
    </row>
    <row r="1913" spans="17:17" x14ac:dyDescent="0.25">
      <c r="Q1913" s="328"/>
    </row>
    <row r="1914" spans="17:17" x14ac:dyDescent="0.25">
      <c r="Q1914" s="328"/>
    </row>
    <row r="1915" spans="17:17" x14ac:dyDescent="0.25">
      <c r="Q1915" s="328"/>
    </row>
    <row r="1916" spans="17:17" x14ac:dyDescent="0.25">
      <c r="Q1916" s="328"/>
    </row>
    <row r="1917" spans="17:17" x14ac:dyDescent="0.25">
      <c r="Q1917" s="328"/>
    </row>
    <row r="1918" spans="17:17" x14ac:dyDescent="0.25">
      <c r="Q1918" s="328"/>
    </row>
    <row r="1919" spans="17:17" x14ac:dyDescent="0.25">
      <c r="Q1919" s="328"/>
    </row>
    <row r="1920" spans="17:17" x14ac:dyDescent="0.25">
      <c r="Q1920" s="328"/>
    </row>
    <row r="1921" spans="17:17" x14ac:dyDescent="0.25">
      <c r="Q1921" s="328"/>
    </row>
    <row r="1922" spans="17:17" x14ac:dyDescent="0.25">
      <c r="Q1922" s="328"/>
    </row>
    <row r="1923" spans="17:17" x14ac:dyDescent="0.25">
      <c r="Q1923" s="328"/>
    </row>
    <row r="1924" spans="17:17" x14ac:dyDescent="0.25">
      <c r="Q1924" s="328"/>
    </row>
    <row r="1925" spans="17:17" x14ac:dyDescent="0.25">
      <c r="Q1925" s="328"/>
    </row>
    <row r="1926" spans="17:17" x14ac:dyDescent="0.25">
      <c r="Q1926" s="328"/>
    </row>
    <row r="1927" spans="17:17" x14ac:dyDescent="0.25">
      <c r="Q1927" s="328"/>
    </row>
    <row r="1928" spans="17:17" x14ac:dyDescent="0.25">
      <c r="Q1928" s="328"/>
    </row>
    <row r="1929" spans="17:17" x14ac:dyDescent="0.25">
      <c r="Q1929" s="328"/>
    </row>
    <row r="1930" spans="17:17" x14ac:dyDescent="0.25">
      <c r="Q1930" s="328"/>
    </row>
    <row r="1931" spans="17:17" x14ac:dyDescent="0.25">
      <c r="Q1931" s="328"/>
    </row>
    <row r="1932" spans="17:17" x14ac:dyDescent="0.25">
      <c r="Q1932" s="328"/>
    </row>
    <row r="1933" spans="17:17" x14ac:dyDescent="0.25">
      <c r="Q1933" s="328"/>
    </row>
    <row r="1934" spans="17:17" x14ac:dyDescent="0.25">
      <c r="Q1934" s="328"/>
    </row>
    <row r="1935" spans="17:17" x14ac:dyDescent="0.25">
      <c r="Q1935" s="328"/>
    </row>
    <row r="1936" spans="17:17" x14ac:dyDescent="0.25">
      <c r="Q1936" s="328"/>
    </row>
    <row r="1937" spans="17:17" x14ac:dyDescent="0.25">
      <c r="Q1937" s="328"/>
    </row>
    <row r="1938" spans="17:17" x14ac:dyDescent="0.25">
      <c r="Q1938" s="328"/>
    </row>
    <row r="1939" spans="17:17" x14ac:dyDescent="0.25">
      <c r="Q1939" s="328"/>
    </row>
    <row r="1940" spans="17:17" x14ac:dyDescent="0.25">
      <c r="Q1940" s="328"/>
    </row>
    <row r="1941" spans="17:17" x14ac:dyDescent="0.25">
      <c r="Q1941" s="328"/>
    </row>
    <row r="1942" spans="17:17" x14ac:dyDescent="0.25">
      <c r="Q1942" s="328"/>
    </row>
    <row r="1943" spans="17:17" x14ac:dyDescent="0.25">
      <c r="Q1943" s="328"/>
    </row>
    <row r="1944" spans="17:17" x14ac:dyDescent="0.25">
      <c r="Q1944" s="328"/>
    </row>
    <row r="1945" spans="17:17" x14ac:dyDescent="0.25">
      <c r="Q1945" s="328"/>
    </row>
    <row r="1946" spans="17:17" x14ac:dyDescent="0.25">
      <c r="Q1946" s="328"/>
    </row>
    <row r="1947" spans="17:17" x14ac:dyDescent="0.25">
      <c r="Q1947" s="328"/>
    </row>
    <row r="1948" spans="17:17" x14ac:dyDescent="0.25">
      <c r="Q1948" s="328"/>
    </row>
    <row r="1949" spans="17:17" x14ac:dyDescent="0.25">
      <c r="Q1949" s="328"/>
    </row>
    <row r="1950" spans="17:17" x14ac:dyDescent="0.25">
      <c r="Q1950" s="328"/>
    </row>
    <row r="1951" spans="17:17" x14ac:dyDescent="0.25">
      <c r="Q1951" s="328"/>
    </row>
    <row r="1952" spans="17:17" x14ac:dyDescent="0.25">
      <c r="Q1952" s="328"/>
    </row>
    <row r="1953" spans="17:17" x14ac:dyDescent="0.25">
      <c r="Q1953" s="328"/>
    </row>
    <row r="1954" spans="17:17" x14ac:dyDescent="0.25">
      <c r="Q1954" s="328"/>
    </row>
    <row r="1955" spans="17:17" x14ac:dyDescent="0.25">
      <c r="Q1955" s="328"/>
    </row>
    <row r="1956" spans="17:17" x14ac:dyDescent="0.25">
      <c r="Q1956" s="328"/>
    </row>
    <row r="1957" spans="17:17" x14ac:dyDescent="0.25">
      <c r="Q1957" s="328"/>
    </row>
    <row r="1958" spans="17:17" x14ac:dyDescent="0.25">
      <c r="Q1958" s="328"/>
    </row>
    <row r="1959" spans="17:17" x14ac:dyDescent="0.25">
      <c r="Q1959" s="328"/>
    </row>
    <row r="1960" spans="17:17" x14ac:dyDescent="0.25">
      <c r="Q1960" s="328"/>
    </row>
    <row r="1961" spans="17:17" x14ac:dyDescent="0.25">
      <c r="Q1961" s="328"/>
    </row>
    <row r="1962" spans="17:17" x14ac:dyDescent="0.25">
      <c r="Q1962" s="328"/>
    </row>
    <row r="1963" spans="17:17" x14ac:dyDescent="0.25">
      <c r="Q1963" s="328"/>
    </row>
    <row r="1964" spans="17:17" x14ac:dyDescent="0.25">
      <c r="Q1964" s="328"/>
    </row>
    <row r="1965" spans="17:17" x14ac:dyDescent="0.25">
      <c r="Q1965" s="328"/>
    </row>
    <row r="1966" spans="17:17" x14ac:dyDescent="0.25">
      <c r="Q1966" s="328"/>
    </row>
    <row r="1967" spans="17:17" x14ac:dyDescent="0.25">
      <c r="Q1967" s="328"/>
    </row>
    <row r="1968" spans="17:17" x14ac:dyDescent="0.25">
      <c r="Q1968" s="328"/>
    </row>
    <row r="1969" spans="17:17" x14ac:dyDescent="0.25">
      <c r="Q1969" s="328"/>
    </row>
    <row r="1970" spans="17:17" x14ac:dyDescent="0.25">
      <c r="Q1970" s="328"/>
    </row>
    <row r="1971" spans="17:17" x14ac:dyDescent="0.25">
      <c r="Q1971" s="328"/>
    </row>
    <row r="1972" spans="17:17" x14ac:dyDescent="0.25">
      <c r="Q1972" s="328"/>
    </row>
    <row r="1973" spans="17:17" x14ac:dyDescent="0.25">
      <c r="Q1973" s="328"/>
    </row>
    <row r="1974" spans="17:17" x14ac:dyDescent="0.25">
      <c r="Q1974" s="328"/>
    </row>
    <row r="1975" spans="17:17" x14ac:dyDescent="0.25">
      <c r="Q1975" s="328"/>
    </row>
    <row r="1976" spans="17:17" x14ac:dyDescent="0.25">
      <c r="Q1976" s="328"/>
    </row>
    <row r="1977" spans="17:17" x14ac:dyDescent="0.25">
      <c r="Q1977" s="328"/>
    </row>
    <row r="1978" spans="17:17" x14ac:dyDescent="0.25">
      <c r="Q1978" s="328"/>
    </row>
    <row r="1979" spans="17:17" x14ac:dyDescent="0.25">
      <c r="Q1979" s="328"/>
    </row>
    <row r="1980" spans="17:17" x14ac:dyDescent="0.25">
      <c r="Q1980" s="328"/>
    </row>
    <row r="1981" spans="17:17" x14ac:dyDescent="0.25">
      <c r="Q1981" s="328"/>
    </row>
    <row r="1982" spans="17:17" x14ac:dyDescent="0.25">
      <c r="Q1982" s="328"/>
    </row>
    <row r="1983" spans="17:17" x14ac:dyDescent="0.25">
      <c r="Q1983" s="328"/>
    </row>
    <row r="1984" spans="17:17" x14ac:dyDescent="0.25">
      <c r="Q1984" s="328"/>
    </row>
    <row r="1985" spans="17:17" x14ac:dyDescent="0.25">
      <c r="Q1985" s="328"/>
    </row>
    <row r="1986" spans="17:17" x14ac:dyDescent="0.25">
      <c r="Q1986" s="328"/>
    </row>
    <row r="1987" spans="17:17" x14ac:dyDescent="0.25">
      <c r="Q1987" s="328"/>
    </row>
    <row r="1988" spans="17:17" x14ac:dyDescent="0.25">
      <c r="Q1988" s="328"/>
    </row>
    <row r="1989" spans="17:17" x14ac:dyDescent="0.25">
      <c r="Q1989" s="328"/>
    </row>
    <row r="1990" spans="17:17" x14ac:dyDescent="0.25">
      <c r="Q1990" s="328"/>
    </row>
    <row r="1991" spans="17:17" x14ac:dyDescent="0.25">
      <c r="Q1991" s="328"/>
    </row>
    <row r="1992" spans="17:17" x14ac:dyDescent="0.25">
      <c r="Q1992" s="328"/>
    </row>
    <row r="1993" spans="17:17" x14ac:dyDescent="0.25">
      <c r="Q1993" s="328"/>
    </row>
    <row r="1994" spans="17:17" x14ac:dyDescent="0.25">
      <c r="Q1994" s="328"/>
    </row>
    <row r="1995" spans="17:17" x14ac:dyDescent="0.25">
      <c r="Q1995" s="328"/>
    </row>
    <row r="1996" spans="17:17" x14ac:dyDescent="0.25">
      <c r="Q1996" s="328"/>
    </row>
    <row r="1997" spans="17:17" x14ac:dyDescent="0.25">
      <c r="Q1997" s="328"/>
    </row>
    <row r="1998" spans="17:17" x14ac:dyDescent="0.25">
      <c r="Q1998" s="328"/>
    </row>
    <row r="1999" spans="17:17" x14ac:dyDescent="0.25">
      <c r="Q1999" s="328"/>
    </row>
    <row r="2000" spans="17:17" x14ac:dyDescent="0.25">
      <c r="Q2000" s="328"/>
    </row>
    <row r="2001" spans="17:17" x14ac:dyDescent="0.25">
      <c r="Q2001" s="328"/>
    </row>
    <row r="2002" spans="17:17" x14ac:dyDescent="0.25">
      <c r="Q2002" s="328"/>
    </row>
    <row r="2003" spans="17:17" x14ac:dyDescent="0.25">
      <c r="Q2003" s="328"/>
    </row>
    <row r="2004" spans="17:17" x14ac:dyDescent="0.25">
      <c r="Q2004" s="328"/>
    </row>
    <row r="2005" spans="17:17" x14ac:dyDescent="0.25">
      <c r="Q2005" s="328"/>
    </row>
    <row r="2006" spans="17:17" x14ac:dyDescent="0.25">
      <c r="Q2006" s="328"/>
    </row>
    <row r="2007" spans="17:17" x14ac:dyDescent="0.25">
      <c r="Q2007" s="328"/>
    </row>
    <row r="2008" spans="17:17" x14ac:dyDescent="0.25">
      <c r="Q2008" s="328"/>
    </row>
    <row r="2009" spans="17:17" x14ac:dyDescent="0.25">
      <c r="Q2009" s="328"/>
    </row>
    <row r="2010" spans="17:17" x14ac:dyDescent="0.25">
      <c r="Q2010" s="328"/>
    </row>
    <row r="2011" spans="17:17" x14ac:dyDescent="0.25">
      <c r="Q2011" s="328"/>
    </row>
    <row r="2012" spans="17:17" x14ac:dyDescent="0.25">
      <c r="Q2012" s="328"/>
    </row>
    <row r="2013" spans="17:17" x14ac:dyDescent="0.25">
      <c r="Q2013" s="328"/>
    </row>
    <row r="2014" spans="17:17" x14ac:dyDescent="0.25">
      <c r="Q2014" s="328"/>
    </row>
    <row r="2015" spans="17:17" x14ac:dyDescent="0.25">
      <c r="Q2015" s="328"/>
    </row>
    <row r="2016" spans="17:17" x14ac:dyDescent="0.25">
      <c r="Q2016" s="328"/>
    </row>
    <row r="2017" spans="17:17" x14ac:dyDescent="0.25">
      <c r="Q2017" s="328"/>
    </row>
    <row r="2018" spans="17:17" x14ac:dyDescent="0.25">
      <c r="Q2018" s="328"/>
    </row>
    <row r="2019" spans="17:17" x14ac:dyDescent="0.25">
      <c r="Q2019" s="328"/>
    </row>
    <row r="2020" spans="17:17" x14ac:dyDescent="0.25">
      <c r="Q2020" s="328"/>
    </row>
    <row r="2021" spans="17:17" x14ac:dyDescent="0.25">
      <c r="Q2021" s="328"/>
    </row>
    <row r="2022" spans="17:17" x14ac:dyDescent="0.25">
      <c r="Q2022" s="328"/>
    </row>
    <row r="2023" spans="17:17" x14ac:dyDescent="0.25">
      <c r="Q2023" s="328"/>
    </row>
    <row r="2024" spans="17:17" x14ac:dyDescent="0.25">
      <c r="Q2024" s="328"/>
    </row>
    <row r="2025" spans="17:17" x14ac:dyDescent="0.25">
      <c r="Q2025" s="328"/>
    </row>
    <row r="2026" spans="17:17" x14ac:dyDescent="0.25">
      <c r="Q2026" s="328"/>
    </row>
    <row r="2027" spans="17:17" x14ac:dyDescent="0.25">
      <c r="Q2027" s="328"/>
    </row>
    <row r="2028" spans="17:17" x14ac:dyDescent="0.25">
      <c r="Q2028" s="328"/>
    </row>
    <row r="2029" spans="17:17" x14ac:dyDescent="0.25">
      <c r="Q2029" s="328"/>
    </row>
    <row r="2030" spans="17:17" x14ac:dyDescent="0.25">
      <c r="Q2030" s="328"/>
    </row>
    <row r="2031" spans="17:17" x14ac:dyDescent="0.25">
      <c r="Q2031" s="328"/>
    </row>
    <row r="2032" spans="17:17" x14ac:dyDescent="0.25">
      <c r="Q2032" s="328"/>
    </row>
    <row r="2033" spans="17:17" x14ac:dyDescent="0.25">
      <c r="Q2033" s="328"/>
    </row>
    <row r="2034" spans="17:17" x14ac:dyDescent="0.25">
      <c r="Q2034" s="328"/>
    </row>
    <row r="2035" spans="17:17" x14ac:dyDescent="0.25">
      <c r="Q2035" s="328"/>
    </row>
    <row r="2036" spans="17:17" x14ac:dyDescent="0.25">
      <c r="Q2036" s="328"/>
    </row>
    <row r="2037" spans="17:17" x14ac:dyDescent="0.25">
      <c r="Q2037" s="328"/>
    </row>
    <row r="2038" spans="17:17" x14ac:dyDescent="0.25">
      <c r="Q2038" s="328"/>
    </row>
    <row r="2039" spans="17:17" x14ac:dyDescent="0.25">
      <c r="Q2039" s="328"/>
    </row>
    <row r="2040" spans="17:17" x14ac:dyDescent="0.25">
      <c r="Q2040" s="328"/>
    </row>
    <row r="2041" spans="17:17" x14ac:dyDescent="0.25">
      <c r="Q2041" s="328"/>
    </row>
    <row r="2042" spans="17:17" x14ac:dyDescent="0.25">
      <c r="Q2042" s="328"/>
    </row>
    <row r="2043" spans="17:17" x14ac:dyDescent="0.25">
      <c r="Q2043" s="328"/>
    </row>
    <row r="2044" spans="17:17" x14ac:dyDescent="0.25">
      <c r="Q2044" s="328"/>
    </row>
    <row r="2045" spans="17:17" x14ac:dyDescent="0.25">
      <c r="Q2045" s="328"/>
    </row>
    <row r="2046" spans="17:17" x14ac:dyDescent="0.25">
      <c r="Q2046" s="328"/>
    </row>
    <row r="2047" spans="17:17" x14ac:dyDescent="0.25">
      <c r="Q2047" s="328"/>
    </row>
    <row r="2048" spans="17:17" x14ac:dyDescent="0.25">
      <c r="Q2048" s="328"/>
    </row>
    <row r="2049" spans="17:17" x14ac:dyDescent="0.25">
      <c r="Q2049" s="328"/>
    </row>
    <row r="2050" spans="17:17" x14ac:dyDescent="0.25">
      <c r="Q2050" s="328"/>
    </row>
    <row r="2051" spans="17:17" x14ac:dyDescent="0.25">
      <c r="Q2051" s="328"/>
    </row>
    <row r="2052" spans="17:17" x14ac:dyDescent="0.25">
      <c r="Q2052" s="328"/>
    </row>
    <row r="2053" spans="17:17" x14ac:dyDescent="0.25">
      <c r="Q2053" s="328"/>
    </row>
    <row r="2054" spans="17:17" x14ac:dyDescent="0.25">
      <c r="Q2054" s="328"/>
    </row>
    <row r="2055" spans="17:17" x14ac:dyDescent="0.25">
      <c r="Q2055" s="328"/>
    </row>
    <row r="2056" spans="17:17" x14ac:dyDescent="0.25">
      <c r="Q2056" s="328"/>
    </row>
    <row r="2057" spans="17:17" x14ac:dyDescent="0.25">
      <c r="Q2057" s="328"/>
    </row>
    <row r="2058" spans="17:17" x14ac:dyDescent="0.25">
      <c r="Q2058" s="328"/>
    </row>
    <row r="2059" spans="17:17" x14ac:dyDescent="0.25">
      <c r="Q2059" s="328"/>
    </row>
    <row r="2060" spans="17:17" x14ac:dyDescent="0.25">
      <c r="Q2060" s="328"/>
    </row>
    <row r="2061" spans="17:17" x14ac:dyDescent="0.25">
      <c r="Q2061" s="328"/>
    </row>
    <row r="2062" spans="17:17" x14ac:dyDescent="0.25">
      <c r="Q2062" s="328"/>
    </row>
    <row r="2063" spans="17:17" x14ac:dyDescent="0.25">
      <c r="Q2063" s="328"/>
    </row>
    <row r="2064" spans="17:17" x14ac:dyDescent="0.25">
      <c r="Q2064" s="328"/>
    </row>
    <row r="2065" spans="17:17" x14ac:dyDescent="0.25">
      <c r="Q2065" s="328"/>
    </row>
    <row r="2066" spans="17:17" x14ac:dyDescent="0.25">
      <c r="Q2066" s="328"/>
    </row>
    <row r="2067" spans="17:17" x14ac:dyDescent="0.25">
      <c r="Q2067" s="328"/>
    </row>
    <row r="2068" spans="17:17" x14ac:dyDescent="0.25">
      <c r="Q2068" s="328"/>
    </row>
    <row r="2069" spans="17:17" x14ac:dyDescent="0.25">
      <c r="Q2069" s="328"/>
    </row>
    <row r="2070" spans="17:17" x14ac:dyDescent="0.25">
      <c r="Q2070" s="328"/>
    </row>
    <row r="2071" spans="17:17" x14ac:dyDescent="0.25">
      <c r="Q2071" s="328"/>
    </row>
    <row r="2072" spans="17:17" x14ac:dyDescent="0.25">
      <c r="Q2072" s="328"/>
    </row>
    <row r="2073" spans="17:17" x14ac:dyDescent="0.25">
      <c r="Q2073" s="328"/>
    </row>
    <row r="2074" spans="17:17" x14ac:dyDescent="0.25">
      <c r="Q2074" s="328"/>
    </row>
    <row r="2075" spans="17:17" x14ac:dyDescent="0.25">
      <c r="Q2075" s="328"/>
    </row>
    <row r="2076" spans="17:17" x14ac:dyDescent="0.25">
      <c r="Q2076" s="328"/>
    </row>
    <row r="2077" spans="17:17" x14ac:dyDescent="0.25">
      <c r="Q2077" s="328"/>
    </row>
    <row r="2078" spans="17:17" x14ac:dyDescent="0.25">
      <c r="Q2078" s="328"/>
    </row>
    <row r="2079" spans="17:17" x14ac:dyDescent="0.25">
      <c r="Q2079" s="328"/>
    </row>
    <row r="2080" spans="17:17" x14ac:dyDescent="0.25">
      <c r="Q2080" s="328"/>
    </row>
    <row r="2081" spans="17:17" x14ac:dyDescent="0.25">
      <c r="Q2081" s="328"/>
    </row>
    <row r="2082" spans="17:17" x14ac:dyDescent="0.25">
      <c r="Q2082" s="328"/>
    </row>
    <row r="2083" spans="17:17" x14ac:dyDescent="0.25">
      <c r="Q2083" s="328"/>
    </row>
    <row r="2084" spans="17:17" x14ac:dyDescent="0.25">
      <c r="Q2084" s="328"/>
    </row>
    <row r="2085" spans="17:17" x14ac:dyDescent="0.25">
      <c r="Q2085" s="328"/>
    </row>
    <row r="2086" spans="17:17" x14ac:dyDescent="0.25">
      <c r="Q2086" s="328"/>
    </row>
    <row r="2087" spans="17:17" x14ac:dyDescent="0.25">
      <c r="Q2087" s="328"/>
    </row>
    <row r="2088" spans="17:17" x14ac:dyDescent="0.25">
      <c r="Q2088" s="328"/>
    </row>
    <row r="2089" spans="17:17" x14ac:dyDescent="0.25">
      <c r="Q2089" s="328"/>
    </row>
    <row r="2090" spans="17:17" x14ac:dyDescent="0.25">
      <c r="Q2090" s="328"/>
    </row>
    <row r="2091" spans="17:17" x14ac:dyDescent="0.25">
      <c r="Q2091" s="328"/>
    </row>
    <row r="2092" spans="17:17" x14ac:dyDescent="0.25">
      <c r="Q2092" s="328"/>
    </row>
    <row r="2093" spans="17:17" x14ac:dyDescent="0.25">
      <c r="Q2093" s="328"/>
    </row>
    <row r="2094" spans="17:17" x14ac:dyDescent="0.25">
      <c r="Q2094" s="328"/>
    </row>
    <row r="2095" spans="17:17" x14ac:dyDescent="0.25">
      <c r="Q2095" s="328"/>
    </row>
    <row r="2096" spans="17:17" x14ac:dyDescent="0.25">
      <c r="Q2096" s="328"/>
    </row>
    <row r="2097" spans="17:17" x14ac:dyDescent="0.25">
      <c r="Q2097" s="328"/>
    </row>
    <row r="2098" spans="17:17" x14ac:dyDescent="0.25">
      <c r="Q2098" s="328"/>
    </row>
    <row r="2099" spans="17:17" x14ac:dyDescent="0.25">
      <c r="Q2099" s="328"/>
    </row>
    <row r="2100" spans="17:17" x14ac:dyDescent="0.25">
      <c r="Q2100" s="328"/>
    </row>
    <row r="2101" spans="17:17" x14ac:dyDescent="0.25">
      <c r="Q2101" s="328"/>
    </row>
    <row r="2102" spans="17:17" x14ac:dyDescent="0.25">
      <c r="Q2102" s="328"/>
    </row>
    <row r="2103" spans="17:17" x14ac:dyDescent="0.25">
      <c r="Q2103" s="328"/>
    </row>
    <row r="2104" spans="17:17" x14ac:dyDescent="0.25">
      <c r="Q2104" s="328"/>
    </row>
    <row r="2105" spans="17:17" x14ac:dyDescent="0.25">
      <c r="Q2105" s="328"/>
    </row>
    <row r="2106" spans="17:17" x14ac:dyDescent="0.25">
      <c r="Q2106" s="328"/>
    </row>
    <row r="2107" spans="17:17" x14ac:dyDescent="0.25">
      <c r="Q2107" s="328"/>
    </row>
    <row r="2108" spans="17:17" x14ac:dyDescent="0.25">
      <c r="Q2108" s="328"/>
    </row>
    <row r="2109" spans="17:17" x14ac:dyDescent="0.25">
      <c r="Q2109" s="328"/>
    </row>
    <row r="2110" spans="17:17" x14ac:dyDescent="0.25">
      <c r="Q2110" s="328"/>
    </row>
    <row r="2111" spans="17:17" x14ac:dyDescent="0.25">
      <c r="Q2111" s="328"/>
    </row>
    <row r="2112" spans="17:17" x14ac:dyDescent="0.25">
      <c r="Q2112" s="328"/>
    </row>
    <row r="2113" spans="17:17" x14ac:dyDescent="0.25">
      <c r="Q2113" s="328"/>
    </row>
    <row r="2114" spans="17:17" x14ac:dyDescent="0.25">
      <c r="Q2114" s="328"/>
    </row>
    <row r="2115" spans="17:17" x14ac:dyDescent="0.25">
      <c r="Q2115" s="328"/>
    </row>
    <row r="2116" spans="17:17" x14ac:dyDescent="0.25">
      <c r="Q2116" s="328"/>
    </row>
    <row r="2117" spans="17:17" x14ac:dyDescent="0.25">
      <c r="Q2117" s="328"/>
    </row>
    <row r="2118" spans="17:17" x14ac:dyDescent="0.25">
      <c r="Q2118" s="328"/>
    </row>
    <row r="2119" spans="17:17" x14ac:dyDescent="0.25">
      <c r="Q2119" s="328"/>
    </row>
    <row r="2120" spans="17:17" x14ac:dyDescent="0.25">
      <c r="Q2120" s="328"/>
    </row>
    <row r="2121" spans="17:17" x14ac:dyDescent="0.25">
      <c r="Q2121" s="328"/>
    </row>
    <row r="2122" spans="17:17" x14ac:dyDescent="0.25">
      <c r="Q2122" s="328"/>
    </row>
    <row r="2123" spans="17:17" x14ac:dyDescent="0.25">
      <c r="Q2123" s="328"/>
    </row>
    <row r="2124" spans="17:17" x14ac:dyDescent="0.25">
      <c r="Q2124" s="328"/>
    </row>
    <row r="2125" spans="17:17" x14ac:dyDescent="0.25">
      <c r="Q2125" s="328"/>
    </row>
    <row r="2126" spans="17:17" x14ac:dyDescent="0.25">
      <c r="Q2126" s="328"/>
    </row>
    <row r="2127" spans="17:17" x14ac:dyDescent="0.25">
      <c r="Q2127" s="328"/>
    </row>
    <row r="2128" spans="17:17" x14ac:dyDescent="0.25">
      <c r="Q2128" s="328"/>
    </row>
    <row r="2129" spans="17:17" x14ac:dyDescent="0.25">
      <c r="Q2129" s="328"/>
    </row>
    <row r="2130" spans="17:17" x14ac:dyDescent="0.25">
      <c r="Q2130" s="328"/>
    </row>
    <row r="2131" spans="17:17" x14ac:dyDescent="0.25">
      <c r="Q2131" s="328"/>
    </row>
    <row r="2132" spans="17:17" x14ac:dyDescent="0.25">
      <c r="Q2132" s="328"/>
    </row>
    <row r="2133" spans="17:17" x14ac:dyDescent="0.25">
      <c r="Q2133" s="328"/>
    </row>
    <row r="2134" spans="17:17" x14ac:dyDescent="0.25">
      <c r="Q2134" s="328"/>
    </row>
    <row r="2135" spans="17:17" x14ac:dyDescent="0.25">
      <c r="Q2135" s="328"/>
    </row>
    <row r="2136" spans="17:17" x14ac:dyDescent="0.25">
      <c r="Q2136" s="328"/>
    </row>
    <row r="2137" spans="17:17" x14ac:dyDescent="0.25">
      <c r="Q2137" s="328"/>
    </row>
    <row r="2138" spans="17:17" x14ac:dyDescent="0.25">
      <c r="Q2138" s="328"/>
    </row>
    <row r="2139" spans="17:17" x14ac:dyDescent="0.25">
      <c r="Q2139" s="328"/>
    </row>
    <row r="2140" spans="17:17" x14ac:dyDescent="0.25">
      <c r="Q2140" s="328"/>
    </row>
    <row r="2141" spans="17:17" x14ac:dyDescent="0.25">
      <c r="Q2141" s="328"/>
    </row>
    <row r="2142" spans="17:17" x14ac:dyDescent="0.25">
      <c r="Q2142" s="328"/>
    </row>
    <row r="2143" spans="17:17" x14ac:dyDescent="0.25">
      <c r="Q2143" s="328"/>
    </row>
    <row r="2144" spans="17:17" x14ac:dyDescent="0.25">
      <c r="Q2144" s="328"/>
    </row>
    <row r="2145" spans="17:17" x14ac:dyDescent="0.25">
      <c r="Q2145" s="328"/>
    </row>
    <row r="2146" spans="17:17" x14ac:dyDescent="0.25">
      <c r="Q2146" s="328"/>
    </row>
    <row r="2147" spans="17:17" x14ac:dyDescent="0.25">
      <c r="Q2147" s="328"/>
    </row>
    <row r="2148" spans="17:17" x14ac:dyDescent="0.25">
      <c r="Q2148" s="328"/>
    </row>
    <row r="2149" spans="17:17" x14ac:dyDescent="0.25">
      <c r="Q2149" s="328"/>
    </row>
    <row r="2150" spans="17:17" x14ac:dyDescent="0.25">
      <c r="Q2150" s="328"/>
    </row>
    <row r="2151" spans="17:17" x14ac:dyDescent="0.25">
      <c r="Q2151" s="328"/>
    </row>
    <row r="2152" spans="17:17" x14ac:dyDescent="0.25">
      <c r="Q2152" s="328"/>
    </row>
    <row r="2153" spans="17:17" x14ac:dyDescent="0.25">
      <c r="Q2153" s="328"/>
    </row>
    <row r="2154" spans="17:17" x14ac:dyDescent="0.25">
      <c r="Q2154" s="328"/>
    </row>
    <row r="2155" spans="17:17" x14ac:dyDescent="0.25">
      <c r="Q2155" s="328"/>
    </row>
    <row r="2156" spans="17:17" x14ac:dyDescent="0.25">
      <c r="Q2156" s="328"/>
    </row>
    <row r="2157" spans="17:17" x14ac:dyDescent="0.25">
      <c r="Q2157" s="328"/>
    </row>
    <row r="2158" spans="17:17" x14ac:dyDescent="0.25">
      <c r="Q2158" s="328"/>
    </row>
    <row r="2159" spans="17:17" x14ac:dyDescent="0.25">
      <c r="Q2159" s="328"/>
    </row>
    <row r="2160" spans="17:17" x14ac:dyDescent="0.25">
      <c r="Q2160" s="328"/>
    </row>
    <row r="2161" spans="17:17" x14ac:dyDescent="0.25">
      <c r="Q2161" s="328"/>
    </row>
    <row r="2162" spans="17:17" x14ac:dyDescent="0.25">
      <c r="Q2162" s="328"/>
    </row>
    <row r="2163" spans="17:17" x14ac:dyDescent="0.25">
      <c r="Q2163" s="328"/>
    </row>
    <row r="2164" spans="17:17" x14ac:dyDescent="0.25">
      <c r="Q2164" s="328"/>
    </row>
    <row r="2165" spans="17:17" x14ac:dyDescent="0.25">
      <c r="Q2165" s="328"/>
    </row>
    <row r="2166" spans="17:17" x14ac:dyDescent="0.25">
      <c r="Q2166" s="328"/>
    </row>
    <row r="2167" spans="17:17" x14ac:dyDescent="0.25">
      <c r="Q2167" s="328"/>
    </row>
    <row r="2168" spans="17:17" x14ac:dyDescent="0.25">
      <c r="Q2168" s="328"/>
    </row>
    <row r="2169" spans="17:17" x14ac:dyDescent="0.25">
      <c r="Q2169" s="328"/>
    </row>
    <row r="2170" spans="17:17" x14ac:dyDescent="0.25">
      <c r="Q2170" s="328"/>
    </row>
    <row r="2171" spans="17:17" x14ac:dyDescent="0.25">
      <c r="Q2171" s="328"/>
    </row>
    <row r="2172" spans="17:17" x14ac:dyDescent="0.25">
      <c r="Q2172" s="328"/>
    </row>
    <row r="2173" spans="17:17" x14ac:dyDescent="0.25">
      <c r="Q2173" s="328"/>
    </row>
    <row r="2174" spans="17:17" x14ac:dyDescent="0.25">
      <c r="Q2174" s="328"/>
    </row>
    <row r="2175" spans="17:17" x14ac:dyDescent="0.25">
      <c r="Q2175" s="328"/>
    </row>
    <row r="2176" spans="17:17" x14ac:dyDescent="0.25">
      <c r="Q2176" s="328"/>
    </row>
    <row r="2177" spans="17:17" x14ac:dyDescent="0.25">
      <c r="Q2177" s="328"/>
    </row>
    <row r="2178" spans="17:17" x14ac:dyDescent="0.25">
      <c r="Q2178" s="328"/>
    </row>
    <row r="2179" spans="17:17" x14ac:dyDescent="0.25">
      <c r="Q2179" s="328"/>
    </row>
    <row r="2180" spans="17:17" x14ac:dyDescent="0.25">
      <c r="Q2180" s="328"/>
    </row>
    <row r="2181" spans="17:17" x14ac:dyDescent="0.25">
      <c r="Q2181" s="328"/>
    </row>
    <row r="2182" spans="17:17" x14ac:dyDescent="0.25">
      <c r="Q2182" s="328"/>
    </row>
    <row r="2183" spans="17:17" x14ac:dyDescent="0.25">
      <c r="Q2183" s="328"/>
    </row>
    <row r="2184" spans="17:17" x14ac:dyDescent="0.25">
      <c r="Q2184" s="328"/>
    </row>
    <row r="2185" spans="17:17" x14ac:dyDescent="0.25">
      <c r="Q2185" s="328"/>
    </row>
    <row r="2186" spans="17:17" x14ac:dyDescent="0.25">
      <c r="Q2186" s="328"/>
    </row>
    <row r="2187" spans="17:17" x14ac:dyDescent="0.25">
      <c r="Q2187" s="328"/>
    </row>
    <row r="2188" spans="17:17" x14ac:dyDescent="0.25">
      <c r="Q2188" s="328"/>
    </row>
    <row r="2189" spans="17:17" x14ac:dyDescent="0.25">
      <c r="Q2189" s="328"/>
    </row>
    <row r="2190" spans="17:17" x14ac:dyDescent="0.25">
      <c r="Q2190" s="328"/>
    </row>
    <row r="2191" spans="17:17" x14ac:dyDescent="0.25">
      <c r="Q2191" s="328"/>
    </row>
    <row r="2192" spans="17:17" x14ac:dyDescent="0.25">
      <c r="Q2192" s="328"/>
    </row>
    <row r="2193" spans="17:17" x14ac:dyDescent="0.25">
      <c r="Q2193" s="328"/>
    </row>
    <row r="2194" spans="17:17" x14ac:dyDescent="0.25">
      <c r="Q2194" s="328"/>
    </row>
    <row r="2195" spans="17:17" x14ac:dyDescent="0.25">
      <c r="Q2195" s="328"/>
    </row>
    <row r="2196" spans="17:17" x14ac:dyDescent="0.25">
      <c r="Q2196" s="328"/>
    </row>
    <row r="2197" spans="17:17" x14ac:dyDescent="0.25">
      <c r="Q2197" s="328"/>
    </row>
    <row r="2198" spans="17:17" x14ac:dyDescent="0.25">
      <c r="Q2198" s="328"/>
    </row>
    <row r="2199" spans="17:17" x14ac:dyDescent="0.25">
      <c r="Q2199" s="328"/>
    </row>
    <row r="2200" spans="17:17" x14ac:dyDescent="0.25">
      <c r="Q2200" s="328"/>
    </row>
    <row r="2201" spans="17:17" x14ac:dyDescent="0.25">
      <c r="Q2201" s="328"/>
    </row>
    <row r="2202" spans="17:17" x14ac:dyDescent="0.25">
      <c r="Q2202" s="328"/>
    </row>
    <row r="2203" spans="17:17" x14ac:dyDescent="0.25">
      <c r="Q2203" s="328"/>
    </row>
    <row r="2204" spans="17:17" x14ac:dyDescent="0.25">
      <c r="Q2204" s="328"/>
    </row>
    <row r="2205" spans="17:17" x14ac:dyDescent="0.25">
      <c r="Q2205" s="328"/>
    </row>
    <row r="2206" spans="17:17" x14ac:dyDescent="0.25">
      <c r="Q2206" s="328"/>
    </row>
    <row r="2207" spans="17:17" x14ac:dyDescent="0.25">
      <c r="Q2207" s="328"/>
    </row>
    <row r="2208" spans="17:17" x14ac:dyDescent="0.25">
      <c r="Q2208" s="328"/>
    </row>
    <row r="2209" spans="17:17" x14ac:dyDescent="0.25">
      <c r="Q2209" s="328"/>
    </row>
    <row r="2210" spans="17:17" x14ac:dyDescent="0.25">
      <c r="Q2210" s="328"/>
    </row>
    <row r="2211" spans="17:17" x14ac:dyDescent="0.25">
      <c r="Q2211" s="328"/>
    </row>
    <row r="2212" spans="17:17" x14ac:dyDescent="0.25">
      <c r="Q2212" s="328"/>
    </row>
    <row r="2213" spans="17:17" x14ac:dyDescent="0.25">
      <c r="Q2213" s="328"/>
    </row>
    <row r="2214" spans="17:17" x14ac:dyDescent="0.25">
      <c r="Q2214" s="328"/>
    </row>
    <row r="2215" spans="17:17" x14ac:dyDescent="0.25">
      <c r="Q2215" s="328"/>
    </row>
    <row r="2216" spans="17:17" x14ac:dyDescent="0.25">
      <c r="Q2216" s="328"/>
    </row>
    <row r="2217" spans="17:17" x14ac:dyDescent="0.25">
      <c r="Q2217" s="328"/>
    </row>
    <row r="2218" spans="17:17" x14ac:dyDescent="0.25">
      <c r="Q2218" s="328"/>
    </row>
    <row r="2219" spans="17:17" x14ac:dyDescent="0.25">
      <c r="Q2219" s="328"/>
    </row>
    <row r="2220" spans="17:17" x14ac:dyDescent="0.25">
      <c r="Q2220" s="328"/>
    </row>
    <row r="2221" spans="17:17" x14ac:dyDescent="0.25">
      <c r="Q2221" s="328"/>
    </row>
    <row r="2222" spans="17:17" x14ac:dyDescent="0.25">
      <c r="Q2222" s="328"/>
    </row>
    <row r="2223" spans="17:17" x14ac:dyDescent="0.25">
      <c r="Q2223" s="328"/>
    </row>
    <row r="2224" spans="17:17" x14ac:dyDescent="0.25">
      <c r="Q2224" s="328"/>
    </row>
    <row r="2225" spans="17:17" x14ac:dyDescent="0.25">
      <c r="Q2225" s="328"/>
    </row>
    <row r="2226" spans="17:17" x14ac:dyDescent="0.25">
      <c r="Q2226" s="328"/>
    </row>
    <row r="2227" spans="17:17" x14ac:dyDescent="0.25">
      <c r="Q2227" s="328"/>
    </row>
    <row r="2228" spans="17:17" x14ac:dyDescent="0.25">
      <c r="Q2228" s="328"/>
    </row>
    <row r="2229" spans="17:17" x14ac:dyDescent="0.25">
      <c r="Q2229" s="328"/>
    </row>
    <row r="2230" spans="17:17" x14ac:dyDescent="0.25">
      <c r="Q2230" s="328"/>
    </row>
    <row r="2231" spans="17:17" x14ac:dyDescent="0.25">
      <c r="Q2231" s="328"/>
    </row>
    <row r="2232" spans="17:17" x14ac:dyDescent="0.25">
      <c r="Q2232" s="328"/>
    </row>
    <row r="2233" spans="17:17" x14ac:dyDescent="0.25">
      <c r="Q2233" s="328"/>
    </row>
    <row r="2234" spans="17:17" x14ac:dyDescent="0.25">
      <c r="Q2234" s="328"/>
    </row>
    <row r="2235" spans="17:17" x14ac:dyDescent="0.25">
      <c r="Q2235" s="328"/>
    </row>
    <row r="2236" spans="17:17" x14ac:dyDescent="0.25">
      <c r="Q2236" s="328"/>
    </row>
    <row r="2237" spans="17:17" x14ac:dyDescent="0.25">
      <c r="Q2237" s="328"/>
    </row>
    <row r="2238" spans="17:17" x14ac:dyDescent="0.25">
      <c r="Q2238" s="328"/>
    </row>
    <row r="2239" spans="17:17" x14ac:dyDescent="0.25">
      <c r="Q2239" s="328"/>
    </row>
    <row r="2240" spans="17:17" x14ac:dyDescent="0.25">
      <c r="Q2240" s="328"/>
    </row>
    <row r="2241" spans="17:17" x14ac:dyDescent="0.25">
      <c r="Q2241" s="328"/>
    </row>
    <row r="2242" spans="17:17" x14ac:dyDescent="0.25">
      <c r="Q2242" s="328"/>
    </row>
    <row r="2243" spans="17:17" x14ac:dyDescent="0.25">
      <c r="Q2243" s="328"/>
    </row>
    <row r="2244" spans="17:17" x14ac:dyDescent="0.25">
      <c r="Q2244" s="328"/>
    </row>
    <row r="2245" spans="17:17" x14ac:dyDescent="0.25">
      <c r="Q2245" s="328"/>
    </row>
    <row r="2246" spans="17:17" x14ac:dyDescent="0.25">
      <c r="Q2246" s="328"/>
    </row>
    <row r="2247" spans="17:17" x14ac:dyDescent="0.25">
      <c r="Q2247" s="328"/>
    </row>
    <row r="2248" spans="17:17" x14ac:dyDescent="0.25">
      <c r="Q2248" s="328"/>
    </row>
    <row r="2249" spans="17:17" x14ac:dyDescent="0.25">
      <c r="Q2249" s="328"/>
    </row>
    <row r="2250" spans="17:17" x14ac:dyDescent="0.25">
      <c r="Q2250" s="328"/>
    </row>
    <row r="2251" spans="17:17" x14ac:dyDescent="0.25">
      <c r="Q2251" s="328"/>
    </row>
    <row r="2252" spans="17:17" x14ac:dyDescent="0.25">
      <c r="Q2252" s="328"/>
    </row>
    <row r="2253" spans="17:17" x14ac:dyDescent="0.25">
      <c r="Q2253" s="328"/>
    </row>
    <row r="2254" spans="17:17" x14ac:dyDescent="0.25">
      <c r="Q2254" s="328"/>
    </row>
    <row r="2255" spans="17:17" x14ac:dyDescent="0.25">
      <c r="Q2255" s="328"/>
    </row>
    <row r="2256" spans="17:17" x14ac:dyDescent="0.25">
      <c r="Q2256" s="328"/>
    </row>
    <row r="2257" spans="17:17" x14ac:dyDescent="0.25">
      <c r="Q2257" s="328"/>
    </row>
    <row r="2258" spans="17:17" x14ac:dyDescent="0.25">
      <c r="Q2258" s="328"/>
    </row>
    <row r="2259" spans="17:17" x14ac:dyDescent="0.25">
      <c r="Q2259" s="328"/>
    </row>
    <row r="2260" spans="17:17" x14ac:dyDescent="0.25">
      <c r="Q2260" s="328"/>
    </row>
    <row r="2261" spans="17:17" x14ac:dyDescent="0.25">
      <c r="Q2261" s="328"/>
    </row>
    <row r="2262" spans="17:17" x14ac:dyDescent="0.25">
      <c r="Q2262" s="328"/>
    </row>
    <row r="2263" spans="17:17" x14ac:dyDescent="0.25">
      <c r="Q2263" s="328"/>
    </row>
    <row r="2264" spans="17:17" x14ac:dyDescent="0.25">
      <c r="Q2264" s="328"/>
    </row>
    <row r="2265" spans="17:17" x14ac:dyDescent="0.25">
      <c r="Q2265" s="328"/>
    </row>
    <row r="2266" spans="17:17" x14ac:dyDescent="0.25">
      <c r="Q2266" s="328"/>
    </row>
    <row r="2267" spans="17:17" x14ac:dyDescent="0.25">
      <c r="Q2267" s="328"/>
    </row>
    <row r="2268" spans="17:17" x14ac:dyDescent="0.25">
      <c r="Q2268" s="328"/>
    </row>
    <row r="2269" spans="17:17" x14ac:dyDescent="0.25">
      <c r="Q2269" s="328"/>
    </row>
    <row r="2270" spans="17:17" x14ac:dyDescent="0.25">
      <c r="Q2270" s="328"/>
    </row>
    <row r="2271" spans="17:17" x14ac:dyDescent="0.25">
      <c r="Q2271" s="328"/>
    </row>
    <row r="2272" spans="17:17" x14ac:dyDescent="0.25">
      <c r="Q2272" s="328"/>
    </row>
    <row r="2273" spans="17:17" x14ac:dyDescent="0.25">
      <c r="Q2273" s="328"/>
    </row>
    <row r="2274" spans="17:17" x14ac:dyDescent="0.25">
      <c r="Q2274" s="328"/>
    </row>
    <row r="2275" spans="17:17" x14ac:dyDescent="0.25">
      <c r="Q2275" s="328"/>
    </row>
    <row r="2276" spans="17:17" x14ac:dyDescent="0.25">
      <c r="Q2276" s="328"/>
    </row>
    <row r="2277" spans="17:17" x14ac:dyDescent="0.25">
      <c r="Q2277" s="328"/>
    </row>
    <row r="2278" spans="17:17" x14ac:dyDescent="0.25">
      <c r="Q2278" s="328"/>
    </row>
    <row r="2279" spans="17:17" x14ac:dyDescent="0.25">
      <c r="Q2279" s="328"/>
    </row>
    <row r="2280" spans="17:17" x14ac:dyDescent="0.25">
      <c r="Q2280" s="328"/>
    </row>
    <row r="2281" spans="17:17" x14ac:dyDescent="0.25">
      <c r="Q2281" s="328"/>
    </row>
    <row r="2282" spans="17:17" x14ac:dyDescent="0.25">
      <c r="Q2282" s="328"/>
    </row>
    <row r="2283" spans="17:17" x14ac:dyDescent="0.25">
      <c r="Q2283" s="328"/>
    </row>
    <row r="2284" spans="17:17" x14ac:dyDescent="0.25">
      <c r="Q2284" s="328"/>
    </row>
    <row r="2285" spans="17:17" x14ac:dyDescent="0.25">
      <c r="Q2285" s="328"/>
    </row>
    <row r="2286" spans="17:17" x14ac:dyDescent="0.25">
      <c r="Q2286" s="328"/>
    </row>
    <row r="2287" spans="17:17" x14ac:dyDescent="0.25">
      <c r="Q2287" s="328"/>
    </row>
    <row r="2288" spans="17:17" x14ac:dyDescent="0.25">
      <c r="Q2288" s="328"/>
    </row>
    <row r="2289" spans="17:17" x14ac:dyDescent="0.25">
      <c r="Q2289" s="328"/>
    </row>
    <row r="2290" spans="17:17" x14ac:dyDescent="0.25">
      <c r="Q2290" s="328"/>
    </row>
    <row r="2291" spans="17:17" x14ac:dyDescent="0.25">
      <c r="Q2291" s="328"/>
    </row>
    <row r="2292" spans="17:17" x14ac:dyDescent="0.25">
      <c r="Q2292" s="328"/>
    </row>
    <row r="2293" spans="17:17" x14ac:dyDescent="0.25">
      <c r="Q2293" s="328"/>
    </row>
    <row r="2294" spans="17:17" x14ac:dyDescent="0.25">
      <c r="Q2294" s="328"/>
    </row>
    <row r="2295" spans="17:17" x14ac:dyDescent="0.25">
      <c r="Q2295" s="328"/>
    </row>
    <row r="2296" spans="17:17" x14ac:dyDescent="0.25">
      <c r="Q2296" s="328"/>
    </row>
    <row r="2297" spans="17:17" x14ac:dyDescent="0.25">
      <c r="Q2297" s="328"/>
    </row>
    <row r="2298" spans="17:17" x14ac:dyDescent="0.25">
      <c r="Q2298" s="328"/>
    </row>
    <row r="2299" spans="17:17" x14ac:dyDescent="0.25">
      <c r="Q2299" s="328"/>
    </row>
    <row r="2300" spans="17:17" x14ac:dyDescent="0.25">
      <c r="Q2300" s="328"/>
    </row>
    <row r="2301" spans="17:17" x14ac:dyDescent="0.25">
      <c r="Q2301" s="328"/>
    </row>
    <row r="2302" spans="17:17" x14ac:dyDescent="0.25">
      <c r="Q2302" s="328"/>
    </row>
    <row r="2303" spans="17:17" x14ac:dyDescent="0.25">
      <c r="Q2303" s="328"/>
    </row>
    <row r="2304" spans="17:17" x14ac:dyDescent="0.25">
      <c r="Q2304" s="328"/>
    </row>
    <row r="2305" spans="17:17" x14ac:dyDescent="0.25">
      <c r="Q2305" s="328"/>
    </row>
    <row r="2306" spans="17:17" x14ac:dyDescent="0.25">
      <c r="Q2306" s="328"/>
    </row>
    <row r="2307" spans="17:17" x14ac:dyDescent="0.25">
      <c r="Q2307" s="328"/>
    </row>
    <row r="2308" spans="17:17" x14ac:dyDescent="0.25">
      <c r="Q2308" s="328"/>
    </row>
    <row r="2309" spans="17:17" x14ac:dyDescent="0.25">
      <c r="Q2309" s="328"/>
    </row>
    <row r="2310" spans="17:17" x14ac:dyDescent="0.25">
      <c r="Q2310" s="328"/>
    </row>
    <row r="2311" spans="17:17" x14ac:dyDescent="0.25">
      <c r="Q2311" s="328"/>
    </row>
    <row r="2312" spans="17:17" x14ac:dyDescent="0.25">
      <c r="Q2312" s="328"/>
    </row>
    <row r="2313" spans="17:17" x14ac:dyDescent="0.25">
      <c r="Q2313" s="328"/>
    </row>
    <row r="2314" spans="17:17" x14ac:dyDescent="0.25">
      <c r="Q2314" s="328"/>
    </row>
    <row r="2315" spans="17:17" x14ac:dyDescent="0.25">
      <c r="Q2315" s="328"/>
    </row>
    <row r="2316" spans="17:17" x14ac:dyDescent="0.25">
      <c r="Q2316" s="328"/>
    </row>
    <row r="2317" spans="17:17" x14ac:dyDescent="0.25">
      <c r="Q2317" s="328"/>
    </row>
    <row r="2318" spans="17:17" x14ac:dyDescent="0.25">
      <c r="Q2318" s="328"/>
    </row>
    <row r="2319" spans="17:17" x14ac:dyDescent="0.25">
      <c r="Q2319" s="328"/>
    </row>
    <row r="2320" spans="17:17" x14ac:dyDescent="0.25">
      <c r="Q2320" s="328"/>
    </row>
    <row r="2321" spans="17:17" x14ac:dyDescent="0.25">
      <c r="Q2321" s="328"/>
    </row>
    <row r="2322" spans="17:17" x14ac:dyDescent="0.25">
      <c r="Q2322" s="328"/>
    </row>
    <row r="2323" spans="17:17" x14ac:dyDescent="0.25">
      <c r="Q2323" s="328"/>
    </row>
    <row r="2324" spans="17:17" x14ac:dyDescent="0.25">
      <c r="Q2324" s="328"/>
    </row>
    <row r="2325" spans="17:17" x14ac:dyDescent="0.25">
      <c r="Q2325" s="328"/>
    </row>
    <row r="2326" spans="17:17" x14ac:dyDescent="0.25">
      <c r="Q2326" s="328"/>
    </row>
    <row r="2327" spans="17:17" x14ac:dyDescent="0.25">
      <c r="Q2327" s="328"/>
    </row>
    <row r="2328" spans="17:17" x14ac:dyDescent="0.25">
      <c r="Q2328" s="328"/>
    </row>
    <row r="2329" spans="17:17" x14ac:dyDescent="0.25">
      <c r="Q2329" s="328"/>
    </row>
    <row r="2330" spans="17:17" x14ac:dyDescent="0.25">
      <c r="Q2330" s="328"/>
    </row>
    <row r="2331" spans="17:17" x14ac:dyDescent="0.25">
      <c r="Q2331" s="328"/>
    </row>
    <row r="2332" spans="17:17" x14ac:dyDescent="0.25">
      <c r="Q2332" s="328"/>
    </row>
    <row r="2333" spans="17:17" x14ac:dyDescent="0.25">
      <c r="Q2333" s="328"/>
    </row>
    <row r="2334" spans="17:17" x14ac:dyDescent="0.25">
      <c r="Q2334" s="328"/>
    </row>
    <row r="2335" spans="17:17" x14ac:dyDescent="0.25">
      <c r="Q2335" s="328"/>
    </row>
    <row r="2336" spans="17:17" x14ac:dyDescent="0.25">
      <c r="Q2336" s="328"/>
    </row>
    <row r="2337" spans="17:17" x14ac:dyDescent="0.25">
      <c r="Q2337" s="328"/>
    </row>
    <row r="2338" spans="17:17" x14ac:dyDescent="0.25">
      <c r="Q2338" s="328"/>
    </row>
    <row r="2339" spans="17:17" x14ac:dyDescent="0.25">
      <c r="Q2339" s="328"/>
    </row>
    <row r="2340" spans="17:17" x14ac:dyDescent="0.25">
      <c r="Q2340" s="328"/>
    </row>
    <row r="2341" spans="17:17" x14ac:dyDescent="0.25">
      <c r="Q2341" s="328"/>
    </row>
    <row r="2342" spans="17:17" x14ac:dyDescent="0.25">
      <c r="Q2342" s="328"/>
    </row>
    <row r="2343" spans="17:17" x14ac:dyDescent="0.25">
      <c r="Q2343" s="328"/>
    </row>
    <row r="2344" spans="17:17" x14ac:dyDescent="0.25">
      <c r="Q2344" s="328"/>
    </row>
    <row r="2345" spans="17:17" x14ac:dyDescent="0.25">
      <c r="Q2345" s="328"/>
    </row>
    <row r="2346" spans="17:17" x14ac:dyDescent="0.25">
      <c r="Q2346" s="328"/>
    </row>
    <row r="2347" spans="17:17" x14ac:dyDescent="0.25">
      <c r="Q2347" s="328"/>
    </row>
    <row r="2348" spans="17:17" x14ac:dyDescent="0.25">
      <c r="Q2348" s="328"/>
    </row>
    <row r="2349" spans="17:17" x14ac:dyDescent="0.25">
      <c r="Q2349" s="328"/>
    </row>
    <row r="2350" spans="17:17" x14ac:dyDescent="0.25">
      <c r="Q2350" s="328"/>
    </row>
    <row r="2351" spans="17:17" x14ac:dyDescent="0.25">
      <c r="Q2351" s="328"/>
    </row>
    <row r="2352" spans="17:17" x14ac:dyDescent="0.25">
      <c r="Q2352" s="328"/>
    </row>
    <row r="2353" spans="17:17" x14ac:dyDescent="0.25">
      <c r="Q2353" s="328"/>
    </row>
    <row r="2354" spans="17:17" x14ac:dyDescent="0.25">
      <c r="Q2354" s="328"/>
    </row>
    <row r="2355" spans="17:17" x14ac:dyDescent="0.25">
      <c r="Q2355" s="328"/>
    </row>
    <row r="2356" spans="17:17" x14ac:dyDescent="0.25">
      <c r="Q2356" s="328"/>
    </row>
    <row r="2357" spans="17:17" x14ac:dyDescent="0.25">
      <c r="Q2357" s="328"/>
    </row>
    <row r="2358" spans="17:17" x14ac:dyDescent="0.25">
      <c r="Q2358" s="328"/>
    </row>
    <row r="2359" spans="17:17" x14ac:dyDescent="0.25">
      <c r="Q2359" s="328"/>
    </row>
    <row r="2360" spans="17:17" x14ac:dyDescent="0.25">
      <c r="Q2360" s="328"/>
    </row>
    <row r="2361" spans="17:17" x14ac:dyDescent="0.25">
      <c r="Q2361" s="328"/>
    </row>
    <row r="2362" spans="17:17" x14ac:dyDescent="0.25">
      <c r="Q2362" s="328"/>
    </row>
    <row r="2363" spans="17:17" x14ac:dyDescent="0.25">
      <c r="Q2363" s="328"/>
    </row>
    <row r="2364" spans="17:17" x14ac:dyDescent="0.25">
      <c r="Q2364" s="328"/>
    </row>
    <row r="2365" spans="17:17" x14ac:dyDescent="0.25">
      <c r="Q2365" s="328"/>
    </row>
    <row r="2366" spans="17:17" x14ac:dyDescent="0.25">
      <c r="Q2366" s="328"/>
    </row>
    <row r="2367" spans="17:17" x14ac:dyDescent="0.25">
      <c r="Q2367" s="328"/>
    </row>
    <row r="2368" spans="17:17" x14ac:dyDescent="0.25">
      <c r="Q2368" s="328"/>
    </row>
    <row r="2369" spans="17:17" x14ac:dyDescent="0.25">
      <c r="Q2369" s="328"/>
    </row>
    <row r="2370" spans="17:17" x14ac:dyDescent="0.25">
      <c r="Q2370" s="328"/>
    </row>
    <row r="2371" spans="17:17" x14ac:dyDescent="0.25">
      <c r="Q2371" s="328"/>
    </row>
    <row r="2372" spans="17:17" x14ac:dyDescent="0.25">
      <c r="Q2372" s="328"/>
    </row>
    <row r="2373" spans="17:17" x14ac:dyDescent="0.25">
      <c r="Q2373" s="328"/>
    </row>
    <row r="2374" spans="17:17" x14ac:dyDescent="0.25">
      <c r="Q2374" s="328"/>
    </row>
    <row r="2375" spans="17:17" x14ac:dyDescent="0.25">
      <c r="Q2375" s="328"/>
    </row>
    <row r="2376" spans="17:17" x14ac:dyDescent="0.25">
      <c r="Q2376" s="328"/>
    </row>
    <row r="2377" spans="17:17" x14ac:dyDescent="0.25">
      <c r="Q2377" s="328"/>
    </row>
    <row r="2378" spans="17:17" x14ac:dyDescent="0.25">
      <c r="Q2378" s="328"/>
    </row>
    <row r="2379" spans="17:17" x14ac:dyDescent="0.25">
      <c r="Q2379" s="328"/>
    </row>
    <row r="2380" spans="17:17" x14ac:dyDescent="0.25">
      <c r="Q2380" s="328"/>
    </row>
    <row r="2381" spans="17:17" x14ac:dyDescent="0.25">
      <c r="Q2381" s="328"/>
    </row>
    <row r="2382" spans="17:17" x14ac:dyDescent="0.25">
      <c r="Q2382" s="328"/>
    </row>
    <row r="2383" spans="17:17" x14ac:dyDescent="0.25">
      <c r="Q2383" s="328"/>
    </row>
    <row r="2384" spans="17:17" x14ac:dyDescent="0.25">
      <c r="Q2384" s="328"/>
    </row>
    <row r="2385" spans="17:17" x14ac:dyDescent="0.25">
      <c r="Q2385" s="328"/>
    </row>
    <row r="2386" spans="17:17" x14ac:dyDescent="0.25">
      <c r="Q2386" s="328"/>
    </row>
    <row r="2387" spans="17:17" x14ac:dyDescent="0.25">
      <c r="Q2387" s="328"/>
    </row>
    <row r="2388" spans="17:17" x14ac:dyDescent="0.25">
      <c r="Q2388" s="328"/>
    </row>
    <row r="2389" spans="17:17" x14ac:dyDescent="0.25">
      <c r="Q2389" s="328"/>
    </row>
    <row r="2390" spans="17:17" x14ac:dyDescent="0.25">
      <c r="Q2390" s="328"/>
    </row>
    <row r="2391" spans="17:17" x14ac:dyDescent="0.25">
      <c r="Q2391" s="328"/>
    </row>
    <row r="2392" spans="17:17" x14ac:dyDescent="0.25">
      <c r="Q2392" s="328"/>
    </row>
    <row r="2393" spans="17:17" x14ac:dyDescent="0.25">
      <c r="Q2393" s="328"/>
    </row>
    <row r="2394" spans="17:17" x14ac:dyDescent="0.25">
      <c r="Q2394" s="328"/>
    </row>
    <row r="2395" spans="17:17" x14ac:dyDescent="0.25">
      <c r="Q2395" s="328"/>
    </row>
    <row r="2396" spans="17:17" x14ac:dyDescent="0.25">
      <c r="Q2396" s="328"/>
    </row>
    <row r="2397" spans="17:17" x14ac:dyDescent="0.25">
      <c r="Q2397" s="328"/>
    </row>
    <row r="2398" spans="17:17" x14ac:dyDescent="0.25">
      <c r="Q2398" s="328"/>
    </row>
    <row r="2399" spans="17:17" x14ac:dyDescent="0.25">
      <c r="Q2399" s="328"/>
    </row>
    <row r="2400" spans="17:17" x14ac:dyDescent="0.25">
      <c r="Q2400" s="328"/>
    </row>
    <row r="2401" spans="17:17" x14ac:dyDescent="0.25">
      <c r="Q2401" s="328"/>
    </row>
    <row r="2402" spans="17:17" x14ac:dyDescent="0.25">
      <c r="Q2402" s="328"/>
    </row>
    <row r="2403" spans="17:17" x14ac:dyDescent="0.25">
      <c r="Q2403" s="328"/>
    </row>
    <row r="2404" spans="17:17" x14ac:dyDescent="0.25">
      <c r="Q2404" s="328"/>
    </row>
    <row r="2405" spans="17:17" x14ac:dyDescent="0.25">
      <c r="Q2405" s="328"/>
    </row>
    <row r="2406" spans="17:17" x14ac:dyDescent="0.25">
      <c r="Q2406" s="328"/>
    </row>
    <row r="2407" spans="17:17" x14ac:dyDescent="0.25">
      <c r="Q2407" s="328"/>
    </row>
    <row r="2408" spans="17:17" x14ac:dyDescent="0.25">
      <c r="Q2408" s="328"/>
    </row>
    <row r="2409" spans="17:17" x14ac:dyDescent="0.25">
      <c r="Q2409" s="328"/>
    </row>
    <row r="2410" spans="17:17" x14ac:dyDescent="0.25">
      <c r="Q2410" s="328"/>
    </row>
    <row r="2411" spans="17:17" x14ac:dyDescent="0.25">
      <c r="Q2411" s="328"/>
    </row>
    <row r="2412" spans="17:17" x14ac:dyDescent="0.25">
      <c r="Q2412" s="328"/>
    </row>
    <row r="2413" spans="17:17" x14ac:dyDescent="0.25">
      <c r="Q2413" s="328"/>
    </row>
    <row r="2414" spans="17:17" x14ac:dyDescent="0.25">
      <c r="Q2414" s="328"/>
    </row>
    <row r="2415" spans="17:17" x14ac:dyDescent="0.25">
      <c r="Q2415" s="328"/>
    </row>
    <row r="2416" spans="17:17" x14ac:dyDescent="0.25">
      <c r="Q2416" s="328"/>
    </row>
    <row r="2417" spans="17:17" x14ac:dyDescent="0.25">
      <c r="Q2417" s="328"/>
    </row>
    <row r="2418" spans="17:17" x14ac:dyDescent="0.25">
      <c r="Q2418" s="328"/>
    </row>
    <row r="2419" spans="17:17" x14ac:dyDescent="0.25">
      <c r="Q2419" s="328"/>
    </row>
    <row r="2420" spans="17:17" x14ac:dyDescent="0.25">
      <c r="Q2420" s="328"/>
    </row>
    <row r="2421" spans="17:17" x14ac:dyDescent="0.25">
      <c r="Q2421" s="328"/>
    </row>
    <row r="2422" spans="17:17" x14ac:dyDescent="0.25">
      <c r="Q2422" s="328"/>
    </row>
    <row r="2423" spans="17:17" x14ac:dyDescent="0.25">
      <c r="Q2423" s="328"/>
    </row>
    <row r="2424" spans="17:17" x14ac:dyDescent="0.25">
      <c r="Q2424" s="328"/>
    </row>
    <row r="2425" spans="17:17" x14ac:dyDescent="0.25">
      <c r="Q2425" s="328"/>
    </row>
    <row r="2426" spans="17:17" x14ac:dyDescent="0.25">
      <c r="Q2426" s="328"/>
    </row>
    <row r="2427" spans="17:17" x14ac:dyDescent="0.25">
      <c r="Q2427" s="328"/>
    </row>
    <row r="2428" spans="17:17" x14ac:dyDescent="0.25">
      <c r="Q2428" s="328"/>
    </row>
    <row r="2429" spans="17:17" x14ac:dyDescent="0.25">
      <c r="Q2429" s="328"/>
    </row>
    <row r="2430" spans="17:17" x14ac:dyDescent="0.25">
      <c r="Q2430" s="328"/>
    </row>
    <row r="2431" spans="17:17" x14ac:dyDescent="0.25">
      <c r="Q2431" s="328"/>
    </row>
    <row r="2432" spans="17:17" x14ac:dyDescent="0.25">
      <c r="Q2432" s="328"/>
    </row>
    <row r="2433" spans="17:17" x14ac:dyDescent="0.25">
      <c r="Q2433" s="328"/>
    </row>
    <row r="2434" spans="17:17" x14ac:dyDescent="0.25">
      <c r="Q2434" s="328"/>
    </row>
    <row r="2435" spans="17:17" x14ac:dyDescent="0.25">
      <c r="Q2435" s="328"/>
    </row>
    <row r="2436" spans="17:17" x14ac:dyDescent="0.25">
      <c r="Q2436" s="328"/>
    </row>
    <row r="2437" spans="17:17" x14ac:dyDescent="0.25">
      <c r="Q2437" s="328"/>
    </row>
    <row r="2438" spans="17:17" x14ac:dyDescent="0.25">
      <c r="Q2438" s="328"/>
    </row>
    <row r="2439" spans="17:17" x14ac:dyDescent="0.25">
      <c r="Q2439" s="328"/>
    </row>
    <row r="2440" spans="17:17" x14ac:dyDescent="0.25">
      <c r="Q2440" s="328"/>
    </row>
    <row r="2441" spans="17:17" x14ac:dyDescent="0.25">
      <c r="Q2441" s="328"/>
    </row>
    <row r="2442" spans="17:17" x14ac:dyDescent="0.25">
      <c r="Q2442" s="328"/>
    </row>
    <row r="2443" spans="17:17" x14ac:dyDescent="0.25">
      <c r="Q2443" s="328"/>
    </row>
    <row r="2444" spans="17:17" x14ac:dyDescent="0.25">
      <c r="Q2444" s="328"/>
    </row>
    <row r="2445" spans="17:17" x14ac:dyDescent="0.25">
      <c r="Q2445" s="328"/>
    </row>
    <row r="2446" spans="17:17" x14ac:dyDescent="0.25">
      <c r="Q2446" s="328"/>
    </row>
    <row r="2447" spans="17:17" x14ac:dyDescent="0.25">
      <c r="Q2447" s="328"/>
    </row>
    <row r="2448" spans="17:17" x14ac:dyDescent="0.25">
      <c r="Q2448" s="328"/>
    </row>
    <row r="2449" spans="17:17" x14ac:dyDescent="0.25">
      <c r="Q2449" s="328"/>
    </row>
    <row r="2450" spans="17:17" x14ac:dyDescent="0.25">
      <c r="Q2450" s="328"/>
    </row>
    <row r="2451" spans="17:17" x14ac:dyDescent="0.25">
      <c r="Q2451" s="328"/>
    </row>
    <row r="2452" spans="17:17" x14ac:dyDescent="0.25">
      <c r="Q2452" s="328"/>
    </row>
    <row r="2453" spans="17:17" x14ac:dyDescent="0.25">
      <c r="Q2453" s="328"/>
    </row>
    <row r="2454" spans="17:17" x14ac:dyDescent="0.25">
      <c r="Q2454" s="328"/>
    </row>
    <row r="2455" spans="17:17" x14ac:dyDescent="0.25">
      <c r="Q2455" s="328"/>
    </row>
    <row r="2456" spans="17:17" x14ac:dyDescent="0.25">
      <c r="Q2456" s="328"/>
    </row>
    <row r="2457" spans="17:17" x14ac:dyDescent="0.25">
      <c r="Q2457" s="328"/>
    </row>
    <row r="2458" spans="17:17" x14ac:dyDescent="0.25">
      <c r="Q2458" s="328"/>
    </row>
    <row r="2459" spans="17:17" x14ac:dyDescent="0.25">
      <c r="Q2459" s="328"/>
    </row>
    <row r="2460" spans="17:17" x14ac:dyDescent="0.25">
      <c r="Q2460" s="328"/>
    </row>
    <row r="2461" spans="17:17" x14ac:dyDescent="0.25">
      <c r="Q2461" s="328"/>
    </row>
    <row r="2462" spans="17:17" x14ac:dyDescent="0.25">
      <c r="Q2462" s="328"/>
    </row>
    <row r="2463" spans="17:17" x14ac:dyDescent="0.25">
      <c r="Q2463" s="328"/>
    </row>
    <row r="2464" spans="17:17" x14ac:dyDescent="0.25">
      <c r="Q2464" s="328"/>
    </row>
    <row r="2465" spans="17:17" x14ac:dyDescent="0.25">
      <c r="Q2465" s="328"/>
    </row>
    <row r="2466" spans="17:17" x14ac:dyDescent="0.25">
      <c r="Q2466" s="328"/>
    </row>
    <row r="2467" spans="17:17" x14ac:dyDescent="0.25">
      <c r="Q2467" s="328"/>
    </row>
    <row r="2468" spans="17:17" x14ac:dyDescent="0.25">
      <c r="Q2468" s="328"/>
    </row>
    <row r="2469" spans="17:17" x14ac:dyDescent="0.25">
      <c r="Q2469" s="328"/>
    </row>
    <row r="2470" spans="17:17" x14ac:dyDescent="0.25">
      <c r="Q2470" s="328"/>
    </row>
    <row r="2471" spans="17:17" x14ac:dyDescent="0.25">
      <c r="Q2471" s="328"/>
    </row>
    <row r="2472" spans="17:17" x14ac:dyDescent="0.25">
      <c r="Q2472" s="328"/>
    </row>
    <row r="2473" spans="17:17" x14ac:dyDescent="0.25">
      <c r="Q2473" s="328"/>
    </row>
    <row r="2474" spans="17:17" x14ac:dyDescent="0.25">
      <c r="Q2474" s="328"/>
    </row>
    <row r="2475" spans="17:17" x14ac:dyDescent="0.25">
      <c r="Q2475" s="328"/>
    </row>
    <row r="2476" spans="17:17" x14ac:dyDescent="0.25">
      <c r="Q2476" s="328"/>
    </row>
    <row r="2477" spans="17:17" x14ac:dyDescent="0.25">
      <c r="Q2477" s="328"/>
    </row>
    <row r="2478" spans="17:17" x14ac:dyDescent="0.25">
      <c r="Q2478" s="328"/>
    </row>
    <row r="2479" spans="17:17" x14ac:dyDescent="0.25">
      <c r="Q2479" s="328"/>
    </row>
    <row r="2480" spans="17:17" x14ac:dyDescent="0.25">
      <c r="Q2480" s="328"/>
    </row>
    <row r="2481" spans="17:17" x14ac:dyDescent="0.25">
      <c r="Q2481" s="328"/>
    </row>
    <row r="2482" spans="17:17" x14ac:dyDescent="0.25">
      <c r="Q2482" s="328"/>
    </row>
    <row r="2483" spans="17:17" x14ac:dyDescent="0.25">
      <c r="Q2483" s="328"/>
    </row>
    <row r="2484" spans="17:17" x14ac:dyDescent="0.25">
      <c r="Q2484" s="328"/>
    </row>
    <row r="2485" spans="17:17" x14ac:dyDescent="0.25">
      <c r="Q2485" s="328"/>
    </row>
    <row r="2486" spans="17:17" x14ac:dyDescent="0.25">
      <c r="Q2486" s="328"/>
    </row>
    <row r="2487" spans="17:17" x14ac:dyDescent="0.25">
      <c r="Q2487" s="328"/>
    </row>
    <row r="2488" spans="17:17" x14ac:dyDescent="0.25">
      <c r="Q2488" s="328"/>
    </row>
    <row r="2489" spans="17:17" x14ac:dyDescent="0.25">
      <c r="Q2489" s="328"/>
    </row>
    <row r="2490" spans="17:17" x14ac:dyDescent="0.25">
      <c r="Q2490" s="328"/>
    </row>
    <row r="2491" spans="17:17" x14ac:dyDescent="0.25">
      <c r="Q2491" s="328"/>
    </row>
    <row r="2492" spans="17:17" x14ac:dyDescent="0.25">
      <c r="Q2492" s="328"/>
    </row>
    <row r="2493" spans="17:17" x14ac:dyDescent="0.25">
      <c r="Q2493" s="328"/>
    </row>
    <row r="2494" spans="17:17" x14ac:dyDescent="0.25">
      <c r="Q2494" s="328"/>
    </row>
    <row r="2495" spans="17:17" x14ac:dyDescent="0.25">
      <c r="Q2495" s="328"/>
    </row>
    <row r="2496" spans="17:17" x14ac:dyDescent="0.25">
      <c r="Q2496" s="328"/>
    </row>
    <row r="2497" spans="17:17" x14ac:dyDescent="0.25">
      <c r="Q2497" s="328"/>
    </row>
    <row r="2498" spans="17:17" x14ac:dyDescent="0.25">
      <c r="Q2498" s="328"/>
    </row>
    <row r="2499" spans="17:17" x14ac:dyDescent="0.25">
      <c r="Q2499" s="328"/>
    </row>
    <row r="2500" spans="17:17" x14ac:dyDescent="0.25">
      <c r="Q2500" s="328"/>
    </row>
    <row r="2501" spans="17:17" x14ac:dyDescent="0.25">
      <c r="Q2501" s="328"/>
    </row>
    <row r="2502" spans="17:17" x14ac:dyDescent="0.25">
      <c r="Q2502" s="328"/>
    </row>
    <row r="2503" spans="17:17" x14ac:dyDescent="0.25">
      <c r="Q2503" s="328"/>
    </row>
    <row r="2504" spans="17:17" x14ac:dyDescent="0.25">
      <c r="Q2504" s="328"/>
    </row>
    <row r="2505" spans="17:17" x14ac:dyDescent="0.25">
      <c r="Q2505" s="328"/>
    </row>
    <row r="2506" spans="17:17" x14ac:dyDescent="0.25">
      <c r="Q2506" s="328"/>
    </row>
    <row r="2507" spans="17:17" x14ac:dyDescent="0.25">
      <c r="Q2507" s="328"/>
    </row>
    <row r="2508" spans="17:17" x14ac:dyDescent="0.25">
      <c r="Q2508" s="328"/>
    </row>
    <row r="2509" spans="17:17" x14ac:dyDescent="0.25">
      <c r="Q2509" s="328"/>
    </row>
    <row r="2510" spans="17:17" x14ac:dyDescent="0.25">
      <c r="Q2510" s="328"/>
    </row>
    <row r="2511" spans="17:17" x14ac:dyDescent="0.25">
      <c r="Q2511" s="328"/>
    </row>
    <row r="2512" spans="17:17" x14ac:dyDescent="0.25">
      <c r="Q2512" s="328"/>
    </row>
    <row r="2513" spans="17:17" x14ac:dyDescent="0.25">
      <c r="Q2513" s="328"/>
    </row>
    <row r="2514" spans="17:17" x14ac:dyDescent="0.25">
      <c r="Q2514" s="328"/>
    </row>
    <row r="2515" spans="17:17" x14ac:dyDescent="0.25">
      <c r="Q2515" s="328"/>
    </row>
    <row r="2516" spans="17:17" x14ac:dyDescent="0.25">
      <c r="Q2516" s="328"/>
    </row>
    <row r="2517" spans="17:17" x14ac:dyDescent="0.25">
      <c r="Q2517" s="328"/>
    </row>
    <row r="2518" spans="17:17" x14ac:dyDescent="0.25">
      <c r="Q2518" s="328"/>
    </row>
    <row r="2519" spans="17:17" x14ac:dyDescent="0.25">
      <c r="Q2519" s="328"/>
    </row>
    <row r="2520" spans="17:17" x14ac:dyDescent="0.25">
      <c r="Q2520" s="328"/>
    </row>
    <row r="2521" spans="17:17" x14ac:dyDescent="0.25">
      <c r="Q2521" s="328"/>
    </row>
    <row r="2522" spans="17:17" x14ac:dyDescent="0.25">
      <c r="Q2522" s="328"/>
    </row>
    <row r="2523" spans="17:17" x14ac:dyDescent="0.25">
      <c r="Q2523" s="328"/>
    </row>
    <row r="2524" spans="17:17" x14ac:dyDescent="0.25">
      <c r="Q2524" s="328"/>
    </row>
    <row r="2525" spans="17:17" x14ac:dyDescent="0.25">
      <c r="Q2525" s="328"/>
    </row>
    <row r="2526" spans="17:17" x14ac:dyDescent="0.25">
      <c r="Q2526" s="328"/>
    </row>
    <row r="2527" spans="17:17" x14ac:dyDescent="0.25">
      <c r="Q2527" s="328"/>
    </row>
    <row r="2528" spans="17:17" x14ac:dyDescent="0.25">
      <c r="Q2528" s="328"/>
    </row>
    <row r="2529" spans="17:17" x14ac:dyDescent="0.25">
      <c r="Q2529" s="328"/>
    </row>
    <row r="2530" spans="17:17" x14ac:dyDescent="0.25">
      <c r="Q2530" s="328"/>
    </row>
    <row r="2531" spans="17:17" x14ac:dyDescent="0.25">
      <c r="Q2531" s="328"/>
    </row>
    <row r="2532" spans="17:17" x14ac:dyDescent="0.25">
      <c r="Q2532" s="328"/>
    </row>
    <row r="2533" spans="17:17" x14ac:dyDescent="0.25">
      <c r="Q2533" s="328"/>
    </row>
    <row r="2534" spans="17:17" x14ac:dyDescent="0.25">
      <c r="Q2534" s="328"/>
    </row>
    <row r="2535" spans="17:17" x14ac:dyDescent="0.25">
      <c r="Q2535" s="328"/>
    </row>
    <row r="2536" spans="17:17" x14ac:dyDescent="0.25">
      <c r="Q2536" s="328"/>
    </row>
    <row r="2537" spans="17:17" x14ac:dyDescent="0.25">
      <c r="Q2537" s="328"/>
    </row>
    <row r="2538" spans="17:17" x14ac:dyDescent="0.25">
      <c r="Q2538" s="328"/>
    </row>
    <row r="2539" spans="17:17" x14ac:dyDescent="0.25">
      <c r="Q2539" s="328"/>
    </row>
    <row r="2540" spans="17:17" x14ac:dyDescent="0.25">
      <c r="Q2540" s="328"/>
    </row>
    <row r="2541" spans="17:17" x14ac:dyDescent="0.25">
      <c r="Q2541" s="328"/>
    </row>
    <row r="2542" spans="17:17" x14ac:dyDescent="0.25">
      <c r="Q2542" s="328"/>
    </row>
    <row r="2543" spans="17:17" x14ac:dyDescent="0.25">
      <c r="Q2543" s="328"/>
    </row>
    <row r="2544" spans="17:17" x14ac:dyDescent="0.25">
      <c r="Q2544" s="328"/>
    </row>
    <row r="2545" spans="17:17" x14ac:dyDescent="0.25">
      <c r="Q2545" s="328"/>
    </row>
    <row r="2546" spans="17:17" x14ac:dyDescent="0.25">
      <c r="Q2546" s="328"/>
    </row>
    <row r="2547" spans="17:17" x14ac:dyDescent="0.25">
      <c r="Q2547" s="328"/>
    </row>
    <row r="2548" spans="17:17" x14ac:dyDescent="0.25">
      <c r="Q2548" s="328"/>
    </row>
    <row r="2549" spans="17:17" x14ac:dyDescent="0.25">
      <c r="Q2549" s="328"/>
    </row>
    <row r="2550" spans="17:17" x14ac:dyDescent="0.25">
      <c r="Q2550" s="328"/>
    </row>
    <row r="2551" spans="17:17" x14ac:dyDescent="0.25">
      <c r="Q2551" s="328"/>
    </row>
    <row r="2552" spans="17:17" x14ac:dyDescent="0.25">
      <c r="Q2552" s="328"/>
    </row>
    <row r="2553" spans="17:17" x14ac:dyDescent="0.25">
      <c r="Q2553" s="328"/>
    </row>
    <row r="2554" spans="17:17" x14ac:dyDescent="0.25">
      <c r="Q2554" s="328"/>
    </row>
    <row r="2555" spans="17:17" x14ac:dyDescent="0.25">
      <c r="Q2555" s="328"/>
    </row>
    <row r="2556" spans="17:17" x14ac:dyDescent="0.25">
      <c r="Q2556" s="328"/>
    </row>
    <row r="2557" spans="17:17" x14ac:dyDescent="0.25">
      <c r="Q2557" s="328"/>
    </row>
    <row r="2558" spans="17:17" x14ac:dyDescent="0.25">
      <c r="Q2558" s="328"/>
    </row>
    <row r="2559" spans="17:17" x14ac:dyDescent="0.25">
      <c r="Q2559" s="328"/>
    </row>
    <row r="2560" spans="17:17" x14ac:dyDescent="0.25">
      <c r="Q2560" s="328"/>
    </row>
    <row r="2561" spans="17:17" x14ac:dyDescent="0.25">
      <c r="Q2561" s="328"/>
    </row>
    <row r="2562" spans="17:17" x14ac:dyDescent="0.25">
      <c r="Q2562" s="328"/>
    </row>
    <row r="2563" spans="17:17" x14ac:dyDescent="0.25">
      <c r="Q2563" s="328"/>
    </row>
    <row r="2564" spans="17:17" x14ac:dyDescent="0.25">
      <c r="Q2564" s="328"/>
    </row>
    <row r="2565" spans="17:17" x14ac:dyDescent="0.25">
      <c r="Q2565" s="328"/>
    </row>
    <row r="2566" spans="17:17" x14ac:dyDescent="0.25">
      <c r="Q2566" s="328"/>
    </row>
    <row r="2567" spans="17:17" x14ac:dyDescent="0.25">
      <c r="Q2567" s="328"/>
    </row>
    <row r="2568" spans="17:17" x14ac:dyDescent="0.25">
      <c r="Q2568" s="328"/>
    </row>
    <row r="2569" spans="17:17" x14ac:dyDescent="0.25">
      <c r="Q2569" s="328"/>
    </row>
    <row r="2570" spans="17:17" x14ac:dyDescent="0.25">
      <c r="Q2570" s="328"/>
    </row>
    <row r="2571" spans="17:17" x14ac:dyDescent="0.25">
      <c r="Q2571" s="328"/>
    </row>
    <row r="2572" spans="17:17" x14ac:dyDescent="0.25">
      <c r="Q2572" s="328"/>
    </row>
    <row r="2573" spans="17:17" x14ac:dyDescent="0.25">
      <c r="Q2573" s="328"/>
    </row>
    <row r="2574" spans="17:17" x14ac:dyDescent="0.25">
      <c r="Q2574" s="328"/>
    </row>
    <row r="2575" spans="17:17" x14ac:dyDescent="0.25">
      <c r="Q2575" s="328"/>
    </row>
    <row r="2576" spans="17:17" x14ac:dyDescent="0.25">
      <c r="Q2576" s="328"/>
    </row>
    <row r="2577" spans="17:17" x14ac:dyDescent="0.25">
      <c r="Q2577" s="328"/>
    </row>
    <row r="2578" spans="17:17" x14ac:dyDescent="0.25">
      <c r="Q2578" s="328"/>
    </row>
    <row r="2579" spans="17:17" x14ac:dyDescent="0.25">
      <c r="Q2579" s="328"/>
    </row>
    <row r="2580" spans="17:17" x14ac:dyDescent="0.25">
      <c r="Q2580" s="328"/>
    </row>
    <row r="2581" spans="17:17" x14ac:dyDescent="0.25">
      <c r="Q2581" s="328"/>
    </row>
    <row r="2582" spans="17:17" x14ac:dyDescent="0.25">
      <c r="Q2582" s="328"/>
    </row>
    <row r="2583" spans="17:17" x14ac:dyDescent="0.25">
      <c r="Q2583" s="328"/>
    </row>
    <row r="2584" spans="17:17" x14ac:dyDescent="0.25">
      <c r="Q2584" s="328"/>
    </row>
    <row r="2585" spans="17:17" x14ac:dyDescent="0.25">
      <c r="Q2585" s="328"/>
    </row>
    <row r="2586" spans="17:17" x14ac:dyDescent="0.25">
      <c r="Q2586" s="328"/>
    </row>
    <row r="2587" spans="17:17" x14ac:dyDescent="0.25">
      <c r="Q2587" s="328"/>
    </row>
    <row r="2588" spans="17:17" x14ac:dyDescent="0.25">
      <c r="Q2588" s="328"/>
    </row>
    <row r="2589" spans="17:17" x14ac:dyDescent="0.25">
      <c r="Q2589" s="328"/>
    </row>
    <row r="2590" spans="17:17" x14ac:dyDescent="0.25">
      <c r="Q2590" s="328"/>
    </row>
    <row r="2591" spans="17:17" x14ac:dyDescent="0.25">
      <c r="Q2591" s="328"/>
    </row>
    <row r="2592" spans="17:17" x14ac:dyDescent="0.25">
      <c r="Q2592" s="328"/>
    </row>
    <row r="2593" spans="17:17" x14ac:dyDescent="0.25">
      <c r="Q2593" s="328"/>
    </row>
    <row r="2594" spans="17:17" x14ac:dyDescent="0.25">
      <c r="Q2594" s="328"/>
    </row>
    <row r="2595" spans="17:17" x14ac:dyDescent="0.25">
      <c r="Q2595" s="328"/>
    </row>
    <row r="2596" spans="17:17" x14ac:dyDescent="0.25">
      <c r="Q2596" s="328"/>
    </row>
    <row r="2597" spans="17:17" x14ac:dyDescent="0.25">
      <c r="Q2597" s="328"/>
    </row>
    <row r="2598" spans="17:17" x14ac:dyDescent="0.25">
      <c r="Q2598" s="328"/>
    </row>
    <row r="2599" spans="17:17" x14ac:dyDescent="0.25">
      <c r="Q2599" s="328"/>
    </row>
    <row r="2600" spans="17:17" x14ac:dyDescent="0.25">
      <c r="Q2600" s="328"/>
    </row>
    <row r="2601" spans="17:17" x14ac:dyDescent="0.25">
      <c r="Q2601" s="328"/>
    </row>
    <row r="2602" spans="17:17" x14ac:dyDescent="0.25">
      <c r="Q2602" s="328"/>
    </row>
    <row r="2603" spans="17:17" x14ac:dyDescent="0.25">
      <c r="Q2603" s="328"/>
    </row>
    <row r="2604" spans="17:17" x14ac:dyDescent="0.25">
      <c r="Q2604" s="328"/>
    </row>
    <row r="2605" spans="17:17" x14ac:dyDescent="0.25">
      <c r="Q2605" s="328"/>
    </row>
    <row r="2606" spans="17:17" x14ac:dyDescent="0.25">
      <c r="Q2606" s="328"/>
    </row>
    <row r="2607" spans="17:17" x14ac:dyDescent="0.25">
      <c r="Q2607" s="328"/>
    </row>
    <row r="2608" spans="17:17" x14ac:dyDescent="0.25">
      <c r="Q2608" s="328"/>
    </row>
    <row r="2609" spans="17:17" x14ac:dyDescent="0.25">
      <c r="Q2609" s="328"/>
    </row>
    <row r="2610" spans="17:17" x14ac:dyDescent="0.25">
      <c r="Q2610" s="328"/>
    </row>
    <row r="2611" spans="17:17" x14ac:dyDescent="0.25">
      <c r="Q2611" s="328"/>
    </row>
    <row r="2612" spans="17:17" x14ac:dyDescent="0.25">
      <c r="Q2612" s="328"/>
    </row>
    <row r="2613" spans="17:17" x14ac:dyDescent="0.25">
      <c r="Q2613" s="328"/>
    </row>
    <row r="2614" spans="17:17" x14ac:dyDescent="0.25">
      <c r="Q2614" s="328"/>
    </row>
    <row r="2615" spans="17:17" x14ac:dyDescent="0.25">
      <c r="Q2615" s="328"/>
    </row>
    <row r="2616" spans="17:17" x14ac:dyDescent="0.25">
      <c r="Q2616" s="328"/>
    </row>
    <row r="2617" spans="17:17" x14ac:dyDescent="0.25">
      <c r="Q2617" s="328"/>
    </row>
    <row r="2618" spans="17:17" x14ac:dyDescent="0.25">
      <c r="Q2618" s="328"/>
    </row>
    <row r="2619" spans="17:17" x14ac:dyDescent="0.25">
      <c r="Q2619" s="328"/>
    </row>
    <row r="2620" spans="17:17" x14ac:dyDescent="0.25">
      <c r="Q2620" s="328"/>
    </row>
    <row r="2621" spans="17:17" x14ac:dyDescent="0.25">
      <c r="Q2621" s="328"/>
    </row>
    <row r="2622" spans="17:17" x14ac:dyDescent="0.25">
      <c r="Q2622" s="328"/>
    </row>
    <row r="2623" spans="17:17" x14ac:dyDescent="0.25">
      <c r="Q2623" s="328"/>
    </row>
    <row r="2624" spans="17:17" x14ac:dyDescent="0.25">
      <c r="Q2624" s="328"/>
    </row>
    <row r="2625" spans="17:17" x14ac:dyDescent="0.25">
      <c r="Q2625" s="328"/>
    </row>
    <row r="2626" spans="17:17" x14ac:dyDescent="0.25">
      <c r="Q2626" s="328"/>
    </row>
    <row r="2627" spans="17:17" x14ac:dyDescent="0.25">
      <c r="Q2627" s="328"/>
    </row>
    <row r="2628" spans="17:17" x14ac:dyDescent="0.25">
      <c r="Q2628" s="328"/>
    </row>
    <row r="2629" spans="17:17" x14ac:dyDescent="0.25">
      <c r="Q2629" s="328"/>
    </row>
    <row r="2630" spans="17:17" x14ac:dyDescent="0.25">
      <c r="Q2630" s="328"/>
    </row>
    <row r="2631" spans="17:17" x14ac:dyDescent="0.25">
      <c r="Q2631" s="328"/>
    </row>
    <row r="2632" spans="17:17" x14ac:dyDescent="0.25">
      <c r="Q2632" s="328"/>
    </row>
    <row r="2633" spans="17:17" x14ac:dyDescent="0.25">
      <c r="Q2633" s="328"/>
    </row>
    <row r="2634" spans="17:17" x14ac:dyDescent="0.25">
      <c r="Q2634" s="328"/>
    </row>
    <row r="2635" spans="17:17" x14ac:dyDescent="0.25">
      <c r="Q2635" s="328"/>
    </row>
    <row r="2636" spans="17:17" x14ac:dyDescent="0.25">
      <c r="Q2636" s="328"/>
    </row>
    <row r="2637" spans="17:17" x14ac:dyDescent="0.25">
      <c r="Q2637" s="328"/>
    </row>
    <row r="2638" spans="17:17" x14ac:dyDescent="0.25">
      <c r="Q2638" s="328"/>
    </row>
    <row r="2639" spans="17:17" x14ac:dyDescent="0.25">
      <c r="Q2639" s="328"/>
    </row>
    <row r="2640" spans="17:17" x14ac:dyDescent="0.25">
      <c r="Q2640" s="328"/>
    </row>
    <row r="2641" spans="17:17" x14ac:dyDescent="0.25">
      <c r="Q2641" s="328"/>
    </row>
    <row r="2642" spans="17:17" x14ac:dyDescent="0.25">
      <c r="Q2642" s="328"/>
    </row>
    <row r="2643" spans="17:17" x14ac:dyDescent="0.25">
      <c r="Q2643" s="328"/>
    </row>
    <row r="2644" spans="17:17" x14ac:dyDescent="0.25">
      <c r="Q2644" s="328"/>
    </row>
    <row r="2645" spans="17:17" x14ac:dyDescent="0.25">
      <c r="Q2645" s="328"/>
    </row>
    <row r="2646" spans="17:17" x14ac:dyDescent="0.25">
      <c r="Q2646" s="328"/>
    </row>
    <row r="2647" spans="17:17" x14ac:dyDescent="0.25">
      <c r="Q2647" s="328"/>
    </row>
    <row r="2648" spans="17:17" x14ac:dyDescent="0.25">
      <c r="Q2648" s="328"/>
    </row>
    <row r="2649" spans="17:17" x14ac:dyDescent="0.25">
      <c r="Q2649" s="328"/>
    </row>
    <row r="2650" spans="17:17" x14ac:dyDescent="0.25">
      <c r="Q2650" s="328"/>
    </row>
    <row r="2651" spans="17:17" x14ac:dyDescent="0.25">
      <c r="Q2651" s="328"/>
    </row>
    <row r="2652" spans="17:17" x14ac:dyDescent="0.25">
      <c r="Q2652" s="328"/>
    </row>
    <row r="2653" spans="17:17" x14ac:dyDescent="0.25">
      <c r="Q2653" s="328"/>
    </row>
    <row r="2654" spans="17:17" x14ac:dyDescent="0.25">
      <c r="Q2654" s="328"/>
    </row>
    <row r="2655" spans="17:17" x14ac:dyDescent="0.25">
      <c r="Q2655" s="328"/>
    </row>
    <row r="2656" spans="17:17" x14ac:dyDescent="0.25">
      <c r="Q2656" s="328"/>
    </row>
    <row r="2657" spans="17:17" x14ac:dyDescent="0.25">
      <c r="Q2657" s="328"/>
    </row>
    <row r="2658" spans="17:17" x14ac:dyDescent="0.25">
      <c r="Q2658" s="328"/>
    </row>
    <row r="2659" spans="17:17" x14ac:dyDescent="0.25">
      <c r="Q2659" s="328"/>
    </row>
    <row r="2660" spans="17:17" x14ac:dyDescent="0.25">
      <c r="Q2660" s="328"/>
    </row>
    <row r="2661" spans="17:17" x14ac:dyDescent="0.25">
      <c r="Q2661" s="328"/>
    </row>
    <row r="2662" spans="17:17" x14ac:dyDescent="0.25">
      <c r="Q2662" s="328"/>
    </row>
    <row r="2663" spans="17:17" x14ac:dyDescent="0.25">
      <c r="Q2663" s="328"/>
    </row>
    <row r="2664" spans="17:17" x14ac:dyDescent="0.25">
      <c r="Q2664" s="328"/>
    </row>
    <row r="2665" spans="17:17" x14ac:dyDescent="0.25">
      <c r="Q2665" s="328"/>
    </row>
    <row r="2666" spans="17:17" x14ac:dyDescent="0.25">
      <c r="Q2666" s="328"/>
    </row>
    <row r="2667" spans="17:17" x14ac:dyDescent="0.25">
      <c r="Q2667" s="328"/>
    </row>
    <row r="2668" spans="17:17" x14ac:dyDescent="0.25">
      <c r="Q2668" s="328"/>
    </row>
    <row r="2669" spans="17:17" x14ac:dyDescent="0.25">
      <c r="Q2669" s="328"/>
    </row>
    <row r="2670" spans="17:17" x14ac:dyDescent="0.25">
      <c r="Q2670" s="328"/>
    </row>
    <row r="2671" spans="17:17" x14ac:dyDescent="0.25">
      <c r="Q2671" s="328"/>
    </row>
    <row r="2672" spans="17:17" x14ac:dyDescent="0.25">
      <c r="Q2672" s="328"/>
    </row>
    <row r="2673" spans="17:17" x14ac:dyDescent="0.25">
      <c r="Q2673" s="328"/>
    </row>
    <row r="2674" spans="17:17" x14ac:dyDescent="0.25">
      <c r="Q2674" s="328"/>
    </row>
    <row r="2675" spans="17:17" x14ac:dyDescent="0.25">
      <c r="Q2675" s="328"/>
    </row>
    <row r="2676" spans="17:17" x14ac:dyDescent="0.25">
      <c r="Q2676" s="328"/>
    </row>
    <row r="2677" spans="17:17" x14ac:dyDescent="0.25">
      <c r="Q2677" s="328"/>
    </row>
    <row r="2678" spans="17:17" x14ac:dyDescent="0.25">
      <c r="Q2678" s="328"/>
    </row>
    <row r="2679" spans="17:17" x14ac:dyDescent="0.25">
      <c r="Q2679" s="328"/>
    </row>
    <row r="2680" spans="17:17" x14ac:dyDescent="0.25">
      <c r="Q2680" s="328"/>
    </row>
    <row r="2681" spans="17:17" x14ac:dyDescent="0.25">
      <c r="Q2681" s="328"/>
    </row>
    <row r="2682" spans="17:17" x14ac:dyDescent="0.25">
      <c r="Q2682" s="328"/>
    </row>
    <row r="2683" spans="17:17" x14ac:dyDescent="0.25">
      <c r="Q2683" s="328"/>
    </row>
    <row r="2684" spans="17:17" x14ac:dyDescent="0.25">
      <c r="Q2684" s="328"/>
    </row>
    <row r="2685" spans="17:17" x14ac:dyDescent="0.25">
      <c r="Q2685" s="328"/>
    </row>
    <row r="2686" spans="17:17" x14ac:dyDescent="0.25">
      <c r="Q2686" s="328"/>
    </row>
    <row r="2687" spans="17:17" x14ac:dyDescent="0.25">
      <c r="Q2687" s="328"/>
    </row>
    <row r="2688" spans="17:17" x14ac:dyDescent="0.25">
      <c r="Q2688" s="328"/>
    </row>
    <row r="2689" spans="17:17" x14ac:dyDescent="0.25">
      <c r="Q2689" s="328"/>
    </row>
    <row r="2690" spans="17:17" x14ac:dyDescent="0.25">
      <c r="Q2690" s="328"/>
    </row>
    <row r="2691" spans="17:17" x14ac:dyDescent="0.25">
      <c r="Q2691" s="328"/>
    </row>
    <row r="2692" spans="17:17" x14ac:dyDescent="0.25">
      <c r="Q2692" s="328"/>
    </row>
    <row r="2693" spans="17:17" x14ac:dyDescent="0.25">
      <c r="Q2693" s="328"/>
    </row>
    <row r="2694" spans="17:17" x14ac:dyDescent="0.25">
      <c r="Q2694" s="328"/>
    </row>
    <row r="2695" spans="17:17" x14ac:dyDescent="0.25">
      <c r="Q2695" s="328"/>
    </row>
    <row r="2696" spans="17:17" x14ac:dyDescent="0.25">
      <c r="Q2696" s="328"/>
    </row>
    <row r="2697" spans="17:17" x14ac:dyDescent="0.25">
      <c r="Q2697" s="328"/>
    </row>
    <row r="2698" spans="17:17" x14ac:dyDescent="0.25">
      <c r="Q2698" s="328"/>
    </row>
    <row r="2699" spans="17:17" x14ac:dyDescent="0.25">
      <c r="Q2699" s="328"/>
    </row>
    <row r="2700" spans="17:17" x14ac:dyDescent="0.25">
      <c r="Q2700" s="328"/>
    </row>
    <row r="2701" spans="17:17" x14ac:dyDescent="0.25">
      <c r="Q2701" s="328"/>
    </row>
    <row r="2702" spans="17:17" x14ac:dyDescent="0.25">
      <c r="Q2702" s="328"/>
    </row>
    <row r="2703" spans="17:17" x14ac:dyDescent="0.25">
      <c r="Q2703" s="328"/>
    </row>
    <row r="2704" spans="17:17" x14ac:dyDescent="0.25">
      <c r="Q2704" s="328"/>
    </row>
    <row r="2705" spans="17:17" x14ac:dyDescent="0.25">
      <c r="Q2705" s="328"/>
    </row>
    <row r="2706" spans="17:17" x14ac:dyDescent="0.25">
      <c r="Q2706" s="328"/>
    </row>
    <row r="2707" spans="17:17" x14ac:dyDescent="0.25">
      <c r="Q2707" s="328"/>
    </row>
    <row r="2708" spans="17:17" x14ac:dyDescent="0.25">
      <c r="Q2708" s="328"/>
    </row>
    <row r="2709" spans="17:17" x14ac:dyDescent="0.25">
      <c r="Q2709" s="328"/>
    </row>
    <row r="2710" spans="17:17" x14ac:dyDescent="0.25">
      <c r="Q2710" s="328"/>
    </row>
    <row r="2711" spans="17:17" x14ac:dyDescent="0.25">
      <c r="Q2711" s="328"/>
    </row>
    <row r="2712" spans="17:17" x14ac:dyDescent="0.25">
      <c r="Q2712" s="328"/>
    </row>
    <row r="2713" spans="17:17" x14ac:dyDescent="0.25">
      <c r="Q2713" s="328"/>
    </row>
    <row r="2714" spans="17:17" x14ac:dyDescent="0.25">
      <c r="Q2714" s="328"/>
    </row>
    <row r="2715" spans="17:17" x14ac:dyDescent="0.25">
      <c r="Q2715" s="328"/>
    </row>
    <row r="2716" spans="17:17" x14ac:dyDescent="0.25">
      <c r="Q2716" s="328"/>
    </row>
    <row r="2717" spans="17:17" x14ac:dyDescent="0.25">
      <c r="Q2717" s="328"/>
    </row>
    <row r="2718" spans="17:17" x14ac:dyDescent="0.25">
      <c r="Q2718" s="328"/>
    </row>
    <row r="2719" spans="17:17" x14ac:dyDescent="0.25">
      <c r="Q2719" s="328"/>
    </row>
    <row r="2720" spans="17:17" x14ac:dyDescent="0.25">
      <c r="Q2720" s="328"/>
    </row>
    <row r="2721" spans="17:17" x14ac:dyDescent="0.25">
      <c r="Q2721" s="328"/>
    </row>
    <row r="2722" spans="17:17" x14ac:dyDescent="0.25">
      <c r="Q2722" s="328"/>
    </row>
    <row r="2723" spans="17:17" x14ac:dyDescent="0.25">
      <c r="Q2723" s="328"/>
    </row>
    <row r="2724" spans="17:17" x14ac:dyDescent="0.25">
      <c r="Q2724" s="328"/>
    </row>
    <row r="2725" spans="17:17" x14ac:dyDescent="0.25">
      <c r="Q2725" s="328"/>
    </row>
    <row r="2726" spans="17:17" x14ac:dyDescent="0.25">
      <c r="Q2726" s="328"/>
    </row>
    <row r="2727" spans="17:17" x14ac:dyDescent="0.25">
      <c r="Q2727" s="328"/>
    </row>
    <row r="2728" spans="17:17" x14ac:dyDescent="0.25">
      <c r="Q2728" s="328"/>
    </row>
    <row r="2729" spans="17:17" x14ac:dyDescent="0.25">
      <c r="Q2729" s="328"/>
    </row>
    <row r="2730" spans="17:17" x14ac:dyDescent="0.25">
      <c r="Q2730" s="328"/>
    </row>
    <row r="2731" spans="17:17" x14ac:dyDescent="0.25">
      <c r="Q2731" s="328"/>
    </row>
    <row r="2732" spans="17:17" x14ac:dyDescent="0.25">
      <c r="Q2732" s="328"/>
    </row>
    <row r="2733" spans="17:17" x14ac:dyDescent="0.25">
      <c r="Q2733" s="328"/>
    </row>
    <row r="2734" spans="17:17" x14ac:dyDescent="0.25">
      <c r="Q2734" s="328"/>
    </row>
    <row r="2735" spans="17:17" x14ac:dyDescent="0.25">
      <c r="Q2735" s="328"/>
    </row>
    <row r="2736" spans="17:17" x14ac:dyDescent="0.25">
      <c r="Q2736" s="328"/>
    </row>
    <row r="2737" spans="17:17" x14ac:dyDescent="0.25">
      <c r="Q2737" s="328"/>
    </row>
    <row r="2738" spans="17:17" x14ac:dyDescent="0.25">
      <c r="Q2738" s="328"/>
    </row>
    <row r="2739" spans="17:17" x14ac:dyDescent="0.25">
      <c r="Q2739" s="328"/>
    </row>
    <row r="2740" spans="17:17" x14ac:dyDescent="0.25">
      <c r="Q2740" s="328"/>
    </row>
    <row r="2741" spans="17:17" x14ac:dyDescent="0.25">
      <c r="Q2741" s="328"/>
    </row>
    <row r="2742" spans="17:17" x14ac:dyDescent="0.25">
      <c r="Q2742" s="328"/>
    </row>
    <row r="2743" spans="17:17" x14ac:dyDescent="0.25">
      <c r="Q2743" s="328"/>
    </row>
    <row r="2744" spans="17:17" x14ac:dyDescent="0.25">
      <c r="Q2744" s="328"/>
    </row>
    <row r="2745" spans="17:17" x14ac:dyDescent="0.25">
      <c r="Q2745" s="328"/>
    </row>
    <row r="2746" spans="17:17" x14ac:dyDescent="0.25">
      <c r="Q2746" s="328"/>
    </row>
    <row r="2747" spans="17:17" x14ac:dyDescent="0.25">
      <c r="Q2747" s="328"/>
    </row>
    <row r="2748" spans="17:17" x14ac:dyDescent="0.25">
      <c r="Q2748" s="328"/>
    </row>
    <row r="2749" spans="17:17" x14ac:dyDescent="0.25">
      <c r="Q2749" s="328"/>
    </row>
    <row r="2750" spans="17:17" x14ac:dyDescent="0.25">
      <c r="Q2750" s="328"/>
    </row>
    <row r="2751" spans="17:17" x14ac:dyDescent="0.25">
      <c r="Q2751" s="328"/>
    </row>
    <row r="2752" spans="17:17" x14ac:dyDescent="0.25">
      <c r="Q2752" s="328"/>
    </row>
    <row r="2753" spans="17:17" x14ac:dyDescent="0.25">
      <c r="Q2753" s="328"/>
    </row>
    <row r="2754" spans="17:17" x14ac:dyDescent="0.25">
      <c r="Q2754" s="328"/>
    </row>
    <row r="2755" spans="17:17" x14ac:dyDescent="0.25">
      <c r="Q2755" s="328"/>
    </row>
    <row r="2756" spans="17:17" x14ac:dyDescent="0.25">
      <c r="Q2756" s="328"/>
    </row>
    <row r="2757" spans="17:17" x14ac:dyDescent="0.25">
      <c r="Q2757" s="328"/>
    </row>
    <row r="2758" spans="17:17" x14ac:dyDescent="0.25">
      <c r="Q2758" s="328"/>
    </row>
    <row r="2759" spans="17:17" x14ac:dyDescent="0.25">
      <c r="Q2759" s="328"/>
    </row>
    <row r="2760" spans="17:17" x14ac:dyDescent="0.25">
      <c r="Q2760" s="328"/>
    </row>
    <row r="2761" spans="17:17" x14ac:dyDescent="0.25">
      <c r="Q2761" s="328"/>
    </row>
    <row r="2762" spans="17:17" x14ac:dyDescent="0.25">
      <c r="Q2762" s="328"/>
    </row>
    <row r="2763" spans="17:17" x14ac:dyDescent="0.25">
      <c r="Q2763" s="328"/>
    </row>
    <row r="2764" spans="17:17" x14ac:dyDescent="0.25">
      <c r="Q2764" s="328"/>
    </row>
    <row r="2765" spans="17:17" x14ac:dyDescent="0.25">
      <c r="Q2765" s="328"/>
    </row>
    <row r="2766" spans="17:17" x14ac:dyDescent="0.25">
      <c r="Q2766" s="328"/>
    </row>
    <row r="2767" spans="17:17" x14ac:dyDescent="0.25">
      <c r="Q2767" s="328"/>
    </row>
    <row r="2768" spans="17:17" x14ac:dyDescent="0.25">
      <c r="Q2768" s="328"/>
    </row>
    <row r="2769" spans="17:17" x14ac:dyDescent="0.25">
      <c r="Q2769" s="328"/>
    </row>
    <row r="2770" spans="17:17" x14ac:dyDescent="0.25">
      <c r="Q2770" s="328"/>
    </row>
    <row r="2771" spans="17:17" x14ac:dyDescent="0.25">
      <c r="Q2771" s="328"/>
    </row>
    <row r="2772" spans="17:17" x14ac:dyDescent="0.25">
      <c r="Q2772" s="328"/>
    </row>
    <row r="2773" spans="17:17" x14ac:dyDescent="0.25">
      <c r="Q2773" s="328"/>
    </row>
    <row r="2774" spans="17:17" x14ac:dyDescent="0.25">
      <c r="Q2774" s="328"/>
    </row>
    <row r="2775" spans="17:17" x14ac:dyDescent="0.25">
      <c r="Q2775" s="328"/>
    </row>
    <row r="2776" spans="17:17" x14ac:dyDescent="0.25">
      <c r="Q2776" s="328"/>
    </row>
    <row r="2777" spans="17:17" x14ac:dyDescent="0.25">
      <c r="Q2777" s="328"/>
    </row>
    <row r="2778" spans="17:17" x14ac:dyDescent="0.25">
      <c r="Q2778" s="328"/>
    </row>
    <row r="2779" spans="17:17" x14ac:dyDescent="0.25">
      <c r="Q2779" s="328"/>
    </row>
    <row r="2780" spans="17:17" x14ac:dyDescent="0.25">
      <c r="Q2780" s="328"/>
    </row>
    <row r="2781" spans="17:17" x14ac:dyDescent="0.25">
      <c r="Q2781" s="328"/>
    </row>
    <row r="2782" spans="17:17" x14ac:dyDescent="0.25">
      <c r="Q2782" s="328"/>
    </row>
    <row r="2783" spans="17:17" x14ac:dyDescent="0.25">
      <c r="Q2783" s="328"/>
    </row>
    <row r="2784" spans="17:17" x14ac:dyDescent="0.25">
      <c r="Q2784" s="328"/>
    </row>
    <row r="2785" spans="17:17" x14ac:dyDescent="0.25">
      <c r="Q2785" s="328"/>
    </row>
    <row r="2786" spans="17:17" x14ac:dyDescent="0.25">
      <c r="Q2786" s="328"/>
    </row>
    <row r="2787" spans="17:17" x14ac:dyDescent="0.25">
      <c r="Q2787" s="328"/>
    </row>
    <row r="2788" spans="17:17" x14ac:dyDescent="0.25">
      <c r="Q2788" s="328"/>
    </row>
    <row r="2789" spans="17:17" x14ac:dyDescent="0.25">
      <c r="Q2789" s="328"/>
    </row>
    <row r="2790" spans="17:17" x14ac:dyDescent="0.25">
      <c r="Q2790" s="328"/>
    </row>
    <row r="2791" spans="17:17" x14ac:dyDescent="0.25">
      <c r="Q2791" s="328"/>
    </row>
    <row r="2792" spans="17:17" x14ac:dyDescent="0.25">
      <c r="Q2792" s="328"/>
    </row>
    <row r="2793" spans="17:17" x14ac:dyDescent="0.25">
      <c r="Q2793" s="328"/>
    </row>
    <row r="2794" spans="17:17" x14ac:dyDescent="0.25">
      <c r="Q2794" s="328"/>
    </row>
    <row r="2795" spans="17:17" x14ac:dyDescent="0.25">
      <c r="Q2795" s="328"/>
    </row>
    <row r="2796" spans="17:17" x14ac:dyDescent="0.25">
      <c r="Q2796" s="328"/>
    </row>
    <row r="2797" spans="17:17" x14ac:dyDescent="0.25">
      <c r="Q2797" s="328"/>
    </row>
    <row r="2798" spans="17:17" x14ac:dyDescent="0.25">
      <c r="Q2798" s="328"/>
    </row>
    <row r="2799" spans="17:17" x14ac:dyDescent="0.25">
      <c r="Q2799" s="328"/>
    </row>
    <row r="2800" spans="17:17" x14ac:dyDescent="0.25">
      <c r="Q2800" s="328"/>
    </row>
    <row r="2801" spans="17:17" x14ac:dyDescent="0.25">
      <c r="Q2801" s="328"/>
    </row>
    <row r="2802" spans="17:17" x14ac:dyDescent="0.25">
      <c r="Q2802" s="328"/>
    </row>
    <row r="2803" spans="17:17" x14ac:dyDescent="0.25">
      <c r="Q2803" s="328"/>
    </row>
    <row r="2804" spans="17:17" x14ac:dyDescent="0.25">
      <c r="Q2804" s="328"/>
    </row>
    <row r="2805" spans="17:17" x14ac:dyDescent="0.25">
      <c r="Q2805" s="328"/>
    </row>
    <row r="2806" spans="17:17" x14ac:dyDescent="0.25">
      <c r="Q2806" s="328"/>
    </row>
    <row r="2807" spans="17:17" x14ac:dyDescent="0.25">
      <c r="Q2807" s="328"/>
    </row>
    <row r="2808" spans="17:17" x14ac:dyDescent="0.25">
      <c r="Q2808" s="328"/>
    </row>
    <row r="2809" spans="17:17" x14ac:dyDescent="0.25">
      <c r="Q2809" s="328"/>
    </row>
    <row r="2810" spans="17:17" x14ac:dyDescent="0.25">
      <c r="Q2810" s="328"/>
    </row>
    <row r="2811" spans="17:17" x14ac:dyDescent="0.25">
      <c r="Q2811" s="328"/>
    </row>
    <row r="2812" spans="17:17" x14ac:dyDescent="0.25">
      <c r="Q2812" s="328"/>
    </row>
    <row r="2813" spans="17:17" x14ac:dyDescent="0.25">
      <c r="Q2813" s="328"/>
    </row>
    <row r="2814" spans="17:17" x14ac:dyDescent="0.25">
      <c r="Q2814" s="328"/>
    </row>
    <row r="2815" spans="17:17" x14ac:dyDescent="0.25">
      <c r="Q2815" s="328"/>
    </row>
    <row r="2816" spans="17:17" x14ac:dyDescent="0.25">
      <c r="Q2816" s="328"/>
    </row>
    <row r="2817" spans="17:17" x14ac:dyDescent="0.25">
      <c r="Q2817" s="328"/>
    </row>
    <row r="2818" spans="17:17" x14ac:dyDescent="0.25">
      <c r="Q2818" s="328"/>
    </row>
    <row r="2819" spans="17:17" x14ac:dyDescent="0.25">
      <c r="Q2819" s="328"/>
    </row>
    <row r="2820" spans="17:17" x14ac:dyDescent="0.25">
      <c r="Q2820" s="328"/>
    </row>
    <row r="2821" spans="17:17" x14ac:dyDescent="0.25">
      <c r="Q2821" s="328"/>
    </row>
    <row r="2822" spans="17:17" x14ac:dyDescent="0.25">
      <c r="Q2822" s="328"/>
    </row>
    <row r="2823" spans="17:17" x14ac:dyDescent="0.25">
      <c r="Q2823" s="328"/>
    </row>
    <row r="2824" spans="17:17" x14ac:dyDescent="0.25">
      <c r="Q2824" s="328"/>
    </row>
    <row r="2825" spans="17:17" x14ac:dyDescent="0.25">
      <c r="Q2825" s="328"/>
    </row>
    <row r="2826" spans="17:17" x14ac:dyDescent="0.25">
      <c r="Q2826" s="328"/>
    </row>
    <row r="2827" spans="17:17" x14ac:dyDescent="0.25">
      <c r="Q2827" s="328"/>
    </row>
    <row r="2828" spans="17:17" x14ac:dyDescent="0.25">
      <c r="Q2828" s="328"/>
    </row>
    <row r="2829" spans="17:17" x14ac:dyDescent="0.25">
      <c r="Q2829" s="328"/>
    </row>
    <row r="2830" spans="17:17" x14ac:dyDescent="0.25">
      <c r="Q2830" s="328"/>
    </row>
    <row r="2831" spans="17:17" x14ac:dyDescent="0.25">
      <c r="Q2831" s="328"/>
    </row>
    <row r="2832" spans="17:17" x14ac:dyDescent="0.25">
      <c r="Q2832" s="328"/>
    </row>
    <row r="2833" spans="17:17" x14ac:dyDescent="0.25">
      <c r="Q2833" s="328"/>
    </row>
    <row r="2834" spans="17:17" x14ac:dyDescent="0.25">
      <c r="Q2834" s="328"/>
    </row>
    <row r="2835" spans="17:17" x14ac:dyDescent="0.25">
      <c r="Q2835" s="328"/>
    </row>
    <row r="2836" spans="17:17" x14ac:dyDescent="0.25">
      <c r="Q2836" s="328"/>
    </row>
    <row r="2837" spans="17:17" x14ac:dyDescent="0.25">
      <c r="Q2837" s="328"/>
    </row>
    <row r="2838" spans="17:17" x14ac:dyDescent="0.25">
      <c r="Q2838" s="328"/>
    </row>
    <row r="2839" spans="17:17" x14ac:dyDescent="0.25">
      <c r="Q2839" s="328"/>
    </row>
    <row r="2840" spans="17:17" x14ac:dyDescent="0.25">
      <c r="Q2840" s="328"/>
    </row>
    <row r="2841" spans="17:17" x14ac:dyDescent="0.25">
      <c r="Q2841" s="328"/>
    </row>
    <row r="2842" spans="17:17" x14ac:dyDescent="0.25">
      <c r="Q2842" s="328"/>
    </row>
    <row r="2843" spans="17:17" x14ac:dyDescent="0.25">
      <c r="Q2843" s="328"/>
    </row>
    <row r="2844" spans="17:17" x14ac:dyDescent="0.25">
      <c r="Q2844" s="328"/>
    </row>
    <row r="2845" spans="17:17" x14ac:dyDescent="0.25">
      <c r="Q2845" s="328"/>
    </row>
    <row r="2846" spans="17:17" x14ac:dyDescent="0.25">
      <c r="Q2846" s="328"/>
    </row>
    <row r="2847" spans="17:17" x14ac:dyDescent="0.25">
      <c r="Q2847" s="328"/>
    </row>
    <row r="2848" spans="17:17" x14ac:dyDescent="0.25">
      <c r="Q2848" s="328"/>
    </row>
    <row r="2849" spans="17:17" x14ac:dyDescent="0.25">
      <c r="Q2849" s="328"/>
    </row>
    <row r="2850" spans="17:17" x14ac:dyDescent="0.25">
      <c r="Q2850" s="328"/>
    </row>
    <row r="2851" spans="17:17" x14ac:dyDescent="0.25">
      <c r="Q2851" s="328"/>
    </row>
    <row r="2852" spans="17:17" x14ac:dyDescent="0.25">
      <c r="Q2852" s="328"/>
    </row>
    <row r="2853" spans="17:17" x14ac:dyDescent="0.25">
      <c r="Q2853" s="328"/>
    </row>
    <row r="2854" spans="17:17" x14ac:dyDescent="0.25">
      <c r="Q2854" s="328"/>
    </row>
    <row r="2855" spans="17:17" x14ac:dyDescent="0.25">
      <c r="Q2855" s="328"/>
    </row>
    <row r="2856" spans="17:17" x14ac:dyDescent="0.25">
      <c r="Q2856" s="328"/>
    </row>
    <row r="2857" spans="17:17" x14ac:dyDescent="0.25">
      <c r="Q2857" s="328"/>
    </row>
    <row r="2858" spans="17:17" x14ac:dyDescent="0.25">
      <c r="Q2858" s="328"/>
    </row>
    <row r="2859" spans="17:17" x14ac:dyDescent="0.25">
      <c r="Q2859" s="328"/>
    </row>
    <row r="2860" spans="17:17" x14ac:dyDescent="0.25">
      <c r="Q2860" s="328"/>
    </row>
    <row r="2861" spans="17:17" x14ac:dyDescent="0.25">
      <c r="Q2861" s="328"/>
    </row>
    <row r="2862" spans="17:17" x14ac:dyDescent="0.25">
      <c r="Q2862" s="328"/>
    </row>
    <row r="2863" spans="17:17" x14ac:dyDescent="0.25">
      <c r="Q2863" s="328"/>
    </row>
    <row r="2864" spans="17:17" x14ac:dyDescent="0.25">
      <c r="Q2864" s="328"/>
    </row>
    <row r="2865" spans="17:17" x14ac:dyDescent="0.25">
      <c r="Q2865" s="328"/>
    </row>
    <row r="2866" spans="17:17" x14ac:dyDescent="0.25">
      <c r="Q2866" s="328"/>
    </row>
    <row r="2867" spans="17:17" x14ac:dyDescent="0.25">
      <c r="Q2867" s="328"/>
    </row>
    <row r="2868" spans="17:17" x14ac:dyDescent="0.25">
      <c r="Q2868" s="328"/>
    </row>
    <row r="2869" spans="17:17" x14ac:dyDescent="0.25">
      <c r="Q2869" s="328"/>
    </row>
    <row r="2870" spans="17:17" x14ac:dyDescent="0.25">
      <c r="Q2870" s="328"/>
    </row>
    <row r="2871" spans="17:17" x14ac:dyDescent="0.25">
      <c r="Q2871" s="328"/>
    </row>
    <row r="2872" spans="17:17" x14ac:dyDescent="0.25">
      <c r="Q2872" s="328"/>
    </row>
    <row r="2873" spans="17:17" x14ac:dyDescent="0.25">
      <c r="Q2873" s="328"/>
    </row>
    <row r="2874" spans="17:17" x14ac:dyDescent="0.25">
      <c r="Q2874" s="328"/>
    </row>
    <row r="2875" spans="17:17" x14ac:dyDescent="0.25">
      <c r="Q2875" s="328"/>
    </row>
    <row r="2876" spans="17:17" x14ac:dyDescent="0.25">
      <c r="Q2876" s="328"/>
    </row>
    <row r="2877" spans="17:17" x14ac:dyDescent="0.25">
      <c r="Q2877" s="328"/>
    </row>
    <row r="2878" spans="17:17" x14ac:dyDescent="0.25">
      <c r="Q2878" s="328"/>
    </row>
    <row r="2879" spans="17:17" x14ac:dyDescent="0.25">
      <c r="Q2879" s="328"/>
    </row>
    <row r="2880" spans="17:17" x14ac:dyDescent="0.25">
      <c r="Q2880" s="328"/>
    </row>
    <row r="2881" spans="17:17" x14ac:dyDescent="0.25">
      <c r="Q2881" s="328"/>
    </row>
    <row r="2882" spans="17:17" x14ac:dyDescent="0.25">
      <c r="Q2882" s="328"/>
    </row>
    <row r="2883" spans="17:17" x14ac:dyDescent="0.25">
      <c r="Q2883" s="328"/>
    </row>
    <row r="2884" spans="17:17" x14ac:dyDescent="0.25">
      <c r="Q2884" s="328"/>
    </row>
    <row r="2885" spans="17:17" x14ac:dyDescent="0.25">
      <c r="Q2885" s="328"/>
    </row>
    <row r="2886" spans="17:17" x14ac:dyDescent="0.25">
      <c r="Q2886" s="328"/>
    </row>
    <row r="2887" spans="17:17" x14ac:dyDescent="0.25">
      <c r="Q2887" s="328"/>
    </row>
    <row r="2888" spans="17:17" x14ac:dyDescent="0.25">
      <c r="Q2888" s="328"/>
    </row>
    <row r="2889" spans="17:17" x14ac:dyDescent="0.25">
      <c r="Q2889" s="328"/>
    </row>
    <row r="2890" spans="17:17" x14ac:dyDescent="0.25">
      <c r="Q2890" s="328"/>
    </row>
    <row r="2891" spans="17:17" x14ac:dyDescent="0.25">
      <c r="Q2891" s="328"/>
    </row>
    <row r="2892" spans="17:17" x14ac:dyDescent="0.25">
      <c r="Q2892" s="328"/>
    </row>
    <row r="2893" spans="17:17" x14ac:dyDescent="0.25">
      <c r="Q2893" s="328"/>
    </row>
    <row r="2894" spans="17:17" x14ac:dyDescent="0.25">
      <c r="Q2894" s="328"/>
    </row>
    <row r="2895" spans="17:17" x14ac:dyDescent="0.25">
      <c r="Q2895" s="328"/>
    </row>
    <row r="2896" spans="17:17" x14ac:dyDescent="0.25">
      <c r="Q2896" s="328"/>
    </row>
    <row r="2897" spans="17:17" x14ac:dyDescent="0.25">
      <c r="Q2897" s="328"/>
    </row>
    <row r="2898" spans="17:17" x14ac:dyDescent="0.25">
      <c r="Q2898" s="328"/>
    </row>
    <row r="2899" spans="17:17" x14ac:dyDescent="0.25">
      <c r="Q2899" s="328"/>
    </row>
    <row r="2900" spans="17:17" x14ac:dyDescent="0.25">
      <c r="Q2900" s="328"/>
    </row>
    <row r="2901" spans="17:17" x14ac:dyDescent="0.25">
      <c r="Q2901" s="328"/>
    </row>
    <row r="2902" spans="17:17" x14ac:dyDescent="0.25">
      <c r="Q2902" s="328"/>
    </row>
    <row r="2903" spans="17:17" x14ac:dyDescent="0.25">
      <c r="Q2903" s="328"/>
    </row>
    <row r="2904" spans="17:17" x14ac:dyDescent="0.25">
      <c r="Q2904" s="328"/>
    </row>
    <row r="2905" spans="17:17" x14ac:dyDescent="0.25">
      <c r="Q2905" s="328"/>
    </row>
    <row r="2906" spans="17:17" x14ac:dyDescent="0.25">
      <c r="Q2906" s="328"/>
    </row>
    <row r="2907" spans="17:17" x14ac:dyDescent="0.25">
      <c r="Q2907" s="328"/>
    </row>
    <row r="2908" spans="17:17" x14ac:dyDescent="0.25">
      <c r="Q2908" s="328"/>
    </row>
    <row r="2909" spans="17:17" x14ac:dyDescent="0.25">
      <c r="Q2909" s="328"/>
    </row>
    <row r="2910" spans="17:17" x14ac:dyDescent="0.25">
      <c r="Q2910" s="328"/>
    </row>
    <row r="2911" spans="17:17" x14ac:dyDescent="0.25">
      <c r="Q2911" s="328"/>
    </row>
    <row r="2912" spans="17:17" x14ac:dyDescent="0.25">
      <c r="Q2912" s="328"/>
    </row>
    <row r="2913" spans="17:17" x14ac:dyDescent="0.25">
      <c r="Q2913" s="328"/>
    </row>
    <row r="2914" spans="17:17" x14ac:dyDescent="0.25">
      <c r="Q2914" s="328"/>
    </row>
    <row r="2915" spans="17:17" x14ac:dyDescent="0.25">
      <c r="Q2915" s="328"/>
    </row>
    <row r="2916" spans="17:17" x14ac:dyDescent="0.25">
      <c r="Q2916" s="328"/>
    </row>
    <row r="2917" spans="17:17" x14ac:dyDescent="0.25">
      <c r="Q2917" s="328"/>
    </row>
    <row r="2918" spans="17:17" x14ac:dyDescent="0.25">
      <c r="Q2918" s="328"/>
    </row>
    <row r="2919" spans="17:17" x14ac:dyDescent="0.25">
      <c r="Q2919" s="328"/>
    </row>
    <row r="2920" spans="17:17" x14ac:dyDescent="0.25">
      <c r="Q2920" s="328"/>
    </row>
    <row r="2921" spans="17:17" x14ac:dyDescent="0.25">
      <c r="Q2921" s="328"/>
    </row>
    <row r="2922" spans="17:17" x14ac:dyDescent="0.25">
      <c r="Q2922" s="328"/>
    </row>
    <row r="2923" spans="17:17" x14ac:dyDescent="0.25">
      <c r="Q2923" s="328"/>
    </row>
    <row r="2924" spans="17:17" x14ac:dyDescent="0.25">
      <c r="Q2924" s="328"/>
    </row>
    <row r="2925" spans="17:17" x14ac:dyDescent="0.25">
      <c r="Q2925" s="328"/>
    </row>
    <row r="2926" spans="17:17" x14ac:dyDescent="0.25">
      <c r="Q2926" s="328"/>
    </row>
    <row r="2927" spans="17:17" x14ac:dyDescent="0.25">
      <c r="Q2927" s="328"/>
    </row>
    <row r="2928" spans="17:17" x14ac:dyDescent="0.25">
      <c r="Q2928" s="328"/>
    </row>
    <row r="2929" spans="17:17" x14ac:dyDescent="0.25">
      <c r="Q2929" s="328"/>
    </row>
    <row r="2930" spans="17:17" x14ac:dyDescent="0.25">
      <c r="Q2930" s="328"/>
    </row>
    <row r="2931" spans="17:17" x14ac:dyDescent="0.25">
      <c r="Q2931" s="328"/>
    </row>
    <row r="2932" spans="17:17" x14ac:dyDescent="0.25">
      <c r="Q2932" s="328"/>
    </row>
    <row r="2933" spans="17:17" x14ac:dyDescent="0.25">
      <c r="Q2933" s="328"/>
    </row>
    <row r="2934" spans="17:17" x14ac:dyDescent="0.25">
      <c r="Q2934" s="328"/>
    </row>
    <row r="2935" spans="17:17" x14ac:dyDescent="0.25">
      <c r="Q2935" s="328"/>
    </row>
    <row r="2936" spans="17:17" x14ac:dyDescent="0.25">
      <c r="Q2936" s="328"/>
    </row>
    <row r="2937" spans="17:17" x14ac:dyDescent="0.25">
      <c r="Q2937" s="328"/>
    </row>
    <row r="2938" spans="17:17" x14ac:dyDescent="0.25">
      <c r="Q2938" s="328"/>
    </row>
    <row r="2939" spans="17:17" x14ac:dyDescent="0.25">
      <c r="Q2939" s="328"/>
    </row>
    <row r="2940" spans="17:17" x14ac:dyDescent="0.25">
      <c r="Q2940" s="328"/>
    </row>
    <row r="2941" spans="17:17" x14ac:dyDescent="0.25">
      <c r="Q2941" s="328"/>
    </row>
    <row r="2942" spans="17:17" x14ac:dyDescent="0.25">
      <c r="Q2942" s="328"/>
    </row>
    <row r="2943" spans="17:17" x14ac:dyDescent="0.25">
      <c r="Q2943" s="328"/>
    </row>
    <row r="2944" spans="17:17" x14ac:dyDescent="0.25">
      <c r="Q2944" s="328"/>
    </row>
    <row r="2945" spans="17:17" x14ac:dyDescent="0.25">
      <c r="Q2945" s="328"/>
    </row>
    <row r="2946" spans="17:17" x14ac:dyDescent="0.25">
      <c r="Q2946" s="328"/>
    </row>
    <row r="2947" spans="17:17" x14ac:dyDescent="0.25">
      <c r="Q2947" s="328"/>
    </row>
    <row r="2948" spans="17:17" x14ac:dyDescent="0.25">
      <c r="Q2948" s="328"/>
    </row>
    <row r="2949" spans="17:17" x14ac:dyDescent="0.25">
      <c r="Q2949" s="328"/>
    </row>
    <row r="2950" spans="17:17" x14ac:dyDescent="0.25">
      <c r="Q2950" s="328"/>
    </row>
    <row r="2951" spans="17:17" x14ac:dyDescent="0.25">
      <c r="Q2951" s="328"/>
    </row>
    <row r="2952" spans="17:17" x14ac:dyDescent="0.25">
      <c r="Q2952" s="328"/>
    </row>
    <row r="2953" spans="17:17" x14ac:dyDescent="0.25">
      <c r="Q2953" s="328"/>
    </row>
    <row r="2954" spans="17:17" x14ac:dyDescent="0.25">
      <c r="Q2954" s="328"/>
    </row>
    <row r="2955" spans="17:17" x14ac:dyDescent="0.25">
      <c r="Q2955" s="328"/>
    </row>
    <row r="2956" spans="17:17" x14ac:dyDescent="0.25">
      <c r="Q2956" s="328"/>
    </row>
    <row r="2957" spans="17:17" x14ac:dyDescent="0.25">
      <c r="Q2957" s="328"/>
    </row>
    <row r="2958" spans="17:17" x14ac:dyDescent="0.25">
      <c r="Q2958" s="328"/>
    </row>
    <row r="2959" spans="17:17" x14ac:dyDescent="0.25">
      <c r="Q2959" s="328"/>
    </row>
    <row r="2960" spans="17:17" x14ac:dyDescent="0.25">
      <c r="Q2960" s="328"/>
    </row>
    <row r="2961" spans="17:17" x14ac:dyDescent="0.25">
      <c r="Q2961" s="328"/>
    </row>
    <row r="2962" spans="17:17" x14ac:dyDescent="0.25">
      <c r="Q2962" s="328"/>
    </row>
    <row r="2963" spans="17:17" x14ac:dyDescent="0.25">
      <c r="Q2963" s="328"/>
    </row>
    <row r="2964" spans="17:17" x14ac:dyDescent="0.25">
      <c r="Q2964" s="328"/>
    </row>
    <row r="2965" spans="17:17" x14ac:dyDescent="0.25">
      <c r="Q2965" s="328"/>
    </row>
    <row r="2966" spans="17:17" x14ac:dyDescent="0.25">
      <c r="Q2966" s="328"/>
    </row>
    <row r="2967" spans="17:17" x14ac:dyDescent="0.25">
      <c r="Q2967" s="328"/>
    </row>
    <row r="2968" spans="17:17" x14ac:dyDescent="0.25">
      <c r="Q2968" s="328"/>
    </row>
    <row r="2969" spans="17:17" x14ac:dyDescent="0.25">
      <c r="Q2969" s="328"/>
    </row>
    <row r="2970" spans="17:17" x14ac:dyDescent="0.25">
      <c r="Q2970" s="328"/>
    </row>
    <row r="2971" spans="17:17" x14ac:dyDescent="0.25">
      <c r="Q2971" s="328"/>
    </row>
    <row r="2972" spans="17:17" x14ac:dyDescent="0.25">
      <c r="Q2972" s="328"/>
    </row>
    <row r="2973" spans="17:17" x14ac:dyDescent="0.25">
      <c r="Q2973" s="328"/>
    </row>
    <row r="2974" spans="17:17" x14ac:dyDescent="0.25">
      <c r="Q2974" s="328"/>
    </row>
    <row r="2975" spans="17:17" x14ac:dyDescent="0.25">
      <c r="Q2975" s="328"/>
    </row>
    <row r="2976" spans="17:17" x14ac:dyDescent="0.25">
      <c r="Q2976" s="328"/>
    </row>
    <row r="2977" spans="17:17" x14ac:dyDescent="0.25">
      <c r="Q2977" s="328"/>
    </row>
    <row r="2978" spans="17:17" x14ac:dyDescent="0.25">
      <c r="Q2978" s="328"/>
    </row>
    <row r="2979" spans="17:17" x14ac:dyDescent="0.25">
      <c r="Q2979" s="328"/>
    </row>
    <row r="2980" spans="17:17" x14ac:dyDescent="0.25">
      <c r="Q2980" s="328"/>
    </row>
    <row r="2981" spans="17:17" x14ac:dyDescent="0.25">
      <c r="Q2981" s="328"/>
    </row>
    <row r="2982" spans="17:17" x14ac:dyDescent="0.25">
      <c r="Q2982" s="328"/>
    </row>
    <row r="2983" spans="17:17" x14ac:dyDescent="0.25">
      <c r="Q2983" s="328"/>
    </row>
    <row r="2984" spans="17:17" x14ac:dyDescent="0.25">
      <c r="Q2984" s="328"/>
    </row>
    <row r="2985" spans="17:17" x14ac:dyDescent="0.25">
      <c r="Q2985" s="328"/>
    </row>
    <row r="2986" spans="17:17" x14ac:dyDescent="0.25">
      <c r="Q2986" s="328"/>
    </row>
    <row r="2987" spans="17:17" x14ac:dyDescent="0.25">
      <c r="Q2987" s="328"/>
    </row>
    <row r="2988" spans="17:17" x14ac:dyDescent="0.25">
      <c r="Q2988" s="328"/>
    </row>
    <row r="2989" spans="17:17" x14ac:dyDescent="0.25">
      <c r="Q2989" s="328"/>
    </row>
    <row r="2990" spans="17:17" x14ac:dyDescent="0.25">
      <c r="Q2990" s="328"/>
    </row>
    <row r="2991" spans="17:17" x14ac:dyDescent="0.25">
      <c r="Q2991" s="328"/>
    </row>
    <row r="2992" spans="17:17" x14ac:dyDescent="0.25">
      <c r="Q2992" s="328"/>
    </row>
    <row r="2993" spans="17:17" x14ac:dyDescent="0.25">
      <c r="Q2993" s="328"/>
    </row>
    <row r="2994" spans="17:17" x14ac:dyDescent="0.25">
      <c r="Q2994" s="328"/>
    </row>
    <row r="2995" spans="17:17" x14ac:dyDescent="0.25">
      <c r="Q2995" s="328"/>
    </row>
    <row r="2996" spans="17:17" x14ac:dyDescent="0.25">
      <c r="Q2996" s="328"/>
    </row>
    <row r="2997" spans="17:17" x14ac:dyDescent="0.25">
      <c r="Q2997" s="328"/>
    </row>
    <row r="2998" spans="17:17" x14ac:dyDescent="0.25">
      <c r="Q2998" s="328"/>
    </row>
    <row r="2999" spans="17:17" x14ac:dyDescent="0.25">
      <c r="Q2999" s="328"/>
    </row>
    <row r="3000" spans="17:17" x14ac:dyDescent="0.25">
      <c r="Q3000" s="328"/>
    </row>
    <row r="3001" spans="17:17" x14ac:dyDescent="0.25">
      <c r="Q3001" s="328"/>
    </row>
    <row r="3002" spans="17:17" x14ac:dyDescent="0.25">
      <c r="Q3002" s="328"/>
    </row>
    <row r="3003" spans="17:17" x14ac:dyDescent="0.25">
      <c r="Q3003" s="328"/>
    </row>
    <row r="3004" spans="17:17" x14ac:dyDescent="0.25">
      <c r="Q3004" s="328"/>
    </row>
    <row r="3005" spans="17:17" x14ac:dyDescent="0.25">
      <c r="Q3005" s="328"/>
    </row>
    <row r="3006" spans="17:17" x14ac:dyDescent="0.25">
      <c r="Q3006" s="328"/>
    </row>
    <row r="3007" spans="17:17" x14ac:dyDescent="0.25">
      <c r="Q3007" s="328"/>
    </row>
    <row r="3008" spans="17:17" x14ac:dyDescent="0.25">
      <c r="Q3008" s="328"/>
    </row>
    <row r="3009" spans="17:17" x14ac:dyDescent="0.25">
      <c r="Q3009" s="328"/>
    </row>
    <row r="3010" spans="17:17" x14ac:dyDescent="0.25">
      <c r="Q3010" s="328"/>
    </row>
    <row r="3011" spans="17:17" x14ac:dyDescent="0.25">
      <c r="Q3011" s="328"/>
    </row>
    <row r="3012" spans="17:17" x14ac:dyDescent="0.25">
      <c r="Q3012" s="328"/>
    </row>
    <row r="3013" spans="17:17" x14ac:dyDescent="0.25">
      <c r="Q3013" s="328"/>
    </row>
    <row r="3014" spans="17:17" x14ac:dyDescent="0.25">
      <c r="Q3014" s="328"/>
    </row>
    <row r="3015" spans="17:17" x14ac:dyDescent="0.25">
      <c r="Q3015" s="328"/>
    </row>
    <row r="3016" spans="17:17" x14ac:dyDescent="0.25">
      <c r="Q3016" s="328"/>
    </row>
    <row r="3017" spans="17:17" x14ac:dyDescent="0.25">
      <c r="Q3017" s="328"/>
    </row>
    <row r="3018" spans="17:17" x14ac:dyDescent="0.25">
      <c r="Q3018" s="328"/>
    </row>
    <row r="3019" spans="17:17" x14ac:dyDescent="0.25">
      <c r="Q3019" s="328"/>
    </row>
    <row r="3020" spans="17:17" x14ac:dyDescent="0.25">
      <c r="Q3020" s="328"/>
    </row>
    <row r="3021" spans="17:17" x14ac:dyDescent="0.25">
      <c r="Q3021" s="328"/>
    </row>
    <row r="3022" spans="17:17" x14ac:dyDescent="0.25">
      <c r="Q3022" s="328"/>
    </row>
    <row r="3023" spans="17:17" x14ac:dyDescent="0.25">
      <c r="Q3023" s="328"/>
    </row>
    <row r="3024" spans="17:17" x14ac:dyDescent="0.25">
      <c r="Q3024" s="328"/>
    </row>
    <row r="3025" spans="17:17" x14ac:dyDescent="0.25">
      <c r="Q3025" s="328"/>
    </row>
    <row r="3026" spans="17:17" x14ac:dyDescent="0.25">
      <c r="Q3026" s="328"/>
    </row>
    <row r="3027" spans="17:17" x14ac:dyDescent="0.25">
      <c r="Q3027" s="328"/>
    </row>
    <row r="3028" spans="17:17" x14ac:dyDescent="0.25">
      <c r="Q3028" s="328"/>
    </row>
    <row r="3029" spans="17:17" x14ac:dyDescent="0.25">
      <c r="Q3029" s="328"/>
    </row>
    <row r="3030" spans="17:17" x14ac:dyDescent="0.25">
      <c r="Q3030" s="328"/>
    </row>
    <row r="3031" spans="17:17" x14ac:dyDescent="0.25">
      <c r="Q3031" s="328"/>
    </row>
    <row r="3032" spans="17:17" x14ac:dyDescent="0.25">
      <c r="Q3032" s="328"/>
    </row>
    <row r="3033" spans="17:17" x14ac:dyDescent="0.25">
      <c r="Q3033" s="328"/>
    </row>
    <row r="3034" spans="17:17" x14ac:dyDescent="0.25">
      <c r="Q3034" s="328"/>
    </row>
    <row r="3035" spans="17:17" x14ac:dyDescent="0.25">
      <c r="Q3035" s="328"/>
    </row>
    <row r="3036" spans="17:17" x14ac:dyDescent="0.25">
      <c r="Q3036" s="328"/>
    </row>
    <row r="3037" spans="17:17" x14ac:dyDescent="0.25">
      <c r="Q3037" s="328"/>
    </row>
    <row r="3038" spans="17:17" x14ac:dyDescent="0.25">
      <c r="Q3038" s="328"/>
    </row>
    <row r="3039" spans="17:17" x14ac:dyDescent="0.25">
      <c r="Q3039" s="328"/>
    </row>
    <row r="3040" spans="17:17" x14ac:dyDescent="0.25">
      <c r="Q3040" s="328"/>
    </row>
    <row r="3041" spans="17:17" x14ac:dyDescent="0.25">
      <c r="Q3041" s="328"/>
    </row>
    <row r="3042" spans="17:17" x14ac:dyDescent="0.25">
      <c r="Q3042" s="328"/>
    </row>
    <row r="3043" spans="17:17" x14ac:dyDescent="0.25">
      <c r="Q3043" s="328"/>
    </row>
    <row r="3044" spans="17:17" x14ac:dyDescent="0.25">
      <c r="Q3044" s="328"/>
    </row>
    <row r="3045" spans="17:17" x14ac:dyDescent="0.25">
      <c r="Q3045" s="328"/>
    </row>
    <row r="3046" spans="17:17" x14ac:dyDescent="0.25">
      <c r="Q3046" s="328"/>
    </row>
    <row r="3047" spans="17:17" x14ac:dyDescent="0.25">
      <c r="Q3047" s="328"/>
    </row>
    <row r="3048" spans="17:17" x14ac:dyDescent="0.25">
      <c r="Q3048" s="328"/>
    </row>
    <row r="3049" spans="17:17" x14ac:dyDescent="0.25">
      <c r="Q3049" s="328"/>
    </row>
  </sheetData>
  <conditionalFormatting sqref="F119:F218 F104 F22:F53">
    <cfRule type="containsText" dxfId="9" priority="11" operator="containsText" text="ERROR">
      <formula>NOT(ISERROR(SEARCH("ERROR",F22)))</formula>
    </cfRule>
  </conditionalFormatting>
  <conditionalFormatting sqref="J104 J119:J218 J22:J61">
    <cfRule type="cellIs" dxfId="8" priority="10" operator="equal">
      <formula>1</formula>
    </cfRule>
  </conditionalFormatting>
  <conditionalFormatting sqref="J59:J65 J67:J96 J98:J103">
    <cfRule type="cellIs" dxfId="7" priority="6" operator="equal">
      <formula>1</formula>
    </cfRule>
  </conditionalFormatting>
  <conditionalFormatting sqref="J66">
    <cfRule type="cellIs" dxfId="6" priority="5" operator="equal">
      <formula>1</formula>
    </cfRule>
  </conditionalFormatting>
  <conditionalFormatting sqref="J97">
    <cfRule type="cellIs" dxfId="5" priority="4" operator="equal">
      <formula>1</formula>
    </cfRule>
  </conditionalFormatting>
  <conditionalFormatting sqref="F54:F103">
    <cfRule type="containsText" dxfId="4" priority="3" operator="containsText" text="ERROR">
      <formula>NOT(ISERROR(SEARCH("ERROR",F54)))</formula>
    </cfRule>
  </conditionalFormatting>
  <conditionalFormatting sqref="F105:F118">
    <cfRule type="containsText" dxfId="3" priority="1" operator="containsText" text="ERROR">
      <formula>NOT(ISERROR(SEARCH("ERROR",F105)))</formula>
    </cfRule>
  </conditionalFormatting>
  <conditionalFormatting sqref="J105:J118">
    <cfRule type="cellIs" dxfId="2" priority="2"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zoomScale="85" zoomScaleNormal="85" workbookViewId="0">
      <selection activeCell="AP20" sqref="AP20:AP21"/>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 min="45" max="46" width="9" style="91"/>
  </cols>
  <sheetData>
    <row r="3" spans="3:46" ht="20" x14ac:dyDescent="0.4">
      <c r="C3" s="70" t="s">
        <v>116</v>
      </c>
    </row>
    <row r="6" spans="3:46" x14ac:dyDescent="0.25">
      <c r="C6" s="56" t="s">
        <v>117</v>
      </c>
      <c r="F6" s="294">
        <f>'General inputs'!H36</f>
        <v>137.52082019229451</v>
      </c>
      <c r="G6" s="223" t="str">
        <f ca="1">"Input entered at "&amp;ADDRESS(ROW('General inputs'!$H$36),COLUMN('General inputs'!$H$36))&amp;" on the '"&amp;MID(CELL("filename",'General inputs'!$A$1),FIND("]",CELL("filename",'General inputs'!$A$1))+1,255)&amp;"' worksheet. "</f>
        <v xml:space="preserve">Input entered at $H$36 on the 'General inputs' worksheet. </v>
      </c>
      <c r="H6" s="92"/>
      <c r="I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row>
    <row r="7" spans="3:46" x14ac:dyDescent="0.25">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row>
    <row r="8" spans="3:46" x14ac:dyDescent="0.25">
      <c r="F8" s="57" t="s">
        <v>19</v>
      </c>
      <c r="G8" s="57"/>
      <c r="H8" s="58"/>
      <c r="I8" s="57" t="s">
        <v>20</v>
      </c>
      <c r="J8" s="57"/>
      <c r="K8" s="58"/>
      <c r="L8" s="343" t="s">
        <v>269</v>
      </c>
      <c r="M8" s="344"/>
      <c r="N8" s="58"/>
      <c r="O8" s="343" t="s">
        <v>94</v>
      </c>
      <c r="P8" s="344"/>
      <c r="Q8" s="58"/>
      <c r="R8" s="343" t="s">
        <v>93</v>
      </c>
      <c r="S8" s="344"/>
      <c r="T8" s="58"/>
      <c r="U8" s="343" t="s">
        <v>118</v>
      </c>
      <c r="V8" s="344"/>
      <c r="W8" s="58"/>
      <c r="X8" s="343" t="s">
        <v>119</v>
      </c>
      <c r="Y8" s="344"/>
      <c r="Z8" s="58"/>
      <c r="AA8" s="343" t="s">
        <v>120</v>
      </c>
      <c r="AB8" s="344"/>
      <c r="AC8" s="58"/>
      <c r="AD8" s="343" t="s">
        <v>121</v>
      </c>
      <c r="AE8" s="344"/>
      <c r="AF8" s="58"/>
      <c r="AG8" s="343" t="s">
        <v>122</v>
      </c>
      <c r="AH8" s="344"/>
    </row>
    <row r="9" spans="3:46" x14ac:dyDescent="0.25">
      <c r="C9" s="56" t="s">
        <v>31</v>
      </c>
      <c r="F9" s="34" t="s">
        <v>32</v>
      </c>
      <c r="G9" s="293">
        <f>F6</f>
        <v>137.52082019229451</v>
      </c>
      <c r="H9" s="47"/>
      <c r="I9" s="34" t="s">
        <v>32</v>
      </c>
      <c r="J9" s="293">
        <v>93.700049865689067</v>
      </c>
      <c r="K9" s="47"/>
      <c r="L9" s="73" t="s">
        <v>37</v>
      </c>
      <c r="M9" s="74" t="s">
        <v>270</v>
      </c>
      <c r="N9" s="47"/>
      <c r="O9" s="73" t="s">
        <v>36</v>
      </c>
      <c r="P9" s="74">
        <v>5000</v>
      </c>
      <c r="Q9" s="47"/>
      <c r="R9" s="73" t="s">
        <v>37</v>
      </c>
      <c r="S9" s="74">
        <v>20000</v>
      </c>
      <c r="T9" s="47"/>
      <c r="U9" s="73" t="s">
        <v>36</v>
      </c>
      <c r="V9" s="74">
        <v>5000</v>
      </c>
      <c r="W9" s="47"/>
      <c r="X9" s="73" t="s">
        <v>37</v>
      </c>
      <c r="Y9" s="74">
        <v>20000</v>
      </c>
      <c r="Z9" s="47"/>
      <c r="AA9" s="73" t="s">
        <v>36</v>
      </c>
      <c r="AB9" s="74">
        <v>5000</v>
      </c>
      <c r="AC9" s="47"/>
      <c r="AD9" s="73" t="s">
        <v>37</v>
      </c>
      <c r="AE9" s="74">
        <v>20000</v>
      </c>
      <c r="AF9" s="47"/>
      <c r="AG9" s="73" t="s">
        <v>36</v>
      </c>
      <c r="AH9" s="74">
        <v>5000</v>
      </c>
    </row>
    <row r="11" spans="3:46" ht="34.5" x14ac:dyDescent="0.25">
      <c r="D11" s="222" t="s">
        <v>91</v>
      </c>
      <c r="E11" s="45"/>
      <c r="F11" s="222" t="s">
        <v>142</v>
      </c>
      <c r="G11" s="139" t="s">
        <v>21</v>
      </c>
      <c r="H11" s="139"/>
      <c r="I11" s="138" t="s">
        <v>143</v>
      </c>
      <c r="J11" s="139" t="s">
        <v>21</v>
      </c>
      <c r="K11" s="139"/>
      <c r="L11" s="138" t="s">
        <v>271</v>
      </c>
      <c r="M11" s="139" t="s">
        <v>21</v>
      </c>
      <c r="N11" s="139"/>
      <c r="O11" s="138" t="str">
        <f>"Annual take-up of "&amp;INDEX($AK$12:$AK$19,MATCH(O9,$AJ$12:$AJ$20,0))&amp;" for "&amp;O8</f>
        <v>Annual take-up of properties for Commercial</v>
      </c>
      <c r="P11" s="139" t="s">
        <v>21</v>
      </c>
      <c r="Q11" s="139"/>
      <c r="R11" s="138" t="str">
        <f>"Annual take-up of "&amp;INDEX($AK$12:$AK$19,MATCH(R9,$AJ$12:$AJ$20,0))&amp;" for "&amp;R8</f>
        <v>Annual take-up of hectares for Light industrial</v>
      </c>
      <c r="S11" s="139" t="s">
        <v>21</v>
      </c>
      <c r="T11" s="139"/>
      <c r="U11" s="138" t="str">
        <f>"Annual take-up of "&amp;INDEX($AK$12:$AK$19,MATCH(U9,$AJ$12:$AJ$20,0))&amp;" for "&amp;U8</f>
        <v>Annual take-up of properties for Non-res 4</v>
      </c>
      <c r="V11" s="139" t="s">
        <v>21</v>
      </c>
      <c r="W11" s="139"/>
      <c r="X11" s="138" t="str">
        <f>"Annual take-up of "&amp;INDEX($AK$12:$AK$19,MATCH(X9,$AJ$12:$AJ$20,0))&amp;" for "&amp;X8</f>
        <v>Annual take-up of hectares for Non-res 5</v>
      </c>
      <c r="Y11" s="139" t="s">
        <v>21</v>
      </c>
      <c r="Z11" s="139"/>
      <c r="AA11" s="138" t="str">
        <f>"Annual take-up of "&amp;INDEX($AK$12:$AK$19,MATCH(AA9,$AJ$12:$AJ$20,0))&amp;" for "&amp;AA8</f>
        <v>Annual take-up of properties for Non-res 6</v>
      </c>
      <c r="AB11" s="139" t="s">
        <v>21</v>
      </c>
      <c r="AC11" s="139"/>
      <c r="AD11" s="138" t="str">
        <f>"Annual take-up of "&amp;INDEX($AK$12:$AK$19,MATCH(AD9,$AJ$12:$AJ$20,0))&amp;" for "&amp;AD8</f>
        <v>Annual take-up of hectares for Non-res 7</v>
      </c>
      <c r="AE11" s="139" t="s">
        <v>21</v>
      </c>
      <c r="AF11" s="139"/>
      <c r="AG11" s="138" t="str">
        <f>"Annual take-up of "&amp;INDEX($AK$12:$AK$19,MATCH(AG9,$AJ$12:$AJ$20,0))&amp;" for "&amp;AG8</f>
        <v>Annual take-up of properties for Non-res 8</v>
      </c>
      <c r="AH11" s="139" t="s">
        <v>21</v>
      </c>
      <c r="AI11" s="92"/>
      <c r="AJ11" s="140" t="s">
        <v>38</v>
      </c>
      <c r="AK11" s="100"/>
      <c r="AL11" s="92"/>
      <c r="AM11" s="178"/>
      <c r="AN11" s="100"/>
      <c r="AO11" s="251" t="str">
        <f>"Total ET in "&amp;'General inputs'!H7</f>
        <v>Total ET in Nepean River Wastewater</v>
      </c>
      <c r="AS11" s="330"/>
      <c r="AT11" s="331"/>
    </row>
    <row r="12" spans="3:46" ht="12" customHeight="1" x14ac:dyDescent="0.25">
      <c r="C12" s="100" t="str">
        <f>'MP Calculations'!D39</f>
        <v>1995-96</v>
      </c>
      <c r="D12" s="248">
        <f>IF(LEFT($C12,4)*1&lt;LEFT('General inputs'!$I$16,4)+'General inputs'!$H$38,SUM(G12,J12,M12,P12,S12,V12,Y12,AB12,AE12,AH12),"")</f>
        <v>574.98631065588438</v>
      </c>
      <c r="F12" s="295"/>
      <c r="G12" s="248">
        <v>439.5</v>
      </c>
      <c r="H12" s="92"/>
      <c r="I12" s="295"/>
      <c r="J12" s="248">
        <v>74.982392756920461</v>
      </c>
      <c r="K12" s="92"/>
      <c r="L12" s="295"/>
      <c r="M12" s="248">
        <v>60.503917898963898</v>
      </c>
      <c r="N12" s="92"/>
      <c r="O12" s="59">
        <v>0</v>
      </c>
      <c r="P12" s="141">
        <f t="shared" ref="P12:P43" si="0">O12*$P$9/$F$6</f>
        <v>0</v>
      </c>
      <c r="Q12" s="92"/>
      <c r="R12" s="59">
        <v>0</v>
      </c>
      <c r="S12" s="141">
        <f t="shared" ref="S12:S43" si="1">R12*$S$9/$F$6</f>
        <v>0</v>
      </c>
      <c r="T12" s="92"/>
      <c r="U12" s="59">
        <v>0</v>
      </c>
      <c r="V12" s="141">
        <f t="shared" ref="V12:V43" si="2">U12*$V$9/$F$6</f>
        <v>0</v>
      </c>
      <c r="W12" s="92"/>
      <c r="X12" s="59">
        <v>0</v>
      </c>
      <c r="Y12" s="141">
        <f t="shared" ref="Y12:Y43" si="3">X12*$Y$9/$F$6</f>
        <v>0</v>
      </c>
      <c r="Z12" s="92"/>
      <c r="AA12" s="59">
        <v>0</v>
      </c>
      <c r="AB12" s="141">
        <f t="shared" ref="AB12:AB43" si="4">AA12*$AB$9/$F$6</f>
        <v>0</v>
      </c>
      <c r="AC12" s="92"/>
      <c r="AD12" s="59">
        <v>0</v>
      </c>
      <c r="AE12" s="141">
        <f t="shared" ref="AE12:AE43" si="5">AD12*$AE$9/$F$6</f>
        <v>0</v>
      </c>
      <c r="AF12" s="92"/>
      <c r="AG12" s="59">
        <v>0</v>
      </c>
      <c r="AH12" s="141">
        <f t="shared" ref="AH12:AH43" si="6">AG12*$AH$9/$F$6</f>
        <v>0</v>
      </c>
      <c r="AI12" s="142">
        <v>1</v>
      </c>
      <c r="AJ12" s="75" t="s">
        <v>36</v>
      </c>
      <c r="AK12" s="75" t="s">
        <v>95</v>
      </c>
      <c r="AO12" t="s">
        <v>544</v>
      </c>
      <c r="AP12" s="252">
        <v>28703.0925390632</v>
      </c>
      <c r="AS12" s="332"/>
      <c r="AT12" s="332"/>
    </row>
    <row r="13" spans="3:46" x14ac:dyDescent="0.25">
      <c r="C13" s="100" t="str">
        <f>'MP Calculations'!D40</f>
        <v>1996-97</v>
      </c>
      <c r="D13" s="249">
        <f>IF(LEFT($C13,4)*1&lt;LEFT('General inputs'!$I$16,4)+'General inputs'!$H$38,SUM(G13,J13,M13,P13,S13,V13,Y13,AB13,AE13,AH13),"")</f>
        <v>1857.6806128958062</v>
      </c>
      <c r="E13" s="92"/>
      <c r="F13" s="296"/>
      <c r="G13" s="249">
        <v>794</v>
      </c>
      <c r="H13" s="92"/>
      <c r="I13" s="296"/>
      <c r="J13" s="249">
        <v>173.59936277667092</v>
      </c>
      <c r="K13" s="92"/>
      <c r="L13" s="296"/>
      <c r="M13" s="249">
        <v>890.08125011913535</v>
      </c>
      <c r="N13" s="92"/>
      <c r="O13" s="49">
        <v>0</v>
      </c>
      <c r="P13" s="115">
        <f t="shared" si="0"/>
        <v>0</v>
      </c>
      <c r="Q13" s="92"/>
      <c r="R13" s="49">
        <v>0</v>
      </c>
      <c r="S13" s="115">
        <f t="shared" si="1"/>
        <v>0</v>
      </c>
      <c r="T13" s="92"/>
      <c r="U13" s="49">
        <v>0</v>
      </c>
      <c r="V13" s="115">
        <f t="shared" si="2"/>
        <v>0</v>
      </c>
      <c r="W13" s="92"/>
      <c r="X13" s="49">
        <v>0</v>
      </c>
      <c r="Y13" s="115">
        <f t="shared" si="3"/>
        <v>0</v>
      </c>
      <c r="Z13" s="92"/>
      <c r="AA13" s="49">
        <v>0</v>
      </c>
      <c r="AB13" s="115">
        <f t="shared" si="4"/>
        <v>0</v>
      </c>
      <c r="AC13" s="92"/>
      <c r="AD13" s="49">
        <v>0</v>
      </c>
      <c r="AE13" s="115">
        <f t="shared" si="5"/>
        <v>0</v>
      </c>
      <c r="AF13" s="92"/>
      <c r="AG13" s="49">
        <v>0</v>
      </c>
      <c r="AH13" s="115">
        <f t="shared" si="6"/>
        <v>0</v>
      </c>
      <c r="AI13" s="92">
        <f>AI12+1</f>
        <v>2</v>
      </c>
      <c r="AJ13" s="38" t="s">
        <v>37</v>
      </c>
      <c r="AK13" s="38" t="s">
        <v>96</v>
      </c>
      <c r="AO13" t="s">
        <v>545</v>
      </c>
      <c r="AP13" s="252">
        <v>68540.931508143665</v>
      </c>
      <c r="AS13" s="332"/>
      <c r="AT13" s="332"/>
    </row>
    <row r="14" spans="3:46" x14ac:dyDescent="0.25">
      <c r="C14" s="100" t="str">
        <f>'MP Calculations'!D41</f>
        <v>1997-98</v>
      </c>
      <c r="D14" s="249">
        <f>IF(LEFT($C14,4)*1&lt;LEFT('General inputs'!$I$16,4)+'General inputs'!$H$38,SUM(G14,J14,M14,P14,S14,V14,Y14,AB14,AE14,AH14),"")</f>
        <v>2237.551386626601</v>
      </c>
      <c r="E14" s="92"/>
      <c r="F14" s="296"/>
      <c r="G14" s="249">
        <v>1003</v>
      </c>
      <c r="H14" s="92"/>
      <c r="I14" s="296"/>
      <c r="J14" s="249">
        <v>148.26444099149006</v>
      </c>
      <c r="K14" s="92"/>
      <c r="L14" s="296"/>
      <c r="M14" s="249">
        <v>1086.2869456351111</v>
      </c>
      <c r="N14" s="92"/>
      <c r="O14" s="49">
        <v>0</v>
      </c>
      <c r="P14" s="115">
        <f t="shared" si="0"/>
        <v>0</v>
      </c>
      <c r="Q14" s="92"/>
      <c r="R14" s="49">
        <v>0</v>
      </c>
      <c r="S14" s="115">
        <f t="shared" si="1"/>
        <v>0</v>
      </c>
      <c r="T14" s="92"/>
      <c r="U14" s="49">
        <v>0</v>
      </c>
      <c r="V14" s="115">
        <f t="shared" si="2"/>
        <v>0</v>
      </c>
      <c r="W14" s="92"/>
      <c r="X14" s="49">
        <v>0</v>
      </c>
      <c r="Y14" s="115">
        <f t="shared" si="3"/>
        <v>0</v>
      </c>
      <c r="Z14" s="92"/>
      <c r="AA14" s="49">
        <v>0</v>
      </c>
      <c r="AB14" s="115">
        <f t="shared" si="4"/>
        <v>0</v>
      </c>
      <c r="AC14" s="92"/>
      <c r="AD14" s="49">
        <v>0</v>
      </c>
      <c r="AE14" s="115">
        <f t="shared" si="5"/>
        <v>0</v>
      </c>
      <c r="AF14" s="92"/>
      <c r="AG14" s="49">
        <v>0</v>
      </c>
      <c r="AH14" s="115">
        <f t="shared" si="6"/>
        <v>0</v>
      </c>
      <c r="AI14" s="92">
        <f t="shared" ref="AI14:AI18" si="7">AI13+1</f>
        <v>3</v>
      </c>
      <c r="AJ14" s="38"/>
      <c r="AK14" s="38"/>
      <c r="AO14" t="s">
        <v>546</v>
      </c>
      <c r="AP14" s="253">
        <f>SUM(AP13,D12:D102)</f>
        <v>342176.26487171592</v>
      </c>
      <c r="AQ14" s="82"/>
      <c r="AS14" s="332"/>
      <c r="AT14" s="332"/>
    </row>
    <row r="15" spans="3:46" x14ac:dyDescent="0.25">
      <c r="C15" s="100" t="str">
        <f>'MP Calculations'!D42</f>
        <v>1998-99</v>
      </c>
      <c r="D15" s="249">
        <f>IF(LEFT($C15,4)*1&lt;LEFT('General inputs'!$I$16,4)+'General inputs'!$H$38,SUM(G15,J15,M15,P15,S15,V15,Y15,AB15,AE15,AH15),"")</f>
        <v>1190.9120715207519</v>
      </c>
      <c r="E15" s="92"/>
      <c r="F15" s="296"/>
      <c r="G15" s="249">
        <v>944</v>
      </c>
      <c r="H15" s="92"/>
      <c r="I15" s="296"/>
      <c r="J15" s="249">
        <v>115.2950811417993</v>
      </c>
      <c r="K15" s="92"/>
      <c r="L15" s="296"/>
      <c r="M15" s="249">
        <v>131.61699037895252</v>
      </c>
      <c r="N15" s="92"/>
      <c r="O15" s="49">
        <v>0</v>
      </c>
      <c r="P15" s="115">
        <f t="shared" si="0"/>
        <v>0</v>
      </c>
      <c r="Q15" s="92"/>
      <c r="R15" s="49">
        <v>0</v>
      </c>
      <c r="S15" s="115">
        <f t="shared" si="1"/>
        <v>0</v>
      </c>
      <c r="T15" s="92"/>
      <c r="U15" s="49">
        <v>0</v>
      </c>
      <c r="V15" s="115">
        <f t="shared" si="2"/>
        <v>0</v>
      </c>
      <c r="W15" s="92"/>
      <c r="X15" s="49">
        <v>0</v>
      </c>
      <c r="Y15" s="115">
        <f t="shared" si="3"/>
        <v>0</v>
      </c>
      <c r="Z15" s="92"/>
      <c r="AA15" s="49">
        <v>0</v>
      </c>
      <c r="AB15" s="115">
        <f t="shared" si="4"/>
        <v>0</v>
      </c>
      <c r="AC15" s="92"/>
      <c r="AD15" s="49">
        <v>0</v>
      </c>
      <c r="AE15" s="115">
        <f t="shared" si="5"/>
        <v>0</v>
      </c>
      <c r="AF15" s="92"/>
      <c r="AG15" s="49">
        <v>0</v>
      </c>
      <c r="AH15" s="115">
        <f t="shared" si="6"/>
        <v>0</v>
      </c>
      <c r="AI15" s="92">
        <f t="shared" si="7"/>
        <v>4</v>
      </c>
      <c r="AJ15" s="38"/>
      <c r="AK15" s="38"/>
      <c r="AL15" s="179" t="str">
        <f>"Provide plural notation for the units of measure entered at "&amp;ADDRESS(ROW($AJ$12),COLUMN($AJ$12))&amp;" to "&amp;ADDRESS(ROW($AJ$18),COLUMN($AJ$18))&amp;"."</f>
        <v>Provide plural notation for the units of measure entered at $AJ$12 to $AJ$18.</v>
      </c>
      <c r="AM15" s="92"/>
      <c r="AN15" s="92"/>
      <c r="AP15" s="82"/>
      <c r="AS15" s="332"/>
      <c r="AT15" s="332"/>
    </row>
    <row r="16" spans="3:46" x14ac:dyDescent="0.25">
      <c r="C16" s="100" t="str">
        <f>'MP Calculations'!D43</f>
        <v>1999-00</v>
      </c>
      <c r="D16" s="249">
        <f>IF(LEFT($C16,4)*1&lt;LEFT('General inputs'!$I$16,4)+'General inputs'!$H$38,SUM(G16,J16,M16,P16,S16,V16,Y16,AB16,AE16,AH16),"")</f>
        <v>2148.3689863812824</v>
      </c>
      <c r="E16" s="92"/>
      <c r="F16" s="296"/>
      <c r="G16" s="249">
        <v>1167</v>
      </c>
      <c r="H16" s="92"/>
      <c r="I16" s="296"/>
      <c r="J16" s="249">
        <v>162.08276127656524</v>
      </c>
      <c r="K16" s="92"/>
      <c r="L16" s="296"/>
      <c r="M16" s="249">
        <v>819.28622510471746</v>
      </c>
      <c r="N16" s="92"/>
      <c r="O16" s="49">
        <v>0</v>
      </c>
      <c r="P16" s="115">
        <f t="shared" si="0"/>
        <v>0</v>
      </c>
      <c r="Q16" s="92"/>
      <c r="R16" s="49">
        <v>0</v>
      </c>
      <c r="S16" s="115">
        <f t="shared" si="1"/>
        <v>0</v>
      </c>
      <c r="T16" s="92"/>
      <c r="U16" s="49">
        <v>0</v>
      </c>
      <c r="V16" s="115">
        <f t="shared" si="2"/>
        <v>0</v>
      </c>
      <c r="W16" s="92"/>
      <c r="X16" s="49">
        <v>0</v>
      </c>
      <c r="Y16" s="115">
        <f t="shared" si="3"/>
        <v>0</v>
      </c>
      <c r="Z16" s="92"/>
      <c r="AA16" s="49">
        <v>0</v>
      </c>
      <c r="AB16" s="115">
        <f t="shared" si="4"/>
        <v>0</v>
      </c>
      <c r="AC16" s="92"/>
      <c r="AD16" s="49">
        <v>0</v>
      </c>
      <c r="AE16" s="115">
        <f t="shared" si="5"/>
        <v>0</v>
      </c>
      <c r="AF16" s="92"/>
      <c r="AG16" s="49">
        <v>0</v>
      </c>
      <c r="AH16" s="115">
        <f t="shared" si="6"/>
        <v>0</v>
      </c>
      <c r="AI16" s="92">
        <f t="shared" si="7"/>
        <v>5</v>
      </c>
      <c r="AJ16" s="186"/>
      <c r="AK16" s="186"/>
      <c r="AL16" s="179" t="s">
        <v>115</v>
      </c>
      <c r="AM16" s="92"/>
      <c r="AN16" s="92"/>
      <c r="AS16" s="332"/>
      <c r="AT16" s="332"/>
    </row>
    <row r="17" spans="3:46" x14ac:dyDescent="0.25">
      <c r="C17" s="100" t="str">
        <f>'MP Calculations'!D44</f>
        <v>2000-01</v>
      </c>
      <c r="D17" s="249">
        <f>IF(LEFT($C17,4)*1&lt;LEFT('General inputs'!$I$16,4)+'General inputs'!$H$38,SUM(G17,J17,M17,P17,S17,V17,Y17,AB17,AE17,AH17),"")</f>
        <v>1826.6193010142899</v>
      </c>
      <c r="E17" s="92"/>
      <c r="F17" s="296"/>
      <c r="G17" s="249">
        <v>847</v>
      </c>
      <c r="H17" s="92"/>
      <c r="I17" s="296"/>
      <c r="J17" s="249">
        <v>104.81811679772214</v>
      </c>
      <c r="K17" s="92"/>
      <c r="L17" s="296"/>
      <c r="M17" s="249">
        <v>874.80118421656778</v>
      </c>
      <c r="N17" s="92"/>
      <c r="O17" s="49">
        <v>0</v>
      </c>
      <c r="P17" s="115">
        <f t="shared" si="0"/>
        <v>0</v>
      </c>
      <c r="Q17" s="92"/>
      <c r="R17" s="49">
        <v>0</v>
      </c>
      <c r="S17" s="115">
        <f t="shared" si="1"/>
        <v>0</v>
      </c>
      <c r="T17" s="92"/>
      <c r="U17" s="49">
        <v>0</v>
      </c>
      <c r="V17" s="115">
        <f t="shared" si="2"/>
        <v>0</v>
      </c>
      <c r="W17" s="92"/>
      <c r="X17" s="49">
        <v>0</v>
      </c>
      <c r="Y17" s="115">
        <f t="shared" si="3"/>
        <v>0</v>
      </c>
      <c r="Z17" s="92"/>
      <c r="AA17" s="49">
        <v>0</v>
      </c>
      <c r="AB17" s="115">
        <f t="shared" si="4"/>
        <v>0</v>
      </c>
      <c r="AC17" s="92"/>
      <c r="AD17" s="49">
        <v>0</v>
      </c>
      <c r="AE17" s="115">
        <f t="shared" si="5"/>
        <v>0</v>
      </c>
      <c r="AF17" s="92"/>
      <c r="AG17" s="49">
        <v>0</v>
      </c>
      <c r="AH17" s="115">
        <f t="shared" si="6"/>
        <v>0</v>
      </c>
      <c r="AI17" s="92">
        <f t="shared" si="7"/>
        <v>6</v>
      </c>
      <c r="AJ17" s="38"/>
      <c r="AK17" s="38"/>
      <c r="AL17" s="92"/>
      <c r="AM17" s="92"/>
      <c r="AN17" s="92"/>
      <c r="AO17" s="251" t="s">
        <v>547</v>
      </c>
      <c r="AS17" s="332"/>
      <c r="AT17" s="332"/>
    </row>
    <row r="18" spans="3:46" x14ac:dyDescent="0.25">
      <c r="C18" s="100" t="str">
        <f>'MP Calculations'!D45</f>
        <v>2001-02</v>
      </c>
      <c r="D18" s="249">
        <f>IF(LEFT($C18,4)*1&lt;LEFT('General inputs'!$I$16,4)+'General inputs'!$H$38,SUM(G18,J18,M18,P18,S18,V18,Y18,AB18,AE18,AH18),"")</f>
        <v>1342.8623651258417</v>
      </c>
      <c r="E18" s="92"/>
      <c r="F18" s="296"/>
      <c r="G18" s="249">
        <v>785</v>
      </c>
      <c r="H18" s="92"/>
      <c r="I18" s="296"/>
      <c r="J18" s="249">
        <v>97.723734367250472</v>
      </c>
      <c r="K18" s="92"/>
      <c r="L18" s="296"/>
      <c r="M18" s="249">
        <v>460.13863075859126</v>
      </c>
      <c r="N18" s="92"/>
      <c r="O18" s="49">
        <v>0</v>
      </c>
      <c r="P18" s="115">
        <f t="shared" si="0"/>
        <v>0</v>
      </c>
      <c r="Q18" s="92"/>
      <c r="R18" s="49">
        <v>0</v>
      </c>
      <c r="S18" s="115">
        <f t="shared" si="1"/>
        <v>0</v>
      </c>
      <c r="T18" s="92"/>
      <c r="U18" s="49">
        <v>0</v>
      </c>
      <c r="V18" s="115">
        <f t="shared" si="2"/>
        <v>0</v>
      </c>
      <c r="W18" s="92"/>
      <c r="X18" s="49">
        <v>0</v>
      </c>
      <c r="Y18" s="115">
        <f t="shared" si="3"/>
        <v>0</v>
      </c>
      <c r="Z18" s="92"/>
      <c r="AA18" s="49">
        <v>0</v>
      </c>
      <c r="AB18" s="115">
        <f t="shared" si="4"/>
        <v>0</v>
      </c>
      <c r="AC18" s="92"/>
      <c r="AD18" s="49">
        <v>0</v>
      </c>
      <c r="AE18" s="115">
        <f t="shared" si="5"/>
        <v>0</v>
      </c>
      <c r="AF18" s="92"/>
      <c r="AG18" s="49">
        <v>0</v>
      </c>
      <c r="AH18" s="115">
        <f t="shared" si="6"/>
        <v>0</v>
      </c>
      <c r="AI18" s="92">
        <f t="shared" si="7"/>
        <v>7</v>
      </c>
      <c r="AJ18" s="38"/>
      <c r="AK18" s="38"/>
      <c r="AL18" s="92"/>
      <c r="AM18" s="92"/>
      <c r="AN18" s="92"/>
      <c r="AO18" t="s">
        <v>548</v>
      </c>
      <c r="AP18" s="253">
        <f>AP13-AP12</f>
        <v>39837.838969080462</v>
      </c>
      <c r="AS18" s="332"/>
      <c r="AT18" s="332"/>
    </row>
    <row r="19" spans="3:46" x14ac:dyDescent="0.25">
      <c r="C19" s="100" t="str">
        <f>'MP Calculations'!D46</f>
        <v>2002-03</v>
      </c>
      <c r="D19" s="249">
        <f>IF(LEFT($C19,4)*1&lt;LEFT('General inputs'!$I$16,4)+'General inputs'!$H$38,SUM(G19,J19,M19,P19,S19,V19,Y19,AB19,AE19,AH19),"")</f>
        <v>1206.0719762716003</v>
      </c>
      <c r="E19" s="92"/>
      <c r="F19" s="296"/>
      <c r="G19" s="249">
        <v>675</v>
      </c>
      <c r="H19" s="92"/>
      <c r="I19" s="296"/>
      <c r="J19" s="249">
        <v>73.941338427725313</v>
      </c>
      <c r="K19" s="92"/>
      <c r="L19" s="296"/>
      <c r="M19" s="249">
        <v>457.13063784387509</v>
      </c>
      <c r="N19" s="92"/>
      <c r="O19" s="49">
        <v>0</v>
      </c>
      <c r="P19" s="115">
        <f t="shared" si="0"/>
        <v>0</v>
      </c>
      <c r="Q19" s="92"/>
      <c r="R19" s="49">
        <v>0</v>
      </c>
      <c r="S19" s="115">
        <f t="shared" si="1"/>
        <v>0</v>
      </c>
      <c r="T19" s="92"/>
      <c r="U19" s="49">
        <v>0</v>
      </c>
      <c r="V19" s="115">
        <f t="shared" si="2"/>
        <v>0</v>
      </c>
      <c r="W19" s="92"/>
      <c r="X19" s="49">
        <v>0</v>
      </c>
      <c r="Y19" s="115">
        <f t="shared" si="3"/>
        <v>0</v>
      </c>
      <c r="Z19" s="92"/>
      <c r="AA19" s="49">
        <v>0</v>
      </c>
      <c r="AB19" s="115">
        <f t="shared" si="4"/>
        <v>0</v>
      </c>
      <c r="AC19" s="92"/>
      <c r="AD19" s="49">
        <v>0</v>
      </c>
      <c r="AE19" s="115">
        <f t="shared" si="5"/>
        <v>0</v>
      </c>
      <c r="AF19" s="92"/>
      <c r="AG19" s="49">
        <v>0</v>
      </c>
      <c r="AH19" s="115">
        <f t="shared" si="6"/>
        <v>0</v>
      </c>
      <c r="AI19" s="92"/>
      <c r="AJ19" s="143" t="str">
        <f>"add alternatives at "&amp;ADDRESS(ROW(AJ18),COLUMN(AJ18))&amp;":"&amp;ADDRESS(ROW(AJ23),COLUMN(AJ23))</f>
        <v>add alternatives at $AJ$18:$AJ$23</v>
      </c>
      <c r="AK19" s="180"/>
      <c r="AL19" s="92"/>
      <c r="AM19" s="92"/>
      <c r="AN19" s="92"/>
      <c r="AO19" t="s">
        <v>549</v>
      </c>
      <c r="AP19" s="253">
        <f>SUM(D12:D38)</f>
        <v>26272.765400195269</v>
      </c>
      <c r="AS19" s="332"/>
      <c r="AT19" s="332"/>
    </row>
    <row r="20" spans="3:46" x14ac:dyDescent="0.25">
      <c r="C20" s="100" t="str">
        <f>'MP Calculations'!D47</f>
        <v>2003-04</v>
      </c>
      <c r="D20" s="249">
        <f>IF(LEFT($C20,4)*1&lt;LEFT('General inputs'!$I$16,4)+'General inputs'!$H$38,SUM(G20,J20,M20,P20,S20,V20,Y20,AB20,AE20,AH20),"")</f>
        <v>472.57606008087527</v>
      </c>
      <c r="E20" s="92"/>
      <c r="F20" s="296"/>
      <c r="G20" s="249">
        <v>322</v>
      </c>
      <c r="H20" s="92"/>
      <c r="I20" s="296"/>
      <c r="J20" s="249">
        <v>150.57606008087527</v>
      </c>
      <c r="K20" s="92"/>
      <c r="L20" s="296"/>
      <c r="M20" s="249">
        <v>0</v>
      </c>
      <c r="N20" s="92"/>
      <c r="O20" s="49">
        <v>0</v>
      </c>
      <c r="P20" s="115">
        <f t="shared" si="0"/>
        <v>0</v>
      </c>
      <c r="Q20" s="92"/>
      <c r="R20" s="49">
        <v>0</v>
      </c>
      <c r="S20" s="115">
        <f t="shared" si="1"/>
        <v>0</v>
      </c>
      <c r="T20" s="92"/>
      <c r="U20" s="49">
        <v>0</v>
      </c>
      <c r="V20" s="115">
        <f t="shared" si="2"/>
        <v>0</v>
      </c>
      <c r="W20" s="92"/>
      <c r="X20" s="49">
        <v>0</v>
      </c>
      <c r="Y20" s="115">
        <f t="shared" si="3"/>
        <v>0</v>
      </c>
      <c r="Z20" s="92"/>
      <c r="AA20" s="49">
        <v>0</v>
      </c>
      <c r="AB20" s="115">
        <f t="shared" si="4"/>
        <v>0</v>
      </c>
      <c r="AC20" s="92"/>
      <c r="AD20" s="49">
        <v>0</v>
      </c>
      <c r="AE20" s="115">
        <f t="shared" si="5"/>
        <v>0</v>
      </c>
      <c r="AF20" s="92"/>
      <c r="AG20" s="49">
        <v>0</v>
      </c>
      <c r="AH20" s="115">
        <f t="shared" si="6"/>
        <v>0</v>
      </c>
      <c r="AI20" s="92"/>
      <c r="AL20" s="92"/>
      <c r="AM20" s="92"/>
      <c r="AN20" s="92"/>
      <c r="AO20" t="s">
        <v>550</v>
      </c>
      <c r="AP20" s="333">
        <f>1-(AP18+AP19)/(AP14-AP12)</f>
        <v>0.78910283174369955</v>
      </c>
      <c r="AS20" s="332"/>
      <c r="AT20" s="332"/>
    </row>
    <row r="21" spans="3:46" x14ac:dyDescent="0.25">
      <c r="C21" s="100" t="str">
        <f>'MP Calculations'!D48</f>
        <v>2004-05</v>
      </c>
      <c r="D21" s="249">
        <f>IF(LEFT($C21,4)*1&lt;LEFT('General inputs'!$I$16,4)+'General inputs'!$H$38,SUM(G21,J21,M21,P21,S21,V21,Y21,AB21,AE21,AH21),"")</f>
        <v>480.80299715930528</v>
      </c>
      <c r="E21" s="92"/>
      <c r="F21" s="296"/>
      <c r="G21" s="249">
        <v>359</v>
      </c>
      <c r="H21" s="92"/>
      <c r="I21" s="296"/>
      <c r="J21" s="249">
        <v>121.80299715930531</v>
      </c>
      <c r="K21" s="92"/>
      <c r="L21" s="296"/>
      <c r="M21" s="249">
        <v>0</v>
      </c>
      <c r="N21" s="92"/>
      <c r="O21" s="49">
        <v>0</v>
      </c>
      <c r="P21" s="115">
        <f t="shared" si="0"/>
        <v>0</v>
      </c>
      <c r="Q21" s="92"/>
      <c r="R21" s="49">
        <v>0</v>
      </c>
      <c r="S21" s="115">
        <f t="shared" si="1"/>
        <v>0</v>
      </c>
      <c r="T21" s="92"/>
      <c r="U21" s="49">
        <v>0</v>
      </c>
      <c r="V21" s="115">
        <f t="shared" si="2"/>
        <v>0</v>
      </c>
      <c r="W21" s="92"/>
      <c r="X21" s="49">
        <v>0</v>
      </c>
      <c r="Y21" s="115">
        <f t="shared" si="3"/>
        <v>0</v>
      </c>
      <c r="Z21" s="92"/>
      <c r="AA21" s="49">
        <v>0</v>
      </c>
      <c r="AB21" s="115">
        <f t="shared" si="4"/>
        <v>0</v>
      </c>
      <c r="AC21" s="92"/>
      <c r="AD21" s="49">
        <v>0</v>
      </c>
      <c r="AE21" s="115">
        <f t="shared" si="5"/>
        <v>0</v>
      </c>
      <c r="AF21" s="92"/>
      <c r="AG21" s="49">
        <v>0</v>
      </c>
      <c r="AH21" s="115">
        <f t="shared" si="6"/>
        <v>0</v>
      </c>
      <c r="AI21" s="92"/>
      <c r="AL21" s="92"/>
      <c r="AM21" s="92"/>
      <c r="AN21" s="92"/>
      <c r="AO21" t="s">
        <v>132</v>
      </c>
      <c r="AP21" s="333">
        <f>1-AP19/(AP14-AP12)</f>
        <v>0.9161881535038825</v>
      </c>
      <c r="AS21" s="332"/>
      <c r="AT21" s="332"/>
    </row>
    <row r="22" spans="3:46" x14ac:dyDescent="0.25">
      <c r="C22" s="100" t="str">
        <f>'MP Calculations'!D49</f>
        <v>2005-06</v>
      </c>
      <c r="D22" s="249">
        <f>IF(LEFT($C22,4)*1&lt;LEFT('General inputs'!$I$16,4)+'General inputs'!$H$38,SUM(G22,J22,M22,P22,S22,V22,Y22,AB22,AE22,AH22),"")</f>
        <v>289.74680760503327</v>
      </c>
      <c r="E22" s="92"/>
      <c r="F22" s="296"/>
      <c r="G22" s="249">
        <v>132</v>
      </c>
      <c r="H22" s="92"/>
      <c r="I22" s="296"/>
      <c r="J22" s="249">
        <v>140.86026938371245</v>
      </c>
      <c r="K22" s="92"/>
      <c r="L22" s="296"/>
      <c r="M22" s="249">
        <v>16.886538221320837</v>
      </c>
      <c r="N22" s="92"/>
      <c r="O22" s="49">
        <v>0</v>
      </c>
      <c r="P22" s="115">
        <f t="shared" si="0"/>
        <v>0</v>
      </c>
      <c r="Q22" s="92"/>
      <c r="R22" s="49">
        <v>0</v>
      </c>
      <c r="S22" s="115">
        <f t="shared" si="1"/>
        <v>0</v>
      </c>
      <c r="T22" s="92"/>
      <c r="U22" s="49">
        <v>0</v>
      </c>
      <c r="V22" s="115">
        <f t="shared" si="2"/>
        <v>0</v>
      </c>
      <c r="W22" s="92"/>
      <c r="X22" s="49">
        <v>0</v>
      </c>
      <c r="Y22" s="115">
        <f t="shared" si="3"/>
        <v>0</v>
      </c>
      <c r="Z22" s="92"/>
      <c r="AA22" s="49">
        <v>0</v>
      </c>
      <c r="AB22" s="115">
        <f t="shared" si="4"/>
        <v>0</v>
      </c>
      <c r="AC22" s="92"/>
      <c r="AD22" s="49">
        <v>0</v>
      </c>
      <c r="AE22" s="115">
        <f t="shared" si="5"/>
        <v>0</v>
      </c>
      <c r="AF22" s="92"/>
      <c r="AG22" s="49">
        <v>0</v>
      </c>
      <c r="AH22" s="115">
        <f t="shared" si="6"/>
        <v>0</v>
      </c>
      <c r="AI22" s="92"/>
      <c r="AL22" s="92"/>
      <c r="AM22" s="92"/>
      <c r="AN22" s="92"/>
      <c r="AS22" s="332"/>
      <c r="AT22" s="332"/>
    </row>
    <row r="23" spans="3:46" x14ac:dyDescent="0.25">
      <c r="C23" s="100" t="str">
        <f>'MP Calculations'!D50</f>
        <v>2006-07</v>
      </c>
      <c r="D23" s="249">
        <f>IF(LEFT($C23,4)*1&lt;LEFT('General inputs'!$I$16,4)+'General inputs'!$H$38,SUM(G23,J23,M23,P23,S23,V23,Y23,AB23,AE23,AH23),"")</f>
        <v>249.35470488196003</v>
      </c>
      <c r="E23" s="92"/>
      <c r="F23" s="296"/>
      <c r="G23" s="249">
        <v>152</v>
      </c>
      <c r="H23" s="92"/>
      <c r="I23" s="296"/>
      <c r="J23" s="249">
        <v>97.354704881960032</v>
      </c>
      <c r="K23" s="92"/>
      <c r="L23" s="296"/>
      <c r="M23" s="249">
        <v>0</v>
      </c>
      <c r="N23" s="92"/>
      <c r="O23" s="49">
        <v>0</v>
      </c>
      <c r="P23" s="115">
        <f t="shared" si="0"/>
        <v>0</v>
      </c>
      <c r="Q23" s="92"/>
      <c r="R23" s="49">
        <v>0</v>
      </c>
      <c r="S23" s="115">
        <f t="shared" si="1"/>
        <v>0</v>
      </c>
      <c r="T23" s="92"/>
      <c r="U23" s="49">
        <v>0</v>
      </c>
      <c r="V23" s="115">
        <f t="shared" si="2"/>
        <v>0</v>
      </c>
      <c r="W23" s="92"/>
      <c r="X23" s="49">
        <v>0</v>
      </c>
      <c r="Y23" s="115">
        <f t="shared" si="3"/>
        <v>0</v>
      </c>
      <c r="Z23" s="92"/>
      <c r="AA23" s="49">
        <v>0</v>
      </c>
      <c r="AB23" s="115">
        <f t="shared" si="4"/>
        <v>0</v>
      </c>
      <c r="AC23" s="92"/>
      <c r="AD23" s="49">
        <v>0</v>
      </c>
      <c r="AE23" s="115">
        <f t="shared" si="5"/>
        <v>0</v>
      </c>
      <c r="AF23" s="92"/>
      <c r="AG23" s="49">
        <v>0</v>
      </c>
      <c r="AH23" s="115">
        <f t="shared" si="6"/>
        <v>0</v>
      </c>
      <c r="AI23" s="92"/>
      <c r="AL23" s="92"/>
      <c r="AM23" s="92"/>
      <c r="AN23" s="92"/>
      <c r="AS23" s="332"/>
      <c r="AT23" s="332"/>
    </row>
    <row r="24" spans="3:46" x14ac:dyDescent="0.25">
      <c r="C24" s="100" t="str">
        <f>'MP Calculations'!D51</f>
        <v>2007-08</v>
      </c>
      <c r="D24" s="249">
        <f>IF(LEFT($C24,4)*1&lt;LEFT('General inputs'!$I$16,4)+'General inputs'!$H$38,SUM(G24,J24,M24,P24,S24,V24,Y24,AB24,AE24,AH24),"")</f>
        <v>293.5716243711388</v>
      </c>
      <c r="E24" s="92"/>
      <c r="F24" s="296"/>
      <c r="G24" s="249">
        <v>157</v>
      </c>
      <c r="H24" s="92"/>
      <c r="I24" s="296"/>
      <c r="J24" s="249">
        <v>136.5716243711388</v>
      </c>
      <c r="K24" s="92"/>
      <c r="L24" s="296"/>
      <c r="M24" s="249">
        <v>0</v>
      </c>
      <c r="N24" s="92"/>
      <c r="O24" s="49">
        <v>0</v>
      </c>
      <c r="P24" s="115">
        <f t="shared" si="0"/>
        <v>0</v>
      </c>
      <c r="Q24" s="92"/>
      <c r="R24" s="49">
        <v>0</v>
      </c>
      <c r="S24" s="115">
        <f t="shared" si="1"/>
        <v>0</v>
      </c>
      <c r="T24" s="92"/>
      <c r="U24" s="49">
        <v>0</v>
      </c>
      <c r="V24" s="115">
        <f t="shared" si="2"/>
        <v>0</v>
      </c>
      <c r="W24" s="92"/>
      <c r="X24" s="49">
        <v>0</v>
      </c>
      <c r="Y24" s="115">
        <f t="shared" si="3"/>
        <v>0</v>
      </c>
      <c r="Z24" s="92"/>
      <c r="AA24" s="49">
        <v>0</v>
      </c>
      <c r="AB24" s="115">
        <f t="shared" si="4"/>
        <v>0</v>
      </c>
      <c r="AC24" s="92"/>
      <c r="AD24" s="49">
        <v>0</v>
      </c>
      <c r="AE24" s="115">
        <f t="shared" si="5"/>
        <v>0</v>
      </c>
      <c r="AF24" s="92"/>
      <c r="AG24" s="49">
        <v>0</v>
      </c>
      <c r="AH24" s="115">
        <f t="shared" si="6"/>
        <v>0</v>
      </c>
      <c r="AI24" s="92"/>
      <c r="AL24" s="92"/>
      <c r="AM24" s="92"/>
      <c r="AN24" s="92"/>
      <c r="AS24" s="332"/>
      <c r="AT24" s="332"/>
    </row>
    <row r="25" spans="3:46" x14ac:dyDescent="0.25">
      <c r="C25" s="100" t="str">
        <f>'MP Calculations'!D52</f>
        <v>2008-09</v>
      </c>
      <c r="D25" s="249">
        <f>IF(LEFT($C25,4)*1&lt;LEFT('General inputs'!$I$16,4)+'General inputs'!$H$38,SUM(G25,J25,M25,P25,S25,V25,Y25,AB25,AE25,AH25),"")</f>
        <v>764.48652865886629</v>
      </c>
      <c r="E25" s="92"/>
      <c r="F25" s="296"/>
      <c r="G25" s="249">
        <v>202</v>
      </c>
      <c r="H25" s="92"/>
      <c r="I25" s="296"/>
      <c r="J25" s="249">
        <v>84.856382156362898</v>
      </c>
      <c r="K25" s="92"/>
      <c r="L25" s="296"/>
      <c r="M25" s="249">
        <v>477.63014650250346</v>
      </c>
      <c r="N25" s="92"/>
      <c r="O25" s="49">
        <v>0</v>
      </c>
      <c r="P25" s="115">
        <f t="shared" si="0"/>
        <v>0</v>
      </c>
      <c r="Q25" s="92"/>
      <c r="R25" s="49">
        <v>0</v>
      </c>
      <c r="S25" s="115">
        <f t="shared" si="1"/>
        <v>0</v>
      </c>
      <c r="T25" s="92"/>
      <c r="U25" s="49">
        <v>0</v>
      </c>
      <c r="V25" s="115">
        <f t="shared" si="2"/>
        <v>0</v>
      </c>
      <c r="W25" s="92"/>
      <c r="X25" s="49">
        <v>0</v>
      </c>
      <c r="Y25" s="115">
        <f t="shared" si="3"/>
        <v>0</v>
      </c>
      <c r="Z25" s="92"/>
      <c r="AA25" s="49">
        <v>0</v>
      </c>
      <c r="AB25" s="115">
        <f t="shared" si="4"/>
        <v>0</v>
      </c>
      <c r="AC25" s="92"/>
      <c r="AD25" s="49">
        <v>0</v>
      </c>
      <c r="AE25" s="115">
        <f t="shared" si="5"/>
        <v>0</v>
      </c>
      <c r="AF25" s="92"/>
      <c r="AG25" s="49">
        <v>0</v>
      </c>
      <c r="AH25" s="115">
        <f t="shared" si="6"/>
        <v>0</v>
      </c>
      <c r="AI25" s="92"/>
      <c r="AL25" s="92"/>
      <c r="AM25" s="92"/>
      <c r="AN25" s="92"/>
      <c r="AS25" s="332"/>
      <c r="AT25" s="332"/>
    </row>
    <row r="26" spans="3:46" x14ac:dyDescent="0.25">
      <c r="C26" s="100" t="str">
        <f>'MP Calculations'!D53</f>
        <v>2009-10</v>
      </c>
      <c r="D26" s="249">
        <f>IF(LEFT($C26,4)*1&lt;LEFT('General inputs'!$I$16,4)+'General inputs'!$H$38,SUM(G26,J26,M26,P26,S26,V26,Y26,AB26,AE26,AH26),"")</f>
        <v>652.18488415616082</v>
      </c>
      <c r="E26" s="92"/>
      <c r="F26" s="296"/>
      <c r="G26" s="249">
        <v>194</v>
      </c>
      <c r="H26" s="92"/>
      <c r="I26" s="296"/>
      <c r="J26" s="249">
        <v>73.722298735445094</v>
      </c>
      <c r="K26" s="92"/>
      <c r="L26" s="296"/>
      <c r="M26" s="249">
        <v>384.46258542071575</v>
      </c>
      <c r="N26" s="92"/>
      <c r="O26" s="49">
        <v>0</v>
      </c>
      <c r="P26" s="115">
        <f t="shared" si="0"/>
        <v>0</v>
      </c>
      <c r="Q26" s="92"/>
      <c r="R26" s="49">
        <v>0</v>
      </c>
      <c r="S26" s="115">
        <f t="shared" si="1"/>
        <v>0</v>
      </c>
      <c r="T26" s="92"/>
      <c r="U26" s="49">
        <v>0</v>
      </c>
      <c r="V26" s="115">
        <f t="shared" si="2"/>
        <v>0</v>
      </c>
      <c r="W26" s="92"/>
      <c r="X26" s="49">
        <v>0</v>
      </c>
      <c r="Y26" s="115">
        <f t="shared" si="3"/>
        <v>0</v>
      </c>
      <c r="Z26" s="92"/>
      <c r="AA26" s="49">
        <v>0</v>
      </c>
      <c r="AB26" s="115">
        <f t="shared" si="4"/>
        <v>0</v>
      </c>
      <c r="AC26" s="92"/>
      <c r="AD26" s="49">
        <v>0</v>
      </c>
      <c r="AE26" s="115">
        <f t="shared" si="5"/>
        <v>0</v>
      </c>
      <c r="AF26" s="92"/>
      <c r="AG26" s="49">
        <v>0</v>
      </c>
      <c r="AH26" s="115">
        <f t="shared" si="6"/>
        <v>0</v>
      </c>
      <c r="AI26" s="92"/>
      <c r="AL26" s="92"/>
      <c r="AM26" s="92"/>
      <c r="AN26" s="92"/>
      <c r="AS26" s="332"/>
      <c r="AT26" s="332"/>
    </row>
    <row r="27" spans="3:46" x14ac:dyDescent="0.25">
      <c r="C27" s="100" t="str">
        <f>'MP Calculations'!D54</f>
        <v>2010-11</v>
      </c>
      <c r="D27" s="249">
        <f>IF(LEFT($C27,4)*1&lt;LEFT('General inputs'!$I$16,4)+'General inputs'!$H$38,SUM(G27,J27,M27,P27,S27,V27,Y27,AB27,AE27,AH27),"")</f>
        <v>329.83063272107074</v>
      </c>
      <c r="E27" s="92"/>
      <c r="F27" s="296"/>
      <c r="G27" s="249">
        <v>254</v>
      </c>
      <c r="H27" s="92"/>
      <c r="I27" s="296"/>
      <c r="J27" s="249">
        <v>75.830632721070714</v>
      </c>
      <c r="K27" s="92"/>
      <c r="L27" s="296"/>
      <c r="M27" s="249">
        <v>0</v>
      </c>
      <c r="N27" s="92"/>
      <c r="O27" s="49">
        <v>0</v>
      </c>
      <c r="P27" s="115">
        <f t="shared" si="0"/>
        <v>0</v>
      </c>
      <c r="Q27" s="92"/>
      <c r="R27" s="49">
        <v>0</v>
      </c>
      <c r="S27" s="115">
        <f t="shared" si="1"/>
        <v>0</v>
      </c>
      <c r="T27" s="92"/>
      <c r="U27" s="49">
        <v>0</v>
      </c>
      <c r="V27" s="115">
        <f t="shared" si="2"/>
        <v>0</v>
      </c>
      <c r="W27" s="92"/>
      <c r="X27" s="49">
        <v>0</v>
      </c>
      <c r="Y27" s="115">
        <f t="shared" si="3"/>
        <v>0</v>
      </c>
      <c r="Z27" s="92"/>
      <c r="AA27" s="49">
        <v>0</v>
      </c>
      <c r="AB27" s="115">
        <f t="shared" si="4"/>
        <v>0</v>
      </c>
      <c r="AC27" s="92"/>
      <c r="AD27" s="49">
        <v>0</v>
      </c>
      <c r="AE27" s="115">
        <f t="shared" si="5"/>
        <v>0</v>
      </c>
      <c r="AF27" s="92"/>
      <c r="AG27" s="49">
        <v>0</v>
      </c>
      <c r="AH27" s="115">
        <f t="shared" si="6"/>
        <v>0</v>
      </c>
      <c r="AI27" s="92"/>
      <c r="AL27" s="92"/>
      <c r="AM27" s="92"/>
      <c r="AN27" s="92"/>
      <c r="AS27" s="332"/>
      <c r="AT27" s="332"/>
    </row>
    <row r="28" spans="3:46" x14ac:dyDescent="0.25">
      <c r="C28" s="100" t="str">
        <f>'MP Calculations'!D55</f>
        <v>2011-12</v>
      </c>
      <c r="D28" s="249">
        <f>IF(LEFT($C28,4)*1&lt;LEFT('General inputs'!$I$16,4)+'General inputs'!$H$38,SUM(G28,J28,M28,P28,S28,V28,Y28,AB28,AE28,AH28),"")</f>
        <v>779.6140265230664</v>
      </c>
      <c r="E28" s="92"/>
      <c r="F28" s="296"/>
      <c r="G28" s="249">
        <v>424</v>
      </c>
      <c r="H28" s="92"/>
      <c r="I28" s="296"/>
      <c r="J28" s="249">
        <v>214.98479609404663</v>
      </c>
      <c r="K28" s="92"/>
      <c r="L28" s="296"/>
      <c r="M28" s="249">
        <v>140.62923042901983</v>
      </c>
      <c r="N28" s="92"/>
      <c r="O28" s="49">
        <v>0</v>
      </c>
      <c r="P28" s="115">
        <f t="shared" si="0"/>
        <v>0</v>
      </c>
      <c r="Q28" s="92"/>
      <c r="R28" s="49">
        <v>0</v>
      </c>
      <c r="S28" s="115">
        <f t="shared" si="1"/>
        <v>0</v>
      </c>
      <c r="T28" s="92"/>
      <c r="U28" s="49">
        <v>0</v>
      </c>
      <c r="V28" s="115">
        <f t="shared" si="2"/>
        <v>0</v>
      </c>
      <c r="W28" s="92"/>
      <c r="X28" s="49">
        <v>0</v>
      </c>
      <c r="Y28" s="115">
        <f t="shared" si="3"/>
        <v>0</v>
      </c>
      <c r="Z28" s="92"/>
      <c r="AA28" s="49">
        <v>0</v>
      </c>
      <c r="AB28" s="115">
        <f t="shared" si="4"/>
        <v>0</v>
      </c>
      <c r="AC28" s="92"/>
      <c r="AD28" s="49">
        <v>0</v>
      </c>
      <c r="AE28" s="115">
        <f t="shared" si="5"/>
        <v>0</v>
      </c>
      <c r="AF28" s="92"/>
      <c r="AG28" s="49">
        <v>0</v>
      </c>
      <c r="AH28" s="115">
        <f t="shared" si="6"/>
        <v>0</v>
      </c>
      <c r="AI28" s="92"/>
      <c r="AL28" s="92"/>
      <c r="AM28" s="92"/>
      <c r="AN28" s="92"/>
      <c r="AS28" s="332"/>
      <c r="AT28" s="332"/>
    </row>
    <row r="29" spans="3:46" x14ac:dyDescent="0.25">
      <c r="C29" s="100" t="str">
        <f>'MP Calculations'!D56</f>
        <v>2012-13</v>
      </c>
      <c r="D29" s="249">
        <f>IF(LEFT($C29,4)*1&lt;LEFT('General inputs'!$I$16,4)+'General inputs'!$H$38,SUM(G29,J29,M29,P29,S29,V29,Y29,AB29,AE29,AH29),"")</f>
        <v>1331.1277882186373</v>
      </c>
      <c r="E29" s="92"/>
      <c r="F29" s="296"/>
      <c r="G29" s="249">
        <v>538</v>
      </c>
      <c r="H29" s="92"/>
      <c r="I29" s="296"/>
      <c r="J29" s="249">
        <v>96.213847502191058</v>
      </c>
      <c r="K29" s="92"/>
      <c r="L29" s="296"/>
      <c r="M29" s="249">
        <v>696.91394071644629</v>
      </c>
      <c r="N29" s="92"/>
      <c r="O29" s="49">
        <v>0</v>
      </c>
      <c r="P29" s="115">
        <f t="shared" si="0"/>
        <v>0</v>
      </c>
      <c r="Q29" s="92"/>
      <c r="R29" s="49">
        <v>0</v>
      </c>
      <c r="S29" s="115">
        <f t="shared" si="1"/>
        <v>0</v>
      </c>
      <c r="T29" s="92"/>
      <c r="U29" s="49">
        <v>0</v>
      </c>
      <c r="V29" s="115">
        <f t="shared" si="2"/>
        <v>0</v>
      </c>
      <c r="W29" s="92"/>
      <c r="X29" s="49">
        <v>0</v>
      </c>
      <c r="Y29" s="115">
        <f t="shared" si="3"/>
        <v>0</v>
      </c>
      <c r="Z29" s="92"/>
      <c r="AA29" s="49">
        <v>0</v>
      </c>
      <c r="AB29" s="115">
        <f t="shared" si="4"/>
        <v>0</v>
      </c>
      <c r="AC29" s="92"/>
      <c r="AD29" s="49">
        <v>0</v>
      </c>
      <c r="AE29" s="115">
        <f t="shared" si="5"/>
        <v>0</v>
      </c>
      <c r="AF29" s="92"/>
      <c r="AG29" s="49">
        <v>0</v>
      </c>
      <c r="AH29" s="115">
        <f t="shared" si="6"/>
        <v>0</v>
      </c>
      <c r="AI29" s="92"/>
      <c r="AL29" s="92"/>
      <c r="AM29" s="92"/>
      <c r="AN29" s="92"/>
      <c r="AS29" s="332"/>
      <c r="AT29" s="332"/>
    </row>
    <row r="30" spans="3:46" x14ac:dyDescent="0.25">
      <c r="C30" s="100" t="str">
        <f>'MP Calculations'!D57</f>
        <v>2013-14</v>
      </c>
      <c r="D30" s="249">
        <f>IF(LEFT($C30,4)*1&lt;LEFT('General inputs'!$I$16,4)+'General inputs'!$H$38,SUM(G30,J30,M30,P30,S30,V30,Y30,AB30,AE30,AH30),"")</f>
        <v>1098.5303799663448</v>
      </c>
      <c r="E30" s="92"/>
      <c r="F30" s="296"/>
      <c r="G30" s="249">
        <v>361</v>
      </c>
      <c r="H30" s="92"/>
      <c r="I30" s="296"/>
      <c r="J30" s="249">
        <v>141.8217102792037</v>
      </c>
      <c r="K30" s="92"/>
      <c r="L30" s="296"/>
      <c r="M30" s="249">
        <v>595.70866968714097</v>
      </c>
      <c r="N30" s="92"/>
      <c r="O30" s="49">
        <v>0</v>
      </c>
      <c r="P30" s="115">
        <f t="shared" si="0"/>
        <v>0</v>
      </c>
      <c r="Q30" s="92"/>
      <c r="R30" s="49">
        <v>0</v>
      </c>
      <c r="S30" s="115">
        <f t="shared" si="1"/>
        <v>0</v>
      </c>
      <c r="T30" s="92"/>
      <c r="U30" s="49">
        <v>0</v>
      </c>
      <c r="V30" s="115">
        <f t="shared" si="2"/>
        <v>0</v>
      </c>
      <c r="W30" s="92"/>
      <c r="X30" s="49">
        <v>0</v>
      </c>
      <c r="Y30" s="115">
        <f t="shared" si="3"/>
        <v>0</v>
      </c>
      <c r="Z30" s="92"/>
      <c r="AA30" s="49">
        <v>0</v>
      </c>
      <c r="AB30" s="115">
        <f t="shared" si="4"/>
        <v>0</v>
      </c>
      <c r="AC30" s="92"/>
      <c r="AD30" s="49">
        <v>0</v>
      </c>
      <c r="AE30" s="115">
        <f t="shared" si="5"/>
        <v>0</v>
      </c>
      <c r="AF30" s="92"/>
      <c r="AG30" s="49">
        <v>0</v>
      </c>
      <c r="AH30" s="115">
        <f t="shared" si="6"/>
        <v>0</v>
      </c>
      <c r="AI30" s="92"/>
      <c r="AL30" s="92"/>
      <c r="AM30" s="92"/>
      <c r="AN30" s="92"/>
      <c r="AS30" s="332"/>
      <c r="AT30" s="332"/>
    </row>
    <row r="31" spans="3:46" x14ac:dyDescent="0.25">
      <c r="C31" s="100" t="str">
        <f>'MP Calculations'!D58</f>
        <v>2014-15</v>
      </c>
      <c r="D31" s="249">
        <f>IF(LEFT($C31,4)*1&lt;LEFT('General inputs'!$I$16,4)+'General inputs'!$H$38,SUM(G31,J31,M31,P31,S31,V31,Y31,AB31,AE31,AH31),"")</f>
        <v>622.68442814269304</v>
      </c>
      <c r="E31" s="92"/>
      <c r="F31" s="296"/>
      <c r="G31" s="249">
        <v>446</v>
      </c>
      <c r="H31" s="92"/>
      <c r="I31" s="296"/>
      <c r="J31" s="249">
        <v>172.68650794159998</v>
      </c>
      <c r="K31" s="92"/>
      <c r="L31" s="296"/>
      <c r="M31" s="249">
        <v>3.9979202010930708</v>
      </c>
      <c r="N31" s="92"/>
      <c r="O31" s="49">
        <v>0</v>
      </c>
      <c r="P31" s="115">
        <f t="shared" si="0"/>
        <v>0</v>
      </c>
      <c r="Q31" s="92"/>
      <c r="R31" s="49">
        <v>0</v>
      </c>
      <c r="S31" s="115">
        <f t="shared" si="1"/>
        <v>0</v>
      </c>
      <c r="T31" s="92"/>
      <c r="U31" s="49">
        <v>0</v>
      </c>
      <c r="V31" s="115">
        <f t="shared" si="2"/>
        <v>0</v>
      </c>
      <c r="W31" s="92"/>
      <c r="X31" s="49">
        <v>0</v>
      </c>
      <c r="Y31" s="115">
        <f t="shared" si="3"/>
        <v>0</v>
      </c>
      <c r="Z31" s="92"/>
      <c r="AA31" s="49">
        <v>0</v>
      </c>
      <c r="AB31" s="115">
        <f t="shared" si="4"/>
        <v>0</v>
      </c>
      <c r="AC31" s="92"/>
      <c r="AD31" s="49">
        <v>0</v>
      </c>
      <c r="AE31" s="115">
        <f t="shared" si="5"/>
        <v>0</v>
      </c>
      <c r="AF31" s="92"/>
      <c r="AG31" s="49">
        <v>0</v>
      </c>
      <c r="AH31" s="115">
        <f t="shared" si="6"/>
        <v>0</v>
      </c>
      <c r="AI31" s="92"/>
      <c r="AL31" s="92"/>
      <c r="AM31" s="92"/>
      <c r="AN31" s="92"/>
      <c r="AS31" s="332"/>
      <c r="AT31" s="332"/>
    </row>
    <row r="32" spans="3:46" x14ac:dyDescent="0.25">
      <c r="C32" s="100" t="str">
        <f>'MP Calculations'!D59</f>
        <v>2015-16</v>
      </c>
      <c r="D32" s="249">
        <f>IF(LEFT($C32,4)*1&lt;LEFT('General inputs'!$I$16,4)+'General inputs'!$H$38,SUM(G32,J32,M32,P32,S32,V32,Y32,AB32,AE32,AH32),"")</f>
        <v>1373.143509402116</v>
      </c>
      <c r="E32" s="92"/>
      <c r="F32" s="296"/>
      <c r="G32" s="249">
        <v>863</v>
      </c>
      <c r="H32" s="92"/>
      <c r="I32" s="296"/>
      <c r="J32" s="249">
        <v>0</v>
      </c>
      <c r="K32" s="92"/>
      <c r="L32" s="296"/>
      <c r="M32" s="249">
        <v>510.14350940211602</v>
      </c>
      <c r="N32" s="92"/>
      <c r="O32" s="49">
        <v>0</v>
      </c>
      <c r="P32" s="115">
        <f t="shared" si="0"/>
        <v>0</v>
      </c>
      <c r="Q32" s="92"/>
      <c r="R32" s="49">
        <v>0</v>
      </c>
      <c r="S32" s="115">
        <f t="shared" si="1"/>
        <v>0</v>
      </c>
      <c r="T32" s="92"/>
      <c r="U32" s="49">
        <v>0</v>
      </c>
      <c r="V32" s="115">
        <f t="shared" si="2"/>
        <v>0</v>
      </c>
      <c r="W32" s="92"/>
      <c r="X32" s="49">
        <v>0</v>
      </c>
      <c r="Y32" s="115">
        <f t="shared" si="3"/>
        <v>0</v>
      </c>
      <c r="Z32" s="92"/>
      <c r="AA32" s="49">
        <v>0</v>
      </c>
      <c r="AB32" s="115">
        <f t="shared" si="4"/>
        <v>0</v>
      </c>
      <c r="AC32" s="92"/>
      <c r="AD32" s="49">
        <v>0</v>
      </c>
      <c r="AE32" s="115">
        <f t="shared" si="5"/>
        <v>0</v>
      </c>
      <c r="AF32" s="92"/>
      <c r="AG32" s="49">
        <v>0</v>
      </c>
      <c r="AH32" s="115">
        <f t="shared" si="6"/>
        <v>0</v>
      </c>
      <c r="AI32" s="92"/>
      <c r="AL32" s="92"/>
      <c r="AM32" s="92"/>
      <c r="AN32" s="92"/>
      <c r="AS32" s="332"/>
      <c r="AT32" s="332"/>
    </row>
    <row r="33" spans="3:46" x14ac:dyDescent="0.25">
      <c r="C33" s="100" t="str">
        <f>'MP Calculations'!D60</f>
        <v>2016-17</v>
      </c>
      <c r="D33" s="249">
        <f>IF(LEFT($C33,4)*1&lt;LEFT('General inputs'!$I$16,4)+'General inputs'!$H$38,SUM(G33,J33,M33,P33,S33,V33,Y33,AB33,AE33,AH33),"")</f>
        <v>900.96495301668858</v>
      </c>
      <c r="E33" s="92"/>
      <c r="F33" s="296"/>
      <c r="G33" s="249">
        <v>515</v>
      </c>
      <c r="H33" s="92"/>
      <c r="I33" s="296"/>
      <c r="J33" s="249">
        <v>156.51458865138366</v>
      </c>
      <c r="K33" s="92"/>
      <c r="L33" s="296"/>
      <c r="M33" s="249">
        <v>229.45036436530492</v>
      </c>
      <c r="N33" s="92"/>
      <c r="O33" s="49">
        <v>0</v>
      </c>
      <c r="P33" s="115">
        <f t="shared" si="0"/>
        <v>0</v>
      </c>
      <c r="Q33" s="92"/>
      <c r="R33" s="49">
        <v>0</v>
      </c>
      <c r="S33" s="115">
        <f t="shared" si="1"/>
        <v>0</v>
      </c>
      <c r="T33" s="92"/>
      <c r="U33" s="49">
        <v>0</v>
      </c>
      <c r="V33" s="115">
        <f t="shared" si="2"/>
        <v>0</v>
      </c>
      <c r="W33" s="92"/>
      <c r="X33" s="49">
        <v>0</v>
      </c>
      <c r="Y33" s="115">
        <f t="shared" si="3"/>
        <v>0</v>
      </c>
      <c r="Z33" s="92"/>
      <c r="AA33" s="49">
        <v>0</v>
      </c>
      <c r="AB33" s="115">
        <f t="shared" si="4"/>
        <v>0</v>
      </c>
      <c r="AC33" s="92"/>
      <c r="AD33" s="49">
        <v>0</v>
      </c>
      <c r="AE33" s="115">
        <f t="shared" si="5"/>
        <v>0</v>
      </c>
      <c r="AF33" s="92"/>
      <c r="AG33" s="49">
        <v>0</v>
      </c>
      <c r="AH33" s="115">
        <f t="shared" si="6"/>
        <v>0</v>
      </c>
      <c r="AI33" s="92"/>
      <c r="AL33" s="92"/>
      <c r="AM33" s="92"/>
      <c r="AN33" s="92"/>
      <c r="AS33" s="332"/>
      <c r="AT33" s="332"/>
    </row>
    <row r="34" spans="3:46" x14ac:dyDescent="0.25">
      <c r="C34" s="100" t="str">
        <f>'MP Calculations'!D61</f>
        <v>2017-18</v>
      </c>
      <c r="D34" s="249">
        <f>IF(LEFT($C34,4)*1&lt;LEFT('General inputs'!$I$16,4)+'General inputs'!$H$38,SUM(G34,J34,M34,P34,S34,V34,Y34,AB34,AE34,AH34),"")</f>
        <v>2076.8310583697744</v>
      </c>
      <c r="E34" s="92"/>
      <c r="F34" s="296"/>
      <c r="G34" s="249">
        <v>344</v>
      </c>
      <c r="H34" s="92"/>
      <c r="I34" s="296"/>
      <c r="J34" s="249">
        <v>637.91313964390781</v>
      </c>
      <c r="K34" s="92"/>
      <c r="L34" s="296"/>
      <c r="M34" s="249">
        <v>1094.9179187258667</v>
      </c>
      <c r="N34" s="92"/>
      <c r="O34" s="49">
        <v>0</v>
      </c>
      <c r="P34" s="115">
        <f t="shared" si="0"/>
        <v>0</v>
      </c>
      <c r="Q34" s="92"/>
      <c r="R34" s="49">
        <v>0</v>
      </c>
      <c r="S34" s="115">
        <f t="shared" si="1"/>
        <v>0</v>
      </c>
      <c r="T34" s="92"/>
      <c r="U34" s="49">
        <v>0</v>
      </c>
      <c r="V34" s="115">
        <f t="shared" si="2"/>
        <v>0</v>
      </c>
      <c r="W34" s="92"/>
      <c r="X34" s="49">
        <v>0</v>
      </c>
      <c r="Y34" s="115">
        <f t="shared" si="3"/>
        <v>0</v>
      </c>
      <c r="Z34" s="92"/>
      <c r="AA34" s="49">
        <v>0</v>
      </c>
      <c r="AB34" s="115">
        <f t="shared" si="4"/>
        <v>0</v>
      </c>
      <c r="AC34" s="92"/>
      <c r="AD34" s="49">
        <v>0</v>
      </c>
      <c r="AE34" s="115">
        <f t="shared" si="5"/>
        <v>0</v>
      </c>
      <c r="AF34" s="92"/>
      <c r="AG34" s="49">
        <v>0</v>
      </c>
      <c r="AH34" s="115">
        <f t="shared" si="6"/>
        <v>0</v>
      </c>
      <c r="AI34" s="92"/>
      <c r="AL34" s="92"/>
      <c r="AM34" s="92"/>
      <c r="AN34" s="92"/>
      <c r="AS34" s="332"/>
      <c r="AT34" s="332"/>
    </row>
    <row r="35" spans="3:46" x14ac:dyDescent="0.25">
      <c r="C35" s="100" t="str">
        <f>'MP Calculations'!D62</f>
        <v>2018-19</v>
      </c>
      <c r="D35" s="249">
        <f>IF(LEFT($C35,4)*1&lt;LEFT('General inputs'!$I$16,4)+'General inputs'!$H$38,SUM(G35,J35,M35,P35,S35,V35,Y35,AB35,AE35,AH35),"")</f>
        <v>814.82719902597535</v>
      </c>
      <c r="E35" s="92"/>
      <c r="F35" s="296"/>
      <c r="G35" s="249">
        <v>388</v>
      </c>
      <c r="H35" s="92"/>
      <c r="I35" s="296"/>
      <c r="J35" s="249">
        <v>426.82719902597535</v>
      </c>
      <c r="K35" s="92"/>
      <c r="L35" s="296"/>
      <c r="M35" s="249">
        <v>0</v>
      </c>
      <c r="N35" s="92"/>
      <c r="O35" s="49">
        <v>0</v>
      </c>
      <c r="P35" s="115">
        <f t="shared" si="0"/>
        <v>0</v>
      </c>
      <c r="Q35" s="92"/>
      <c r="R35" s="49">
        <v>0</v>
      </c>
      <c r="S35" s="115">
        <f t="shared" si="1"/>
        <v>0</v>
      </c>
      <c r="T35" s="92"/>
      <c r="U35" s="49">
        <v>0</v>
      </c>
      <c r="V35" s="115">
        <f t="shared" si="2"/>
        <v>0</v>
      </c>
      <c r="W35" s="92"/>
      <c r="X35" s="49">
        <v>0</v>
      </c>
      <c r="Y35" s="115">
        <f t="shared" si="3"/>
        <v>0</v>
      </c>
      <c r="Z35" s="92"/>
      <c r="AA35" s="49">
        <v>0</v>
      </c>
      <c r="AB35" s="115">
        <f t="shared" si="4"/>
        <v>0</v>
      </c>
      <c r="AC35" s="92"/>
      <c r="AD35" s="49">
        <v>0</v>
      </c>
      <c r="AE35" s="115">
        <f t="shared" si="5"/>
        <v>0</v>
      </c>
      <c r="AF35" s="92"/>
      <c r="AG35" s="49">
        <v>0</v>
      </c>
      <c r="AH35" s="115">
        <f t="shared" si="6"/>
        <v>0</v>
      </c>
      <c r="AI35" s="92"/>
      <c r="AL35" s="92"/>
      <c r="AM35" s="92"/>
      <c r="AN35" s="92"/>
      <c r="AS35" s="332"/>
      <c r="AT35" s="332"/>
    </row>
    <row r="36" spans="3:46" x14ac:dyDescent="0.25">
      <c r="C36" s="100" t="str">
        <f>'MP Calculations'!D63</f>
        <v>2019-20</v>
      </c>
      <c r="D36" s="249">
        <f>IF(LEFT($C36,4)*1&lt;LEFT('General inputs'!$I$16,4)+'General inputs'!$H$38,SUM(G36,J36,M36,P36,S36,V36,Y36,AB36,AE36,AH36),"")</f>
        <v>226.3583322899712</v>
      </c>
      <c r="E36" s="92"/>
      <c r="F36" s="296"/>
      <c r="G36" s="249">
        <v>182</v>
      </c>
      <c r="H36" s="92"/>
      <c r="I36" s="296"/>
      <c r="J36" s="249">
        <v>44.358332289971202</v>
      </c>
      <c r="K36" s="92"/>
      <c r="L36" s="296"/>
      <c r="M36" s="249">
        <v>0</v>
      </c>
      <c r="N36" s="92"/>
      <c r="O36" s="49">
        <v>0</v>
      </c>
      <c r="P36" s="115">
        <f t="shared" si="0"/>
        <v>0</v>
      </c>
      <c r="Q36" s="92"/>
      <c r="R36" s="49">
        <v>0</v>
      </c>
      <c r="S36" s="115">
        <f t="shared" si="1"/>
        <v>0</v>
      </c>
      <c r="T36" s="92"/>
      <c r="U36" s="49">
        <v>0</v>
      </c>
      <c r="V36" s="115">
        <f t="shared" si="2"/>
        <v>0</v>
      </c>
      <c r="W36" s="92"/>
      <c r="X36" s="49">
        <v>0</v>
      </c>
      <c r="Y36" s="115">
        <f t="shared" si="3"/>
        <v>0</v>
      </c>
      <c r="Z36" s="92"/>
      <c r="AA36" s="49">
        <v>0</v>
      </c>
      <c r="AB36" s="115">
        <f t="shared" si="4"/>
        <v>0</v>
      </c>
      <c r="AC36" s="92"/>
      <c r="AD36" s="49">
        <v>0</v>
      </c>
      <c r="AE36" s="115">
        <f t="shared" si="5"/>
        <v>0</v>
      </c>
      <c r="AF36" s="92"/>
      <c r="AG36" s="49">
        <v>0</v>
      </c>
      <c r="AH36" s="115">
        <f t="shared" si="6"/>
        <v>0</v>
      </c>
      <c r="AI36" s="92"/>
      <c r="AL36" s="92"/>
      <c r="AM36" s="92"/>
      <c r="AN36" s="92"/>
      <c r="AS36" s="332"/>
      <c r="AT36" s="332"/>
    </row>
    <row r="37" spans="3:46" x14ac:dyDescent="0.25">
      <c r="C37" s="100" t="str">
        <f>'MP Calculations'!D64</f>
        <v>2020-21</v>
      </c>
      <c r="D37" s="249">
        <f>IF(LEFT($C37,4)*1&lt;LEFT('General inputs'!$I$16,4)+'General inputs'!$H$38,SUM(G37,J37,M37,P37,S37,V37,Y37,AB37,AE37,AH37),"")</f>
        <v>696.54177313778723</v>
      </c>
      <c r="E37" s="92"/>
      <c r="F37" s="296"/>
      <c r="G37" s="249">
        <v>209</v>
      </c>
      <c r="H37" s="92"/>
      <c r="I37" s="296"/>
      <c r="J37" s="249">
        <v>374.46841912397542</v>
      </c>
      <c r="K37" s="92"/>
      <c r="L37" s="296"/>
      <c r="M37" s="249">
        <v>113.07335401381178</v>
      </c>
      <c r="N37" s="92"/>
      <c r="O37" s="49">
        <v>0</v>
      </c>
      <c r="P37" s="115">
        <f t="shared" si="0"/>
        <v>0</v>
      </c>
      <c r="Q37" s="92"/>
      <c r="R37" s="49">
        <v>0</v>
      </c>
      <c r="S37" s="115">
        <f t="shared" si="1"/>
        <v>0</v>
      </c>
      <c r="T37" s="92"/>
      <c r="U37" s="49">
        <v>0</v>
      </c>
      <c r="V37" s="115">
        <f t="shared" si="2"/>
        <v>0</v>
      </c>
      <c r="W37" s="92"/>
      <c r="X37" s="49">
        <v>0</v>
      </c>
      <c r="Y37" s="115">
        <f t="shared" si="3"/>
        <v>0</v>
      </c>
      <c r="Z37" s="92"/>
      <c r="AA37" s="49">
        <v>0</v>
      </c>
      <c r="AB37" s="115">
        <f t="shared" si="4"/>
        <v>0</v>
      </c>
      <c r="AC37" s="92"/>
      <c r="AD37" s="49">
        <v>0</v>
      </c>
      <c r="AE37" s="115">
        <f t="shared" si="5"/>
        <v>0</v>
      </c>
      <c r="AF37" s="92"/>
      <c r="AG37" s="49">
        <v>0</v>
      </c>
      <c r="AH37" s="115">
        <f t="shared" si="6"/>
        <v>0</v>
      </c>
      <c r="AI37" s="92"/>
      <c r="AL37" s="92"/>
      <c r="AM37" s="92"/>
      <c r="AN37" s="92"/>
      <c r="AS37" s="332"/>
      <c r="AT37" s="332"/>
    </row>
    <row r="38" spans="3:46" x14ac:dyDescent="0.25">
      <c r="C38" s="302" t="str">
        <f>'MP Calculations'!D65</f>
        <v>2021-22</v>
      </c>
      <c r="D38" s="303">
        <f>IF(LEFT($C38,4)*1&lt;LEFT('General inputs'!$I$16,4)+'General inputs'!$H$38,SUM(G38,J38,M38,P38,S38,V38,Y38,AB38,AE38,AH38),"")</f>
        <v>434.534701975747</v>
      </c>
      <c r="E38" s="94"/>
      <c r="F38" s="304"/>
      <c r="G38" s="303">
        <v>226</v>
      </c>
      <c r="H38" s="94"/>
      <c r="I38" s="304"/>
      <c r="J38" s="303">
        <v>201.49768618487559</v>
      </c>
      <c r="K38" s="94"/>
      <c r="L38" s="304"/>
      <c r="M38" s="303">
        <v>7.0370157908714353</v>
      </c>
      <c r="N38" s="92"/>
      <c r="O38" s="49">
        <v>0</v>
      </c>
      <c r="P38" s="115">
        <f t="shared" si="0"/>
        <v>0</v>
      </c>
      <c r="Q38" s="92"/>
      <c r="R38" s="49">
        <v>0</v>
      </c>
      <c r="S38" s="115">
        <f t="shared" si="1"/>
        <v>0</v>
      </c>
      <c r="T38" s="92"/>
      <c r="U38" s="49">
        <v>0</v>
      </c>
      <c r="V38" s="115">
        <f t="shared" si="2"/>
        <v>0</v>
      </c>
      <c r="W38" s="92"/>
      <c r="X38" s="49">
        <v>0</v>
      </c>
      <c r="Y38" s="115">
        <f t="shared" si="3"/>
        <v>0</v>
      </c>
      <c r="Z38" s="92"/>
      <c r="AA38" s="49">
        <v>0</v>
      </c>
      <c r="AB38" s="115">
        <f t="shared" si="4"/>
        <v>0</v>
      </c>
      <c r="AC38" s="92"/>
      <c r="AD38" s="49">
        <v>0</v>
      </c>
      <c r="AE38" s="115">
        <f t="shared" si="5"/>
        <v>0</v>
      </c>
      <c r="AF38" s="92"/>
      <c r="AG38" s="49">
        <v>0</v>
      </c>
      <c r="AH38" s="115">
        <f t="shared" si="6"/>
        <v>0</v>
      </c>
      <c r="AI38" s="92"/>
      <c r="AL38" s="92"/>
      <c r="AM38" s="92"/>
      <c r="AN38" s="92"/>
      <c r="AS38" s="332"/>
      <c r="AT38" s="332"/>
    </row>
    <row r="39" spans="3:46" x14ac:dyDescent="0.25">
      <c r="C39" s="100" t="str">
        <f>'MP Calculations'!D66</f>
        <v>2022-23</v>
      </c>
      <c r="D39" s="249">
        <f>IF(LEFT($C39,4)*1&lt;LEFT('General inputs'!$I$16,4)+'General inputs'!$H$38,SUM(G39,J39,M39,P39,S39,V39,Y39,AB39,AE39,AH39),"")</f>
        <v>4240.9160833628903</v>
      </c>
      <c r="E39" s="92"/>
      <c r="F39" s="296"/>
      <c r="G39" s="305">
        <v>2016.2977513115716</v>
      </c>
      <c r="H39" s="92"/>
      <c r="I39" s="296"/>
      <c r="J39" s="305">
        <v>927.22601756354879</v>
      </c>
      <c r="K39" s="92"/>
      <c r="L39" s="296"/>
      <c r="M39" s="305">
        <v>1297.3923144877697</v>
      </c>
      <c r="N39" s="92"/>
      <c r="O39" s="49">
        <v>0</v>
      </c>
      <c r="P39" s="115">
        <f t="shared" si="0"/>
        <v>0</v>
      </c>
      <c r="Q39" s="92"/>
      <c r="R39" s="49">
        <v>0</v>
      </c>
      <c r="S39" s="115">
        <f t="shared" si="1"/>
        <v>0</v>
      </c>
      <c r="T39" s="92"/>
      <c r="U39" s="49">
        <v>0</v>
      </c>
      <c r="V39" s="115">
        <f t="shared" si="2"/>
        <v>0</v>
      </c>
      <c r="W39" s="92"/>
      <c r="X39" s="49">
        <v>0</v>
      </c>
      <c r="Y39" s="115">
        <f t="shared" si="3"/>
        <v>0</v>
      </c>
      <c r="Z39" s="92"/>
      <c r="AA39" s="49">
        <v>0</v>
      </c>
      <c r="AB39" s="115">
        <f t="shared" si="4"/>
        <v>0</v>
      </c>
      <c r="AC39" s="92"/>
      <c r="AD39" s="49">
        <v>0</v>
      </c>
      <c r="AE39" s="115">
        <f t="shared" si="5"/>
        <v>0</v>
      </c>
      <c r="AF39" s="92"/>
      <c r="AG39" s="49">
        <v>0</v>
      </c>
      <c r="AH39" s="115">
        <f t="shared" si="6"/>
        <v>0</v>
      </c>
      <c r="AI39" s="92"/>
      <c r="AL39" s="92"/>
      <c r="AM39" s="92"/>
      <c r="AN39" s="92"/>
      <c r="AS39" s="332"/>
      <c r="AT39" s="332"/>
    </row>
    <row r="40" spans="3:46" x14ac:dyDescent="0.25">
      <c r="C40" s="100" t="str">
        <f>'MP Calculations'!D67</f>
        <v>2023-24</v>
      </c>
      <c r="D40" s="249">
        <f>IF(LEFT($C40,4)*1&lt;LEFT('General inputs'!$I$16,4)+'General inputs'!$H$38,SUM(G40,J40,M40,P40,S40,V40,Y40,AB40,AE40,AH40),"")</f>
        <v>4222.1789675063628</v>
      </c>
      <c r="E40" s="92"/>
      <c r="F40" s="296"/>
      <c r="G40" s="305">
        <v>1987.779406462887</v>
      </c>
      <c r="H40" s="92"/>
      <c r="I40" s="296"/>
      <c r="J40" s="305">
        <v>857.72354243513269</v>
      </c>
      <c r="K40" s="92"/>
      <c r="L40" s="296"/>
      <c r="M40" s="305">
        <v>1376.6760186083427</v>
      </c>
      <c r="N40" s="92"/>
      <c r="O40" s="49">
        <v>0</v>
      </c>
      <c r="P40" s="115">
        <f t="shared" si="0"/>
        <v>0</v>
      </c>
      <c r="Q40" s="92"/>
      <c r="R40" s="49">
        <v>0</v>
      </c>
      <c r="S40" s="115">
        <f t="shared" si="1"/>
        <v>0</v>
      </c>
      <c r="T40" s="92"/>
      <c r="U40" s="49">
        <v>0</v>
      </c>
      <c r="V40" s="115">
        <f t="shared" si="2"/>
        <v>0</v>
      </c>
      <c r="W40" s="92"/>
      <c r="X40" s="49">
        <v>0</v>
      </c>
      <c r="Y40" s="115">
        <f t="shared" si="3"/>
        <v>0</v>
      </c>
      <c r="Z40" s="92"/>
      <c r="AA40" s="49">
        <v>0</v>
      </c>
      <c r="AB40" s="115">
        <f t="shared" si="4"/>
        <v>0</v>
      </c>
      <c r="AC40" s="92"/>
      <c r="AD40" s="49">
        <v>0</v>
      </c>
      <c r="AE40" s="115">
        <f t="shared" si="5"/>
        <v>0</v>
      </c>
      <c r="AF40" s="92"/>
      <c r="AG40" s="49">
        <v>0</v>
      </c>
      <c r="AH40" s="115">
        <f t="shared" si="6"/>
        <v>0</v>
      </c>
      <c r="AI40" s="92"/>
      <c r="AL40" s="92"/>
      <c r="AM40" s="92"/>
      <c r="AN40" s="92"/>
      <c r="AS40" s="332"/>
      <c r="AT40" s="332"/>
    </row>
    <row r="41" spans="3:46" x14ac:dyDescent="0.25">
      <c r="C41" s="100" t="str">
        <f>'MP Calculations'!D68</f>
        <v>2024-25</v>
      </c>
      <c r="D41" s="249">
        <f>IF(LEFT($C41,4)*1&lt;LEFT('General inputs'!$I$16,4)+'General inputs'!$H$38,SUM(G41,J41,M41,P41,S41,V41,Y41,AB41,AE41,AH41),"")</f>
        <v>4143.4183119156478</v>
      </c>
      <c r="E41" s="92"/>
      <c r="F41" s="296"/>
      <c r="G41" s="305">
        <v>1939.3689930972364</v>
      </c>
      <c r="H41" s="92"/>
      <c r="I41" s="296"/>
      <c r="J41" s="305">
        <v>815.70345514736414</v>
      </c>
      <c r="K41" s="92"/>
      <c r="L41" s="296"/>
      <c r="M41" s="305">
        <v>1388.345863671047</v>
      </c>
      <c r="N41" s="92"/>
      <c r="O41" s="49">
        <v>0</v>
      </c>
      <c r="P41" s="115">
        <f t="shared" si="0"/>
        <v>0</v>
      </c>
      <c r="Q41" s="92"/>
      <c r="R41" s="49">
        <v>0</v>
      </c>
      <c r="S41" s="115">
        <f t="shared" si="1"/>
        <v>0</v>
      </c>
      <c r="T41" s="92"/>
      <c r="U41" s="49">
        <v>0</v>
      </c>
      <c r="V41" s="115">
        <f t="shared" si="2"/>
        <v>0</v>
      </c>
      <c r="W41" s="92"/>
      <c r="X41" s="49">
        <v>0</v>
      </c>
      <c r="Y41" s="115">
        <f t="shared" si="3"/>
        <v>0</v>
      </c>
      <c r="Z41" s="92"/>
      <c r="AA41" s="49">
        <v>0</v>
      </c>
      <c r="AB41" s="115">
        <f t="shared" si="4"/>
        <v>0</v>
      </c>
      <c r="AC41" s="92"/>
      <c r="AD41" s="49">
        <v>0</v>
      </c>
      <c r="AE41" s="115">
        <f t="shared" si="5"/>
        <v>0</v>
      </c>
      <c r="AF41" s="92"/>
      <c r="AG41" s="49">
        <v>0</v>
      </c>
      <c r="AH41" s="115">
        <f t="shared" si="6"/>
        <v>0</v>
      </c>
      <c r="AI41" s="92"/>
      <c r="AL41" s="92"/>
      <c r="AM41" s="92"/>
      <c r="AN41" s="92"/>
      <c r="AS41" s="332"/>
      <c r="AT41" s="332"/>
    </row>
    <row r="42" spans="3:46" x14ac:dyDescent="0.25">
      <c r="C42" s="100" t="str">
        <f>'MP Calculations'!D69</f>
        <v>2025-26</v>
      </c>
      <c r="D42" s="249">
        <f>IF(LEFT($C42,4)*1&lt;LEFT('General inputs'!$I$16,4)+'General inputs'!$H$38,SUM(G42,J42,M42,P42,S42,V42,Y42,AB42,AE42,AH42),"")</f>
        <v>4380.8532787928743</v>
      </c>
      <c r="E42" s="92"/>
      <c r="F42" s="296"/>
      <c r="G42" s="305">
        <v>1875.6341352468689</v>
      </c>
      <c r="H42" s="92"/>
      <c r="I42" s="296"/>
      <c r="J42" s="305">
        <v>812.86371533686713</v>
      </c>
      <c r="K42" s="92"/>
      <c r="L42" s="296"/>
      <c r="M42" s="305">
        <v>1692.3554282091386</v>
      </c>
      <c r="N42" s="92"/>
      <c r="O42" s="49">
        <v>0</v>
      </c>
      <c r="P42" s="115">
        <f t="shared" si="0"/>
        <v>0</v>
      </c>
      <c r="Q42" s="92"/>
      <c r="R42" s="49">
        <v>0</v>
      </c>
      <c r="S42" s="115">
        <f t="shared" si="1"/>
        <v>0</v>
      </c>
      <c r="T42" s="92"/>
      <c r="U42" s="49">
        <v>0</v>
      </c>
      <c r="V42" s="115">
        <f t="shared" si="2"/>
        <v>0</v>
      </c>
      <c r="W42" s="92"/>
      <c r="X42" s="49">
        <v>0</v>
      </c>
      <c r="Y42" s="115">
        <f t="shared" si="3"/>
        <v>0</v>
      </c>
      <c r="Z42" s="92"/>
      <c r="AA42" s="49">
        <v>0</v>
      </c>
      <c r="AB42" s="115">
        <f t="shared" si="4"/>
        <v>0</v>
      </c>
      <c r="AC42" s="92"/>
      <c r="AD42" s="49">
        <v>0</v>
      </c>
      <c r="AE42" s="115">
        <f t="shared" si="5"/>
        <v>0</v>
      </c>
      <c r="AF42" s="92"/>
      <c r="AG42" s="49">
        <v>0</v>
      </c>
      <c r="AH42" s="115">
        <f t="shared" si="6"/>
        <v>0</v>
      </c>
      <c r="AI42" s="92"/>
      <c r="AL42" s="92"/>
      <c r="AM42" s="92"/>
      <c r="AN42" s="92"/>
      <c r="AS42" s="332"/>
      <c r="AT42" s="332"/>
    </row>
    <row r="43" spans="3:46" x14ac:dyDescent="0.25">
      <c r="C43" s="100" t="str">
        <f>'MP Calculations'!D70</f>
        <v>2026-27</v>
      </c>
      <c r="D43" s="249">
        <f>IF(LEFT($C43,4)*1&lt;LEFT('General inputs'!$I$16,4)+'General inputs'!$H$38,SUM(G43,J43,M43,P43,S43,V43,Y43,AB43,AE43,AH43),"")</f>
        <v>4465.1531087596777</v>
      </c>
      <c r="E43" s="92"/>
      <c r="F43" s="296"/>
      <c r="G43" s="305">
        <v>1976.9775257678523</v>
      </c>
      <c r="H43" s="92"/>
      <c r="I43" s="296"/>
      <c r="J43" s="305">
        <v>1007.281844029588</v>
      </c>
      <c r="K43" s="92"/>
      <c r="L43" s="296"/>
      <c r="M43" s="305">
        <v>1480.8937389622379</v>
      </c>
      <c r="N43" s="92"/>
      <c r="O43" s="49">
        <v>0</v>
      </c>
      <c r="P43" s="115">
        <f t="shared" si="0"/>
        <v>0</v>
      </c>
      <c r="Q43" s="92"/>
      <c r="R43" s="49">
        <v>0</v>
      </c>
      <c r="S43" s="115">
        <f t="shared" si="1"/>
        <v>0</v>
      </c>
      <c r="T43" s="92"/>
      <c r="U43" s="49">
        <v>0</v>
      </c>
      <c r="V43" s="115">
        <f t="shared" si="2"/>
        <v>0</v>
      </c>
      <c r="W43" s="92"/>
      <c r="X43" s="49">
        <v>0</v>
      </c>
      <c r="Y43" s="115">
        <f t="shared" si="3"/>
        <v>0</v>
      </c>
      <c r="Z43" s="92"/>
      <c r="AA43" s="49">
        <v>0</v>
      </c>
      <c r="AB43" s="115">
        <f t="shared" si="4"/>
        <v>0</v>
      </c>
      <c r="AC43" s="92"/>
      <c r="AD43" s="49">
        <v>0</v>
      </c>
      <c r="AE43" s="115">
        <f t="shared" si="5"/>
        <v>0</v>
      </c>
      <c r="AF43" s="92"/>
      <c r="AG43" s="49">
        <v>0</v>
      </c>
      <c r="AH43" s="115">
        <f t="shared" si="6"/>
        <v>0</v>
      </c>
      <c r="AI43" s="92"/>
      <c r="AL43" s="92"/>
      <c r="AM43" s="92"/>
      <c r="AN43" s="92"/>
      <c r="AS43" s="332"/>
      <c r="AT43" s="332"/>
    </row>
    <row r="44" spans="3:46" x14ac:dyDescent="0.25">
      <c r="C44" s="100" t="str">
        <f>'MP Calculations'!D71</f>
        <v>2027-28</v>
      </c>
      <c r="D44" s="249">
        <f>IF(LEFT($C44,4)*1&lt;LEFT('General inputs'!$I$16,4)+'General inputs'!$H$38,SUM(G44,J44,M44,P44,S44,V44,Y44,AB44,AE44,AH44),"")</f>
        <v>5042.1620640995216</v>
      </c>
      <c r="E44" s="92"/>
      <c r="F44" s="296"/>
      <c r="G44" s="305">
        <v>2119.1659529335725</v>
      </c>
      <c r="H44" s="92"/>
      <c r="I44" s="296"/>
      <c r="J44" s="305">
        <v>1060.7480143073635</v>
      </c>
      <c r="K44" s="92"/>
      <c r="L44" s="296"/>
      <c r="M44" s="305">
        <v>1862.2480968585853</v>
      </c>
      <c r="N44" s="92"/>
      <c r="O44" s="49">
        <v>0</v>
      </c>
      <c r="P44" s="115">
        <f t="shared" ref="P44:P75" si="8">O44*$P$9/$F$6</f>
        <v>0</v>
      </c>
      <c r="Q44" s="92"/>
      <c r="R44" s="49">
        <v>0</v>
      </c>
      <c r="S44" s="115">
        <f t="shared" ref="S44:S75" si="9">R44*$S$9/$F$6</f>
        <v>0</v>
      </c>
      <c r="T44" s="92"/>
      <c r="U44" s="49">
        <v>0</v>
      </c>
      <c r="V44" s="115">
        <f t="shared" ref="V44:V75" si="10">U44*$V$9/$F$6</f>
        <v>0</v>
      </c>
      <c r="W44" s="92"/>
      <c r="X44" s="49">
        <v>0</v>
      </c>
      <c r="Y44" s="115">
        <f t="shared" ref="Y44:Y75" si="11">X44*$Y$9/$F$6</f>
        <v>0</v>
      </c>
      <c r="Z44" s="92"/>
      <c r="AA44" s="49">
        <v>0</v>
      </c>
      <c r="AB44" s="115">
        <f t="shared" ref="AB44:AB75" si="12">AA44*$AB$9/$F$6</f>
        <v>0</v>
      </c>
      <c r="AC44" s="92"/>
      <c r="AD44" s="49">
        <v>0</v>
      </c>
      <c r="AE44" s="115">
        <f t="shared" ref="AE44:AE75" si="13">AD44*$AE$9/$F$6</f>
        <v>0</v>
      </c>
      <c r="AF44" s="92"/>
      <c r="AG44" s="49">
        <v>0</v>
      </c>
      <c r="AH44" s="115">
        <f t="shared" ref="AH44:AH75" si="14">AG44*$AH$9/$F$6</f>
        <v>0</v>
      </c>
      <c r="AI44" s="92"/>
      <c r="AL44" s="92"/>
      <c r="AM44" s="92"/>
      <c r="AN44" s="92"/>
      <c r="AS44" s="332"/>
      <c r="AT44" s="332"/>
    </row>
    <row r="45" spans="3:46" x14ac:dyDescent="0.25">
      <c r="C45" s="100" t="str">
        <f>'MP Calculations'!D72</f>
        <v>2028-29</v>
      </c>
      <c r="D45" s="249">
        <f>IF(LEFT($C45,4)*1&lt;LEFT('General inputs'!$I$16,4)+'General inputs'!$H$38,SUM(G45,J45,M45,P45,S45,V45,Y45,AB45,AE45,AH45),"")</f>
        <v>6425.2264302902422</v>
      </c>
      <c r="E45" s="92"/>
      <c r="F45" s="296"/>
      <c r="G45" s="305">
        <v>2787.6267474510782</v>
      </c>
      <c r="H45" s="92"/>
      <c r="I45" s="296"/>
      <c r="J45" s="305">
        <v>1470.092815424744</v>
      </c>
      <c r="K45" s="92"/>
      <c r="L45" s="296"/>
      <c r="M45" s="305">
        <v>2167.50686741442</v>
      </c>
      <c r="N45" s="92"/>
      <c r="O45" s="49">
        <v>0</v>
      </c>
      <c r="P45" s="115">
        <f t="shared" si="8"/>
        <v>0</v>
      </c>
      <c r="Q45" s="92"/>
      <c r="R45" s="49">
        <v>0</v>
      </c>
      <c r="S45" s="115">
        <f t="shared" si="9"/>
        <v>0</v>
      </c>
      <c r="T45" s="92"/>
      <c r="U45" s="49">
        <v>0</v>
      </c>
      <c r="V45" s="115">
        <f t="shared" si="10"/>
        <v>0</v>
      </c>
      <c r="W45" s="92"/>
      <c r="X45" s="49">
        <v>0</v>
      </c>
      <c r="Y45" s="115">
        <f t="shared" si="11"/>
        <v>0</v>
      </c>
      <c r="Z45" s="92"/>
      <c r="AA45" s="49">
        <v>0</v>
      </c>
      <c r="AB45" s="115">
        <f t="shared" si="12"/>
        <v>0</v>
      </c>
      <c r="AC45" s="92"/>
      <c r="AD45" s="49">
        <v>0</v>
      </c>
      <c r="AE45" s="115">
        <f t="shared" si="13"/>
        <v>0</v>
      </c>
      <c r="AF45" s="92"/>
      <c r="AG45" s="49">
        <v>0</v>
      </c>
      <c r="AH45" s="115">
        <f t="shared" si="14"/>
        <v>0</v>
      </c>
      <c r="AI45" s="92"/>
      <c r="AL45" s="92"/>
      <c r="AM45" s="92"/>
      <c r="AN45" s="92"/>
      <c r="AS45" s="332"/>
      <c r="AT45" s="332"/>
    </row>
    <row r="46" spans="3:46" x14ac:dyDescent="0.25">
      <c r="C46" s="100" t="str">
        <f>'MP Calculations'!D73</f>
        <v>2029-30</v>
      </c>
      <c r="D46" s="249">
        <f>IF(LEFT($C46,4)*1&lt;LEFT('General inputs'!$I$16,4)+'General inputs'!$H$38,SUM(G46,J46,M46,P46,S46,V46,Y46,AB46,AE46,AH46),"")</f>
        <v>5962.7943466028983</v>
      </c>
      <c r="E46" s="92"/>
      <c r="F46" s="296"/>
      <c r="G46" s="305">
        <v>2509.6047096659713</v>
      </c>
      <c r="H46" s="92"/>
      <c r="I46" s="296"/>
      <c r="J46" s="305">
        <v>1282.4951337009907</v>
      </c>
      <c r="K46" s="92"/>
      <c r="L46" s="296"/>
      <c r="M46" s="305">
        <v>2170.6945032359363</v>
      </c>
      <c r="N46" s="92"/>
      <c r="O46" s="49">
        <v>0</v>
      </c>
      <c r="P46" s="115">
        <f t="shared" si="8"/>
        <v>0</v>
      </c>
      <c r="Q46" s="92"/>
      <c r="R46" s="49">
        <v>0</v>
      </c>
      <c r="S46" s="115">
        <f t="shared" si="9"/>
        <v>0</v>
      </c>
      <c r="T46" s="92"/>
      <c r="U46" s="49">
        <v>0</v>
      </c>
      <c r="V46" s="115">
        <f t="shared" si="10"/>
        <v>0</v>
      </c>
      <c r="W46" s="92"/>
      <c r="X46" s="49">
        <v>0</v>
      </c>
      <c r="Y46" s="115">
        <f t="shared" si="11"/>
        <v>0</v>
      </c>
      <c r="Z46" s="92"/>
      <c r="AA46" s="49">
        <v>0</v>
      </c>
      <c r="AB46" s="115">
        <f t="shared" si="12"/>
        <v>0</v>
      </c>
      <c r="AC46" s="92"/>
      <c r="AD46" s="49">
        <v>0</v>
      </c>
      <c r="AE46" s="115">
        <f t="shared" si="13"/>
        <v>0</v>
      </c>
      <c r="AF46" s="92"/>
      <c r="AG46" s="49">
        <v>0</v>
      </c>
      <c r="AH46" s="115">
        <f t="shared" si="14"/>
        <v>0</v>
      </c>
      <c r="AI46" s="92"/>
      <c r="AL46" s="92"/>
      <c r="AM46" s="92"/>
      <c r="AN46" s="92"/>
      <c r="AS46" s="332"/>
      <c r="AT46" s="332"/>
    </row>
    <row r="47" spans="3:46" x14ac:dyDescent="0.25">
      <c r="C47" s="100" t="str">
        <f>'MP Calculations'!D74</f>
        <v>2030-31</v>
      </c>
      <c r="D47" s="249">
        <f>IF(LEFT($C47,4)*1&lt;LEFT('General inputs'!$I$16,4)+'General inputs'!$H$38,SUM(G47,J47,M47,P47,S47,V47,Y47,AB47,AE47,AH47),"")</f>
        <v>10613.809322035488</v>
      </c>
      <c r="E47" s="92"/>
      <c r="F47" s="296"/>
      <c r="G47" s="305">
        <v>4087.5355942259575</v>
      </c>
      <c r="H47" s="92"/>
      <c r="I47" s="296"/>
      <c r="J47" s="305">
        <v>2478.9879470918859</v>
      </c>
      <c r="K47" s="92"/>
      <c r="L47" s="296"/>
      <c r="M47" s="305">
        <v>4047.2857807176442</v>
      </c>
      <c r="N47" s="92"/>
      <c r="O47" s="49">
        <v>0</v>
      </c>
      <c r="P47" s="115">
        <f t="shared" si="8"/>
        <v>0</v>
      </c>
      <c r="Q47" s="92"/>
      <c r="R47" s="49">
        <v>0</v>
      </c>
      <c r="S47" s="115">
        <f t="shared" si="9"/>
        <v>0</v>
      </c>
      <c r="T47" s="92"/>
      <c r="U47" s="49">
        <v>0</v>
      </c>
      <c r="V47" s="115">
        <f t="shared" si="10"/>
        <v>0</v>
      </c>
      <c r="W47" s="92"/>
      <c r="X47" s="49">
        <v>0</v>
      </c>
      <c r="Y47" s="115">
        <f t="shared" si="11"/>
        <v>0</v>
      </c>
      <c r="Z47" s="92"/>
      <c r="AA47" s="49">
        <v>0</v>
      </c>
      <c r="AB47" s="115">
        <f t="shared" si="12"/>
        <v>0</v>
      </c>
      <c r="AC47" s="92"/>
      <c r="AD47" s="49">
        <v>0</v>
      </c>
      <c r="AE47" s="115">
        <f t="shared" si="13"/>
        <v>0</v>
      </c>
      <c r="AF47" s="92"/>
      <c r="AG47" s="49">
        <v>0</v>
      </c>
      <c r="AH47" s="115">
        <f t="shared" si="14"/>
        <v>0</v>
      </c>
      <c r="AI47" s="92"/>
      <c r="AL47" s="92"/>
      <c r="AM47" s="92"/>
      <c r="AN47" s="92"/>
      <c r="AS47" s="332"/>
      <c r="AT47" s="332"/>
    </row>
    <row r="48" spans="3:46" x14ac:dyDescent="0.25">
      <c r="C48" s="100" t="str">
        <f>'MP Calculations'!D75</f>
        <v>2031-32</v>
      </c>
      <c r="D48" s="249">
        <f>IF(LEFT($C48,4)*1&lt;LEFT('General inputs'!$I$16,4)+'General inputs'!$H$38,SUM(G48,J48,M48,P48,S48,V48,Y48,AB48,AE48,AH48),"")</f>
        <v>11159.647945820772</v>
      </c>
      <c r="E48" s="92"/>
      <c r="F48" s="296"/>
      <c r="G48" s="305">
        <v>4206.4572493709302</v>
      </c>
      <c r="H48" s="92"/>
      <c r="I48" s="296"/>
      <c r="J48" s="305">
        <v>2704.0460893713971</v>
      </c>
      <c r="K48" s="92"/>
      <c r="L48" s="296"/>
      <c r="M48" s="305">
        <v>4249.1446070784459</v>
      </c>
      <c r="N48" s="92"/>
      <c r="O48" s="49">
        <v>0</v>
      </c>
      <c r="P48" s="115">
        <f t="shared" si="8"/>
        <v>0</v>
      </c>
      <c r="Q48" s="92"/>
      <c r="R48" s="49">
        <v>0</v>
      </c>
      <c r="S48" s="115">
        <f t="shared" si="9"/>
        <v>0</v>
      </c>
      <c r="T48" s="92"/>
      <c r="U48" s="49">
        <v>0</v>
      </c>
      <c r="V48" s="115">
        <f t="shared" si="10"/>
        <v>0</v>
      </c>
      <c r="W48" s="92"/>
      <c r="X48" s="49">
        <v>0</v>
      </c>
      <c r="Y48" s="115">
        <f t="shared" si="11"/>
        <v>0</v>
      </c>
      <c r="Z48" s="92"/>
      <c r="AA48" s="49">
        <v>0</v>
      </c>
      <c r="AB48" s="115">
        <f t="shared" si="12"/>
        <v>0</v>
      </c>
      <c r="AC48" s="92"/>
      <c r="AD48" s="49">
        <v>0</v>
      </c>
      <c r="AE48" s="115">
        <f t="shared" si="13"/>
        <v>0</v>
      </c>
      <c r="AF48" s="92"/>
      <c r="AG48" s="49">
        <v>0</v>
      </c>
      <c r="AH48" s="115">
        <f t="shared" si="14"/>
        <v>0</v>
      </c>
      <c r="AI48" s="92"/>
      <c r="AL48" s="92"/>
      <c r="AM48" s="92"/>
      <c r="AN48" s="92"/>
      <c r="AS48" s="332"/>
      <c r="AT48" s="332"/>
    </row>
    <row r="49" spans="3:46" x14ac:dyDescent="0.25">
      <c r="C49" s="100" t="str">
        <f>'MP Calculations'!D76</f>
        <v>2032-33</v>
      </c>
      <c r="D49" s="249">
        <f>IF(LEFT($C49,4)*1&lt;LEFT('General inputs'!$I$16,4)+'General inputs'!$H$38,SUM(G49,J49,M49,P49,S49,V49,Y49,AB49,AE49,AH49),"")</f>
        <v>11326.239015486859</v>
      </c>
      <c r="E49" s="92"/>
      <c r="F49" s="296"/>
      <c r="G49" s="305">
        <v>4277.8915934144525</v>
      </c>
      <c r="H49" s="92"/>
      <c r="I49" s="296"/>
      <c r="J49" s="305">
        <v>2669.2948518071889</v>
      </c>
      <c r="K49" s="92"/>
      <c r="L49" s="296"/>
      <c r="M49" s="305">
        <v>4379.0525702652185</v>
      </c>
      <c r="N49" s="92"/>
      <c r="O49" s="49">
        <v>0</v>
      </c>
      <c r="P49" s="115">
        <f t="shared" si="8"/>
        <v>0</v>
      </c>
      <c r="Q49" s="92"/>
      <c r="R49" s="49">
        <v>0</v>
      </c>
      <c r="S49" s="115">
        <f t="shared" si="9"/>
        <v>0</v>
      </c>
      <c r="T49" s="92"/>
      <c r="U49" s="49">
        <v>0</v>
      </c>
      <c r="V49" s="115">
        <f t="shared" si="10"/>
        <v>0</v>
      </c>
      <c r="W49" s="92"/>
      <c r="X49" s="49">
        <v>0</v>
      </c>
      <c r="Y49" s="115">
        <f t="shared" si="11"/>
        <v>0</v>
      </c>
      <c r="Z49" s="92"/>
      <c r="AA49" s="49">
        <v>0</v>
      </c>
      <c r="AB49" s="115">
        <f t="shared" si="12"/>
        <v>0</v>
      </c>
      <c r="AC49" s="92"/>
      <c r="AD49" s="49">
        <v>0</v>
      </c>
      <c r="AE49" s="115">
        <f t="shared" si="13"/>
        <v>0</v>
      </c>
      <c r="AF49" s="92"/>
      <c r="AG49" s="49">
        <v>0</v>
      </c>
      <c r="AH49" s="115">
        <f t="shared" si="14"/>
        <v>0</v>
      </c>
      <c r="AI49" s="92"/>
      <c r="AL49" s="92"/>
      <c r="AM49" s="92"/>
      <c r="AN49" s="92"/>
      <c r="AS49" s="332"/>
      <c r="AT49" s="332"/>
    </row>
    <row r="50" spans="3:46" x14ac:dyDescent="0.25">
      <c r="C50" s="100" t="str">
        <f>'MP Calculations'!D77</f>
        <v>2033-34</v>
      </c>
      <c r="D50" s="249">
        <f>IF(LEFT($C50,4)*1&lt;LEFT('General inputs'!$I$16,4)+'General inputs'!$H$38,SUM(G50,J50,M50,P50,S50,V50,Y50,AB50,AE50,AH50),"")</f>
        <v>12432.568597243897</v>
      </c>
      <c r="E50" s="92"/>
      <c r="F50" s="296"/>
      <c r="G50" s="305">
        <v>4741.2783407439547</v>
      </c>
      <c r="H50" s="92"/>
      <c r="I50" s="296"/>
      <c r="J50" s="305">
        <v>2850.9991808111408</v>
      </c>
      <c r="K50" s="92"/>
      <c r="L50" s="296"/>
      <c r="M50" s="305">
        <v>4840.2910756888014</v>
      </c>
      <c r="N50" s="92"/>
      <c r="O50" s="49">
        <v>0</v>
      </c>
      <c r="P50" s="115">
        <f t="shared" si="8"/>
        <v>0</v>
      </c>
      <c r="Q50" s="92"/>
      <c r="R50" s="49">
        <v>0</v>
      </c>
      <c r="S50" s="115">
        <f t="shared" si="9"/>
        <v>0</v>
      </c>
      <c r="T50" s="92"/>
      <c r="U50" s="49">
        <v>0</v>
      </c>
      <c r="V50" s="115">
        <f t="shared" si="10"/>
        <v>0</v>
      </c>
      <c r="W50" s="92"/>
      <c r="X50" s="49">
        <v>0</v>
      </c>
      <c r="Y50" s="115">
        <f t="shared" si="11"/>
        <v>0</v>
      </c>
      <c r="Z50" s="92"/>
      <c r="AA50" s="49">
        <v>0</v>
      </c>
      <c r="AB50" s="115">
        <f t="shared" si="12"/>
        <v>0</v>
      </c>
      <c r="AC50" s="92"/>
      <c r="AD50" s="49">
        <v>0</v>
      </c>
      <c r="AE50" s="115">
        <f t="shared" si="13"/>
        <v>0</v>
      </c>
      <c r="AF50" s="92"/>
      <c r="AG50" s="49">
        <v>0</v>
      </c>
      <c r="AH50" s="115">
        <f t="shared" si="14"/>
        <v>0</v>
      </c>
      <c r="AI50" s="92"/>
      <c r="AL50" s="92"/>
      <c r="AM50" s="92"/>
      <c r="AN50" s="92"/>
      <c r="AS50" s="332"/>
      <c r="AT50" s="332"/>
    </row>
    <row r="51" spans="3:46" x14ac:dyDescent="0.25">
      <c r="C51" s="100" t="str">
        <f>'MP Calculations'!D78</f>
        <v>2034-35</v>
      </c>
      <c r="D51" s="249">
        <f>IF(LEFT($C51,4)*1&lt;LEFT('General inputs'!$I$16,4)+'General inputs'!$H$38,SUM(G51,J51,M51,P51,S51,V51,Y51,AB51,AE51,AH51),"")</f>
        <v>11673.910888994786</v>
      </c>
      <c r="E51" s="92"/>
      <c r="F51" s="296"/>
      <c r="G51" s="305">
        <v>4423.5023674344438</v>
      </c>
      <c r="H51" s="92"/>
      <c r="I51" s="296"/>
      <c r="J51" s="305">
        <v>2689.062703074218</v>
      </c>
      <c r="K51" s="92"/>
      <c r="L51" s="296"/>
      <c r="M51" s="305">
        <v>4561.3458184861247</v>
      </c>
      <c r="N51" s="92"/>
      <c r="O51" s="49">
        <v>0</v>
      </c>
      <c r="P51" s="115">
        <f t="shared" si="8"/>
        <v>0</v>
      </c>
      <c r="Q51" s="92"/>
      <c r="R51" s="49">
        <v>0</v>
      </c>
      <c r="S51" s="115">
        <f t="shared" si="9"/>
        <v>0</v>
      </c>
      <c r="T51" s="92"/>
      <c r="U51" s="49">
        <v>0</v>
      </c>
      <c r="V51" s="115">
        <f t="shared" si="10"/>
        <v>0</v>
      </c>
      <c r="W51" s="92"/>
      <c r="X51" s="49">
        <v>0</v>
      </c>
      <c r="Y51" s="115">
        <f t="shared" si="11"/>
        <v>0</v>
      </c>
      <c r="Z51" s="92"/>
      <c r="AA51" s="49">
        <v>0</v>
      </c>
      <c r="AB51" s="115">
        <f t="shared" si="12"/>
        <v>0</v>
      </c>
      <c r="AC51" s="92"/>
      <c r="AD51" s="49">
        <v>0</v>
      </c>
      <c r="AE51" s="115">
        <f t="shared" si="13"/>
        <v>0</v>
      </c>
      <c r="AF51" s="92"/>
      <c r="AG51" s="49">
        <v>0</v>
      </c>
      <c r="AH51" s="115">
        <f t="shared" si="14"/>
        <v>0</v>
      </c>
      <c r="AI51" s="92"/>
      <c r="AL51" s="92"/>
      <c r="AM51" s="92"/>
      <c r="AN51" s="92"/>
      <c r="AS51" s="332"/>
      <c r="AT51" s="332"/>
    </row>
    <row r="52" spans="3:46" x14ac:dyDescent="0.25">
      <c r="C52" s="100" t="str">
        <f>'MP Calculations'!D79</f>
        <v>2035-36</v>
      </c>
      <c r="D52" s="249">
        <f>IF(LEFT($C52,4)*1&lt;LEFT('General inputs'!$I$16,4)+'General inputs'!$H$38,SUM(G52,J52,M52,P52,S52,V52,Y52,AB52,AE52,AH52),"")</f>
        <v>11767.11489961392</v>
      </c>
      <c r="E52" s="92"/>
      <c r="F52" s="296"/>
      <c r="G52" s="305">
        <v>4477.7590559622731</v>
      </c>
      <c r="H52" s="92"/>
      <c r="I52" s="296"/>
      <c r="J52" s="305">
        <v>2806.1342282924497</v>
      </c>
      <c r="K52" s="92"/>
      <c r="L52" s="296"/>
      <c r="M52" s="305">
        <v>4483.221615359198</v>
      </c>
      <c r="N52" s="92"/>
      <c r="O52" s="49">
        <v>0</v>
      </c>
      <c r="P52" s="115">
        <f t="shared" si="8"/>
        <v>0</v>
      </c>
      <c r="Q52" s="92"/>
      <c r="R52" s="49">
        <v>0</v>
      </c>
      <c r="S52" s="115">
        <f t="shared" si="9"/>
        <v>0</v>
      </c>
      <c r="T52" s="92"/>
      <c r="U52" s="49">
        <v>0</v>
      </c>
      <c r="V52" s="115">
        <f t="shared" si="10"/>
        <v>0</v>
      </c>
      <c r="W52" s="92"/>
      <c r="X52" s="49">
        <v>0</v>
      </c>
      <c r="Y52" s="115">
        <f t="shared" si="11"/>
        <v>0</v>
      </c>
      <c r="Z52" s="92"/>
      <c r="AA52" s="49">
        <v>0</v>
      </c>
      <c r="AB52" s="115">
        <f t="shared" si="12"/>
        <v>0</v>
      </c>
      <c r="AC52" s="92"/>
      <c r="AD52" s="49">
        <v>0</v>
      </c>
      <c r="AE52" s="115">
        <f t="shared" si="13"/>
        <v>0</v>
      </c>
      <c r="AF52" s="92"/>
      <c r="AG52" s="49">
        <v>0</v>
      </c>
      <c r="AH52" s="115">
        <f t="shared" si="14"/>
        <v>0</v>
      </c>
      <c r="AI52" s="92"/>
      <c r="AL52" s="92"/>
      <c r="AM52" s="92"/>
      <c r="AN52" s="92"/>
      <c r="AS52" s="332"/>
      <c r="AT52" s="332"/>
    </row>
    <row r="53" spans="3:46" x14ac:dyDescent="0.25">
      <c r="C53" s="100" t="str">
        <f>'MP Calculations'!D80</f>
        <v>2036-37</v>
      </c>
      <c r="D53" s="249">
        <f>IF(LEFT($C53,4)*1&lt;LEFT('General inputs'!$I$16,4)+'General inputs'!$H$38,SUM(G53,J53,M53,P53,S53,V53,Y53,AB53,AE53,AH53),"")</f>
        <v>12452.578176018262</v>
      </c>
      <c r="E53" s="92"/>
      <c r="F53" s="296"/>
      <c r="G53" s="305">
        <v>4743.6332251602571</v>
      </c>
      <c r="H53" s="92"/>
      <c r="I53" s="296"/>
      <c r="J53" s="305">
        <v>2653.1140177091524</v>
      </c>
      <c r="K53" s="92"/>
      <c r="L53" s="296"/>
      <c r="M53" s="305">
        <v>5055.8309331488535</v>
      </c>
      <c r="N53" s="92"/>
      <c r="O53" s="49">
        <v>0</v>
      </c>
      <c r="P53" s="115">
        <f t="shared" si="8"/>
        <v>0</v>
      </c>
      <c r="Q53" s="92"/>
      <c r="R53" s="49">
        <v>0</v>
      </c>
      <c r="S53" s="115">
        <f t="shared" si="9"/>
        <v>0</v>
      </c>
      <c r="T53" s="92"/>
      <c r="U53" s="49">
        <v>0</v>
      </c>
      <c r="V53" s="115">
        <f t="shared" si="10"/>
        <v>0</v>
      </c>
      <c r="W53" s="92"/>
      <c r="X53" s="49">
        <v>0</v>
      </c>
      <c r="Y53" s="115">
        <f t="shared" si="11"/>
        <v>0</v>
      </c>
      <c r="Z53" s="92"/>
      <c r="AA53" s="49">
        <v>0</v>
      </c>
      <c r="AB53" s="115">
        <f t="shared" si="12"/>
        <v>0</v>
      </c>
      <c r="AC53" s="92"/>
      <c r="AD53" s="49">
        <v>0</v>
      </c>
      <c r="AE53" s="115">
        <f t="shared" si="13"/>
        <v>0</v>
      </c>
      <c r="AF53" s="92"/>
      <c r="AG53" s="49">
        <v>0</v>
      </c>
      <c r="AH53" s="115">
        <f t="shared" si="14"/>
        <v>0</v>
      </c>
      <c r="AI53" s="92"/>
      <c r="AL53" s="92"/>
      <c r="AM53" s="92"/>
      <c r="AN53" s="92"/>
      <c r="AS53" s="332"/>
      <c r="AT53" s="332"/>
    </row>
    <row r="54" spans="3:46" x14ac:dyDescent="0.25">
      <c r="C54" s="100" t="str">
        <f>'MP Calculations'!D81</f>
        <v>2037-38</v>
      </c>
      <c r="D54" s="249">
        <f>IF(LEFT($C54,4)*1&lt;LEFT('General inputs'!$I$16,4)+'General inputs'!$H$38,SUM(G54,J54,M54,P54,S54,V54,Y54,AB54,AE54,AH54),"")</f>
        <v>12727.336225038085</v>
      </c>
      <c r="E54" s="92"/>
      <c r="F54" s="296"/>
      <c r="G54" s="305">
        <v>4896.7929879214989</v>
      </c>
      <c r="H54" s="92"/>
      <c r="I54" s="296"/>
      <c r="J54" s="305">
        <v>2771.0639719380711</v>
      </c>
      <c r="K54" s="92"/>
      <c r="L54" s="296"/>
      <c r="M54" s="305">
        <v>5059.4792651785165</v>
      </c>
      <c r="N54" s="92"/>
      <c r="O54" s="49">
        <v>0</v>
      </c>
      <c r="P54" s="115">
        <f t="shared" si="8"/>
        <v>0</v>
      </c>
      <c r="Q54" s="92"/>
      <c r="R54" s="49">
        <v>0</v>
      </c>
      <c r="S54" s="115">
        <f t="shared" si="9"/>
        <v>0</v>
      </c>
      <c r="T54" s="92"/>
      <c r="U54" s="49">
        <v>0</v>
      </c>
      <c r="V54" s="115">
        <f t="shared" si="10"/>
        <v>0</v>
      </c>
      <c r="W54" s="92"/>
      <c r="X54" s="49">
        <v>0</v>
      </c>
      <c r="Y54" s="115">
        <f t="shared" si="11"/>
        <v>0</v>
      </c>
      <c r="Z54" s="92"/>
      <c r="AA54" s="49">
        <v>0</v>
      </c>
      <c r="AB54" s="115">
        <f t="shared" si="12"/>
        <v>0</v>
      </c>
      <c r="AC54" s="92"/>
      <c r="AD54" s="49">
        <v>0</v>
      </c>
      <c r="AE54" s="115">
        <f t="shared" si="13"/>
        <v>0</v>
      </c>
      <c r="AF54" s="92"/>
      <c r="AG54" s="49">
        <v>0</v>
      </c>
      <c r="AH54" s="115">
        <f t="shared" si="14"/>
        <v>0</v>
      </c>
      <c r="AI54" s="92"/>
      <c r="AL54" s="92"/>
      <c r="AM54" s="92"/>
      <c r="AN54" s="92"/>
      <c r="AS54" s="332"/>
      <c r="AT54" s="332"/>
    </row>
    <row r="55" spans="3:46" x14ac:dyDescent="0.25">
      <c r="C55" s="100" t="str">
        <f>'MP Calculations'!D82</f>
        <v>2038-39</v>
      </c>
      <c r="D55" s="249">
        <f>IF(LEFT($C55,4)*1&lt;LEFT('General inputs'!$I$16,4)+'General inputs'!$H$38,SUM(G55,J55,M55,P55,S55,V55,Y55,AB55,AE55,AH55),"")</f>
        <v>13491.110428983648</v>
      </c>
      <c r="E55" s="92"/>
      <c r="F55" s="296"/>
      <c r="G55" s="305">
        <v>5211.1869973498779</v>
      </c>
      <c r="H55" s="92"/>
      <c r="I55" s="296"/>
      <c r="J55" s="305">
        <v>2813.3861639309525</v>
      </c>
      <c r="K55" s="92"/>
      <c r="L55" s="296"/>
      <c r="M55" s="305">
        <v>5466.5372677028163</v>
      </c>
      <c r="N55" s="92"/>
      <c r="O55" s="49">
        <v>0</v>
      </c>
      <c r="P55" s="115">
        <f t="shared" si="8"/>
        <v>0</v>
      </c>
      <c r="Q55" s="92"/>
      <c r="R55" s="49">
        <v>0</v>
      </c>
      <c r="S55" s="115">
        <f t="shared" si="9"/>
        <v>0</v>
      </c>
      <c r="T55" s="92"/>
      <c r="U55" s="49">
        <v>0</v>
      </c>
      <c r="V55" s="115">
        <f t="shared" si="10"/>
        <v>0</v>
      </c>
      <c r="W55" s="92"/>
      <c r="X55" s="49">
        <v>0</v>
      </c>
      <c r="Y55" s="115">
        <f t="shared" si="11"/>
        <v>0</v>
      </c>
      <c r="Z55" s="92"/>
      <c r="AA55" s="49">
        <v>0</v>
      </c>
      <c r="AB55" s="115">
        <f t="shared" si="12"/>
        <v>0</v>
      </c>
      <c r="AC55" s="92"/>
      <c r="AD55" s="49">
        <v>0</v>
      </c>
      <c r="AE55" s="115">
        <f t="shared" si="13"/>
        <v>0</v>
      </c>
      <c r="AF55" s="92"/>
      <c r="AG55" s="49">
        <v>0</v>
      </c>
      <c r="AH55" s="115">
        <f t="shared" si="14"/>
        <v>0</v>
      </c>
      <c r="AI55" s="92"/>
      <c r="AL55" s="92"/>
      <c r="AM55" s="92"/>
      <c r="AN55" s="92"/>
      <c r="AS55" s="332"/>
      <c r="AT55" s="332"/>
    </row>
    <row r="56" spans="3:46" x14ac:dyDescent="0.25">
      <c r="C56" s="100" t="str">
        <f>'MP Calculations'!D83</f>
        <v>2039-40</v>
      </c>
      <c r="D56" s="249">
        <f>IF(LEFT($C56,4)*1&lt;LEFT('General inputs'!$I$16,4)+'General inputs'!$H$38,SUM(G56,J56,M56,P56,S56,V56,Y56,AB56,AE56,AH56),"")</f>
        <v>14139.47050406237</v>
      </c>
      <c r="E56" s="92"/>
      <c r="F56" s="296"/>
      <c r="G56" s="305">
        <v>5476.0640599355265</v>
      </c>
      <c r="H56" s="92"/>
      <c r="I56" s="296"/>
      <c r="J56" s="305">
        <v>3037.9446267740323</v>
      </c>
      <c r="K56" s="92"/>
      <c r="L56" s="296"/>
      <c r="M56" s="305">
        <v>5625.4618173528106</v>
      </c>
      <c r="N56" s="92"/>
      <c r="O56" s="49">
        <v>0</v>
      </c>
      <c r="P56" s="115">
        <f t="shared" si="8"/>
        <v>0</v>
      </c>
      <c r="Q56" s="92"/>
      <c r="R56" s="49">
        <v>0</v>
      </c>
      <c r="S56" s="115">
        <f t="shared" si="9"/>
        <v>0</v>
      </c>
      <c r="T56" s="92"/>
      <c r="U56" s="49">
        <v>0</v>
      </c>
      <c r="V56" s="115">
        <f t="shared" si="10"/>
        <v>0</v>
      </c>
      <c r="W56" s="92"/>
      <c r="X56" s="49">
        <v>0</v>
      </c>
      <c r="Y56" s="115">
        <f t="shared" si="11"/>
        <v>0</v>
      </c>
      <c r="Z56" s="92"/>
      <c r="AA56" s="49">
        <v>0</v>
      </c>
      <c r="AB56" s="115">
        <f t="shared" si="12"/>
        <v>0</v>
      </c>
      <c r="AC56" s="92"/>
      <c r="AD56" s="49">
        <v>0</v>
      </c>
      <c r="AE56" s="115">
        <f t="shared" si="13"/>
        <v>0</v>
      </c>
      <c r="AF56" s="92"/>
      <c r="AG56" s="49">
        <v>0</v>
      </c>
      <c r="AH56" s="115">
        <f t="shared" si="14"/>
        <v>0</v>
      </c>
      <c r="AI56" s="92"/>
      <c r="AL56" s="92"/>
      <c r="AM56" s="92"/>
      <c r="AN56" s="92"/>
      <c r="AS56" s="332"/>
      <c r="AT56" s="332"/>
    </row>
    <row r="57" spans="3:46" x14ac:dyDescent="0.25">
      <c r="C57" s="100" t="str">
        <f>'MP Calculations'!D84</f>
        <v>2040-41</v>
      </c>
      <c r="D57" s="249">
        <f>IF(LEFT($C57,4)*1&lt;LEFT('General inputs'!$I$16,4)+'General inputs'!$H$38,SUM(G57,J57,M57,P57,S57,V57,Y57,AB57,AE57,AH57),"")</f>
        <v>13673.622159593702</v>
      </c>
      <c r="E57" s="92"/>
      <c r="F57" s="296"/>
      <c r="G57" s="305">
        <v>5282.8139765929891</v>
      </c>
      <c r="H57" s="92"/>
      <c r="I57" s="296"/>
      <c r="J57" s="305">
        <v>2851.0685217222722</v>
      </c>
      <c r="K57" s="92"/>
      <c r="L57" s="296"/>
      <c r="M57" s="305">
        <v>5539.7396612784414</v>
      </c>
      <c r="N57" s="92"/>
      <c r="O57" s="49">
        <v>0</v>
      </c>
      <c r="P57" s="115">
        <f t="shared" si="8"/>
        <v>0</v>
      </c>
      <c r="Q57" s="92"/>
      <c r="R57" s="49">
        <v>0</v>
      </c>
      <c r="S57" s="115">
        <f t="shared" si="9"/>
        <v>0</v>
      </c>
      <c r="T57" s="92"/>
      <c r="U57" s="49">
        <v>0</v>
      </c>
      <c r="V57" s="115">
        <f t="shared" si="10"/>
        <v>0</v>
      </c>
      <c r="W57" s="92"/>
      <c r="X57" s="49">
        <v>0</v>
      </c>
      <c r="Y57" s="115">
        <f t="shared" si="11"/>
        <v>0</v>
      </c>
      <c r="Z57" s="92"/>
      <c r="AA57" s="49">
        <v>0</v>
      </c>
      <c r="AB57" s="115">
        <f t="shared" si="12"/>
        <v>0</v>
      </c>
      <c r="AC57" s="92"/>
      <c r="AD57" s="49">
        <v>0</v>
      </c>
      <c r="AE57" s="115">
        <f t="shared" si="13"/>
        <v>0</v>
      </c>
      <c r="AF57" s="92"/>
      <c r="AG57" s="49">
        <v>0</v>
      </c>
      <c r="AH57" s="115">
        <f t="shared" si="14"/>
        <v>0</v>
      </c>
      <c r="AI57" s="92"/>
      <c r="AL57" s="92"/>
      <c r="AM57" s="92"/>
      <c r="AN57" s="92"/>
      <c r="AS57" s="332"/>
      <c r="AT57" s="332"/>
    </row>
    <row r="58" spans="3:46" x14ac:dyDescent="0.25">
      <c r="C58" s="100" t="str">
        <f>'MP Calculations'!D85</f>
        <v>2041-42</v>
      </c>
      <c r="D58" s="249">
        <f>IF(LEFT($C58,4)*1&lt;LEFT('General inputs'!$I$16,4)+'General inputs'!$H$38,SUM(G58,J58,M58,P58,S58,V58,Y58,AB58,AE58,AH58),"")</f>
        <v>14022.299224170354</v>
      </c>
      <c r="E58" s="92"/>
      <c r="F58" s="296"/>
      <c r="G58" s="305">
        <v>5415.2568062463588</v>
      </c>
      <c r="H58" s="92"/>
      <c r="I58" s="296"/>
      <c r="J58" s="305">
        <v>2909.4684802528368</v>
      </c>
      <c r="K58" s="92"/>
      <c r="L58" s="296"/>
      <c r="M58" s="305">
        <v>5697.5739376711599</v>
      </c>
      <c r="N58" s="92"/>
      <c r="O58" s="49">
        <v>0</v>
      </c>
      <c r="P58" s="115">
        <f t="shared" si="8"/>
        <v>0</v>
      </c>
      <c r="Q58" s="92"/>
      <c r="R58" s="49">
        <v>0</v>
      </c>
      <c r="S58" s="115">
        <f t="shared" si="9"/>
        <v>0</v>
      </c>
      <c r="T58" s="92"/>
      <c r="U58" s="49">
        <v>0</v>
      </c>
      <c r="V58" s="115">
        <f t="shared" si="10"/>
        <v>0</v>
      </c>
      <c r="W58" s="92"/>
      <c r="X58" s="49">
        <v>0</v>
      </c>
      <c r="Y58" s="115">
        <f t="shared" si="11"/>
        <v>0</v>
      </c>
      <c r="Z58" s="92"/>
      <c r="AA58" s="49">
        <v>0</v>
      </c>
      <c r="AB58" s="115">
        <f t="shared" si="12"/>
        <v>0</v>
      </c>
      <c r="AC58" s="92"/>
      <c r="AD58" s="49">
        <v>0</v>
      </c>
      <c r="AE58" s="115">
        <f t="shared" si="13"/>
        <v>0</v>
      </c>
      <c r="AF58" s="92"/>
      <c r="AG58" s="49">
        <v>0</v>
      </c>
      <c r="AH58" s="115">
        <f t="shared" si="14"/>
        <v>0</v>
      </c>
      <c r="AI58" s="92"/>
      <c r="AL58" s="92"/>
      <c r="AM58" s="92"/>
      <c r="AN58" s="92"/>
      <c r="AS58" s="332"/>
      <c r="AT58" s="332"/>
    </row>
    <row r="59" spans="3:46" x14ac:dyDescent="0.25">
      <c r="C59" s="100" t="str">
        <f>'MP Calculations'!D86</f>
        <v>2042-43</v>
      </c>
      <c r="D59" s="249">
        <f>IF(LEFT($C59,4)*1&lt;LEFT('General inputs'!$I$16,4)+'General inputs'!$H$38,SUM(G59,J59,M59,P59,S59,V59,Y59,AB59,AE59,AH59),"")</f>
        <v>14307.412577175417</v>
      </c>
      <c r="E59" s="92"/>
      <c r="F59" s="296"/>
      <c r="G59" s="305">
        <v>5528.7320333213775</v>
      </c>
      <c r="H59" s="92"/>
      <c r="I59" s="296"/>
      <c r="J59" s="305">
        <v>2944.4675206068596</v>
      </c>
      <c r="K59" s="92"/>
      <c r="L59" s="296"/>
      <c r="M59" s="305">
        <v>5834.2130232471809</v>
      </c>
      <c r="N59" s="92"/>
      <c r="O59" s="49">
        <v>0</v>
      </c>
      <c r="P59" s="115">
        <f t="shared" si="8"/>
        <v>0</v>
      </c>
      <c r="Q59" s="92"/>
      <c r="R59" s="49">
        <v>0</v>
      </c>
      <c r="S59" s="115">
        <f t="shared" si="9"/>
        <v>0</v>
      </c>
      <c r="T59" s="92"/>
      <c r="U59" s="49">
        <v>0</v>
      </c>
      <c r="V59" s="115">
        <f t="shared" si="10"/>
        <v>0</v>
      </c>
      <c r="W59" s="92"/>
      <c r="X59" s="49">
        <v>0</v>
      </c>
      <c r="Y59" s="115">
        <f t="shared" si="11"/>
        <v>0</v>
      </c>
      <c r="Z59" s="92"/>
      <c r="AA59" s="49">
        <v>0</v>
      </c>
      <c r="AB59" s="115">
        <f t="shared" si="12"/>
        <v>0</v>
      </c>
      <c r="AC59" s="92"/>
      <c r="AD59" s="49">
        <v>0</v>
      </c>
      <c r="AE59" s="115">
        <f t="shared" si="13"/>
        <v>0</v>
      </c>
      <c r="AF59" s="92"/>
      <c r="AG59" s="49">
        <v>0</v>
      </c>
      <c r="AH59" s="115">
        <f t="shared" si="14"/>
        <v>0</v>
      </c>
      <c r="AI59" s="92"/>
      <c r="AL59" s="92"/>
      <c r="AM59" s="92"/>
      <c r="AN59" s="92"/>
      <c r="AS59" s="332"/>
      <c r="AT59" s="332"/>
    </row>
    <row r="60" spans="3:46" x14ac:dyDescent="0.25">
      <c r="C60" s="100" t="str">
        <f>'MP Calculations'!D87</f>
        <v>2043-44</v>
      </c>
      <c r="D60" s="249">
        <f>IF(LEFT($C60,4)*1&lt;LEFT('General inputs'!$I$16,4)+'General inputs'!$H$38,SUM(G60,J60,M60,P60,S60,V60,Y60,AB60,AE60,AH60),"")</f>
        <v>14602.589073393672</v>
      </c>
      <c r="E60" s="92"/>
      <c r="F60" s="296"/>
      <c r="G60" s="305">
        <v>5641.6914866695279</v>
      </c>
      <c r="H60" s="92"/>
      <c r="I60" s="296"/>
      <c r="J60" s="305">
        <v>2984.9516146608676</v>
      </c>
      <c r="K60" s="92"/>
      <c r="L60" s="296"/>
      <c r="M60" s="305">
        <v>5975.9459720632758</v>
      </c>
      <c r="N60" s="92"/>
      <c r="O60" s="49">
        <v>0</v>
      </c>
      <c r="P60" s="115">
        <f t="shared" si="8"/>
        <v>0</v>
      </c>
      <c r="Q60" s="92"/>
      <c r="R60" s="49">
        <v>0</v>
      </c>
      <c r="S60" s="115">
        <f t="shared" si="9"/>
        <v>0</v>
      </c>
      <c r="T60" s="92"/>
      <c r="U60" s="49">
        <v>0</v>
      </c>
      <c r="V60" s="115">
        <f t="shared" si="10"/>
        <v>0</v>
      </c>
      <c r="W60" s="92"/>
      <c r="X60" s="49">
        <v>0</v>
      </c>
      <c r="Y60" s="115">
        <f t="shared" si="11"/>
        <v>0</v>
      </c>
      <c r="Z60" s="92"/>
      <c r="AA60" s="49">
        <v>0</v>
      </c>
      <c r="AB60" s="115">
        <f t="shared" si="12"/>
        <v>0</v>
      </c>
      <c r="AC60" s="92"/>
      <c r="AD60" s="49">
        <v>0</v>
      </c>
      <c r="AE60" s="115">
        <f t="shared" si="13"/>
        <v>0</v>
      </c>
      <c r="AF60" s="92"/>
      <c r="AG60" s="49">
        <v>0</v>
      </c>
      <c r="AH60" s="115">
        <f t="shared" si="14"/>
        <v>0</v>
      </c>
      <c r="AI60" s="92"/>
      <c r="AL60" s="92"/>
      <c r="AM60" s="92"/>
      <c r="AN60" s="92"/>
      <c r="AS60" s="332"/>
      <c r="AT60" s="332"/>
    </row>
    <row r="61" spans="3:46" x14ac:dyDescent="0.25">
      <c r="C61" s="100" t="str">
        <f>'MP Calculations'!D88</f>
        <v>2044-45</v>
      </c>
      <c r="D61" s="249">
        <f>IF(LEFT($C61,4)*1&lt;LEFT('General inputs'!$I$16,4)+'General inputs'!$H$38,SUM(G61,J61,M61,P61,S61,V61,Y61,AB61,AE61,AH61),"")</f>
        <v>14894.153257956585</v>
      </c>
      <c r="E61" s="92"/>
      <c r="F61" s="296"/>
      <c r="G61" s="305">
        <v>5756.2984797474292</v>
      </c>
      <c r="H61" s="92"/>
      <c r="I61" s="296"/>
      <c r="J61" s="305">
        <v>3019.9506550148899</v>
      </c>
      <c r="K61" s="92"/>
      <c r="L61" s="296"/>
      <c r="M61" s="305">
        <v>6117.9041231942665</v>
      </c>
      <c r="N61" s="92"/>
      <c r="O61" s="49">
        <v>0</v>
      </c>
      <c r="P61" s="115">
        <f t="shared" si="8"/>
        <v>0</v>
      </c>
      <c r="Q61" s="92"/>
      <c r="R61" s="49">
        <v>0</v>
      </c>
      <c r="S61" s="115">
        <f t="shared" si="9"/>
        <v>0</v>
      </c>
      <c r="T61" s="92"/>
      <c r="U61" s="49">
        <v>0</v>
      </c>
      <c r="V61" s="115">
        <f t="shared" si="10"/>
        <v>0</v>
      </c>
      <c r="W61" s="92"/>
      <c r="X61" s="49">
        <v>0</v>
      </c>
      <c r="Y61" s="115">
        <f t="shared" si="11"/>
        <v>0</v>
      </c>
      <c r="Z61" s="92"/>
      <c r="AA61" s="49">
        <v>0</v>
      </c>
      <c r="AB61" s="115">
        <f t="shared" si="12"/>
        <v>0</v>
      </c>
      <c r="AC61" s="92"/>
      <c r="AD61" s="49">
        <v>0</v>
      </c>
      <c r="AE61" s="115">
        <f t="shared" si="13"/>
        <v>0</v>
      </c>
      <c r="AF61" s="92"/>
      <c r="AG61" s="49">
        <v>0</v>
      </c>
      <c r="AH61" s="115">
        <f t="shared" si="14"/>
        <v>0</v>
      </c>
      <c r="AI61" s="92"/>
      <c r="AL61" s="92"/>
      <c r="AM61" s="92"/>
      <c r="AN61" s="92"/>
      <c r="AS61" s="332"/>
      <c r="AT61" s="332"/>
    </row>
    <row r="62" spans="3:46" x14ac:dyDescent="0.25">
      <c r="C62" s="100" t="str">
        <f>'MP Calculations'!D89</f>
        <v>2045-46</v>
      </c>
      <c r="D62" s="249">
        <f>IF(LEFT($C62,4)*1&lt;LEFT('General inputs'!$I$16,4)+'General inputs'!$H$38,SUM(G62,J62,M62,P62,S62,V62,Y62,AB62,AE62,AH62),"")</f>
        <v>15196.003076459125</v>
      </c>
      <c r="E62" s="92"/>
      <c r="F62" s="296"/>
      <c r="G62" s="305">
        <v>5874.2005522848367</v>
      </c>
      <c r="H62" s="92"/>
      <c r="I62" s="296"/>
      <c r="J62" s="305">
        <v>3056.8003242071177</v>
      </c>
      <c r="K62" s="92"/>
      <c r="L62" s="296"/>
      <c r="M62" s="305">
        <v>6265.002199967169</v>
      </c>
      <c r="N62" s="92"/>
      <c r="O62" s="49">
        <v>0</v>
      </c>
      <c r="P62" s="115">
        <f t="shared" si="8"/>
        <v>0</v>
      </c>
      <c r="Q62" s="92"/>
      <c r="R62" s="49">
        <v>0</v>
      </c>
      <c r="S62" s="115">
        <f t="shared" si="9"/>
        <v>0</v>
      </c>
      <c r="T62" s="92"/>
      <c r="U62" s="49">
        <v>0</v>
      </c>
      <c r="V62" s="115">
        <f t="shared" si="10"/>
        <v>0</v>
      </c>
      <c r="W62" s="92"/>
      <c r="X62" s="49">
        <v>0</v>
      </c>
      <c r="Y62" s="115">
        <f t="shared" si="11"/>
        <v>0</v>
      </c>
      <c r="Z62" s="92"/>
      <c r="AA62" s="49">
        <v>0</v>
      </c>
      <c r="AB62" s="115">
        <f t="shared" si="12"/>
        <v>0</v>
      </c>
      <c r="AC62" s="92"/>
      <c r="AD62" s="49">
        <v>0</v>
      </c>
      <c r="AE62" s="115">
        <f t="shared" si="13"/>
        <v>0</v>
      </c>
      <c r="AF62" s="92"/>
      <c r="AG62" s="49">
        <v>0</v>
      </c>
      <c r="AH62" s="115">
        <f t="shared" si="14"/>
        <v>0</v>
      </c>
      <c r="AI62" s="92"/>
      <c r="AL62" s="92"/>
      <c r="AM62" s="92"/>
      <c r="AN62" s="92"/>
      <c r="AS62" s="332"/>
      <c r="AT62" s="332"/>
    </row>
    <row r="63" spans="3:46" x14ac:dyDescent="0.25">
      <c r="C63" s="100" t="str">
        <f>'MP Calculations'!D90</f>
        <v>2046-47</v>
      </c>
      <c r="D63" s="249">
        <f>IF(LEFT($C63,4)*1&lt;LEFT('General inputs'!$I$16,4)+'General inputs'!$H$38,SUM(G63,J63,M63,P63,S63,V63,Y63,AB63,AE63,AH63),"")</f>
        <v>0</v>
      </c>
      <c r="E63" s="92"/>
      <c r="F63" s="296"/>
      <c r="G63" s="305"/>
      <c r="H63" s="92"/>
      <c r="I63" s="296"/>
      <c r="J63" s="305"/>
      <c r="K63" s="92"/>
      <c r="L63" s="296"/>
      <c r="M63" s="305"/>
      <c r="N63" s="92"/>
      <c r="O63" s="49">
        <v>0</v>
      </c>
      <c r="P63" s="115">
        <f t="shared" si="8"/>
        <v>0</v>
      </c>
      <c r="Q63" s="92"/>
      <c r="R63" s="49">
        <v>0</v>
      </c>
      <c r="S63" s="115">
        <f t="shared" si="9"/>
        <v>0</v>
      </c>
      <c r="T63" s="92"/>
      <c r="U63" s="49">
        <v>0</v>
      </c>
      <c r="V63" s="115">
        <f t="shared" si="10"/>
        <v>0</v>
      </c>
      <c r="W63" s="92"/>
      <c r="X63" s="49">
        <v>0</v>
      </c>
      <c r="Y63" s="115">
        <f t="shared" si="11"/>
        <v>0</v>
      </c>
      <c r="Z63" s="92"/>
      <c r="AA63" s="49">
        <v>0</v>
      </c>
      <c r="AB63" s="115">
        <f t="shared" si="12"/>
        <v>0</v>
      </c>
      <c r="AC63" s="92"/>
      <c r="AD63" s="49">
        <v>0</v>
      </c>
      <c r="AE63" s="115">
        <f t="shared" si="13"/>
        <v>0</v>
      </c>
      <c r="AF63" s="92"/>
      <c r="AG63" s="49">
        <v>0</v>
      </c>
      <c r="AH63" s="115">
        <f t="shared" si="14"/>
        <v>0</v>
      </c>
      <c r="AI63" s="92"/>
      <c r="AL63" s="92"/>
      <c r="AM63" s="92"/>
      <c r="AN63" s="92"/>
      <c r="AS63" s="332"/>
      <c r="AT63" s="332"/>
    </row>
    <row r="64" spans="3:46" x14ac:dyDescent="0.25">
      <c r="C64" s="100" t="str">
        <f>'MP Calculations'!D91</f>
        <v>2047-48</v>
      </c>
      <c r="D64" s="249">
        <f>IF(LEFT($C64,4)*1&lt;LEFT('General inputs'!$I$16,4)+'General inputs'!$H$38,SUM(G64,J64,M64,P64,S64,V64,Y64,AB64,AE64,AH64),"")</f>
        <v>0</v>
      </c>
      <c r="E64" s="92"/>
      <c r="F64" s="296"/>
      <c r="G64" s="305"/>
      <c r="H64" s="92"/>
      <c r="I64" s="296"/>
      <c r="J64" s="305"/>
      <c r="K64" s="92"/>
      <c r="L64" s="296"/>
      <c r="M64" s="305"/>
      <c r="N64" s="92"/>
      <c r="O64" s="49">
        <v>0</v>
      </c>
      <c r="P64" s="115">
        <f t="shared" si="8"/>
        <v>0</v>
      </c>
      <c r="Q64" s="92"/>
      <c r="R64" s="49">
        <v>0</v>
      </c>
      <c r="S64" s="115">
        <f t="shared" si="9"/>
        <v>0</v>
      </c>
      <c r="T64" s="92"/>
      <c r="U64" s="49">
        <v>0</v>
      </c>
      <c r="V64" s="115">
        <f t="shared" si="10"/>
        <v>0</v>
      </c>
      <c r="W64" s="92"/>
      <c r="X64" s="49">
        <v>0</v>
      </c>
      <c r="Y64" s="115">
        <f t="shared" si="11"/>
        <v>0</v>
      </c>
      <c r="Z64" s="92"/>
      <c r="AA64" s="49">
        <v>0</v>
      </c>
      <c r="AB64" s="115">
        <f t="shared" si="12"/>
        <v>0</v>
      </c>
      <c r="AC64" s="92"/>
      <c r="AD64" s="49">
        <v>0</v>
      </c>
      <c r="AE64" s="115">
        <f t="shared" si="13"/>
        <v>0</v>
      </c>
      <c r="AF64" s="92"/>
      <c r="AG64" s="49">
        <v>0</v>
      </c>
      <c r="AH64" s="115">
        <f t="shared" si="14"/>
        <v>0</v>
      </c>
      <c r="AI64" s="92"/>
      <c r="AL64" s="92"/>
      <c r="AM64" s="92"/>
      <c r="AN64" s="92"/>
      <c r="AS64" s="332"/>
      <c r="AT64" s="332"/>
    </row>
    <row r="65" spans="3:46" x14ac:dyDescent="0.25">
      <c r="C65" s="100" t="str">
        <f>'MP Calculations'!D92</f>
        <v>2048-49</v>
      </c>
      <c r="D65" s="249">
        <f>IF(LEFT($C65,4)*1&lt;LEFT('General inputs'!$I$16,4)+'General inputs'!$H$38,SUM(G65,J65,M65,P65,S65,V65,Y65,AB65,AE65,AH65),"")</f>
        <v>0</v>
      </c>
      <c r="E65" s="92"/>
      <c r="F65" s="296"/>
      <c r="G65" s="305"/>
      <c r="H65" s="92"/>
      <c r="I65" s="296"/>
      <c r="J65" s="305"/>
      <c r="K65" s="92"/>
      <c r="L65" s="296"/>
      <c r="M65" s="305"/>
      <c r="N65" s="92"/>
      <c r="O65" s="49"/>
      <c r="P65" s="115">
        <f t="shared" si="8"/>
        <v>0</v>
      </c>
      <c r="Q65" s="92"/>
      <c r="R65" s="49"/>
      <c r="S65" s="115">
        <f t="shared" si="9"/>
        <v>0</v>
      </c>
      <c r="T65" s="92"/>
      <c r="U65" s="49"/>
      <c r="V65" s="115">
        <f t="shared" si="10"/>
        <v>0</v>
      </c>
      <c r="W65" s="92"/>
      <c r="X65" s="49"/>
      <c r="Y65" s="115">
        <f t="shared" si="11"/>
        <v>0</v>
      </c>
      <c r="Z65" s="92"/>
      <c r="AA65" s="49"/>
      <c r="AB65" s="115">
        <f t="shared" si="12"/>
        <v>0</v>
      </c>
      <c r="AC65" s="92"/>
      <c r="AD65" s="49"/>
      <c r="AE65" s="115">
        <f t="shared" si="13"/>
        <v>0</v>
      </c>
      <c r="AF65" s="92"/>
      <c r="AG65" s="49"/>
      <c r="AH65" s="115">
        <f t="shared" si="14"/>
        <v>0</v>
      </c>
      <c r="AI65" s="92"/>
      <c r="AL65" s="92"/>
      <c r="AM65" s="92"/>
      <c r="AN65" s="92"/>
      <c r="AS65" s="332"/>
      <c r="AT65" s="332"/>
    </row>
    <row r="66" spans="3:46" x14ac:dyDescent="0.25">
      <c r="C66" s="100" t="str">
        <f>'MP Calculations'!D93</f>
        <v>2049-50</v>
      </c>
      <c r="D66" s="249">
        <f>IF(LEFT($C66,4)*1&lt;LEFT('General inputs'!$I$16,4)+'General inputs'!$H$38,SUM(G66,J66,M66,P66,S66,V66,Y66,AB66,AE66,AH66),"")</f>
        <v>0</v>
      </c>
      <c r="E66" s="92"/>
      <c r="F66" s="296"/>
      <c r="G66" s="305"/>
      <c r="H66" s="92"/>
      <c r="I66" s="296"/>
      <c r="J66" s="305"/>
      <c r="K66" s="92"/>
      <c r="L66" s="296"/>
      <c r="M66" s="305"/>
      <c r="N66" s="92"/>
      <c r="O66" s="49"/>
      <c r="P66" s="115">
        <f t="shared" si="8"/>
        <v>0</v>
      </c>
      <c r="Q66" s="92"/>
      <c r="R66" s="49"/>
      <c r="S66" s="115">
        <f t="shared" si="9"/>
        <v>0</v>
      </c>
      <c r="T66" s="92"/>
      <c r="U66" s="49"/>
      <c r="V66" s="115">
        <f t="shared" si="10"/>
        <v>0</v>
      </c>
      <c r="W66" s="92"/>
      <c r="X66" s="49"/>
      <c r="Y66" s="115">
        <f t="shared" si="11"/>
        <v>0</v>
      </c>
      <c r="Z66" s="92"/>
      <c r="AA66" s="49"/>
      <c r="AB66" s="115">
        <f t="shared" si="12"/>
        <v>0</v>
      </c>
      <c r="AC66" s="92"/>
      <c r="AD66" s="49"/>
      <c r="AE66" s="115">
        <f t="shared" si="13"/>
        <v>0</v>
      </c>
      <c r="AF66" s="92"/>
      <c r="AG66" s="49"/>
      <c r="AH66" s="115">
        <f t="shared" si="14"/>
        <v>0</v>
      </c>
      <c r="AI66" s="92"/>
      <c r="AL66" s="92"/>
      <c r="AM66" s="92"/>
      <c r="AN66" s="92"/>
      <c r="AS66" s="332"/>
      <c r="AT66" s="332"/>
    </row>
    <row r="67" spans="3:46" x14ac:dyDescent="0.25">
      <c r="C67" s="100" t="str">
        <f>'MP Calculations'!D94</f>
        <v>2050-51</v>
      </c>
      <c r="D67" s="249">
        <f>IF(LEFT($C67,4)*1&lt;LEFT('General inputs'!$I$16,4)+'General inputs'!$H$38,SUM(G67,J67,M67,P67,S67,V67,Y67,AB67,AE67,AH67),"")</f>
        <v>0</v>
      </c>
      <c r="E67" s="92"/>
      <c r="F67" s="296"/>
      <c r="G67" s="305"/>
      <c r="H67" s="92"/>
      <c r="I67" s="296"/>
      <c r="J67" s="305"/>
      <c r="K67" s="92"/>
      <c r="L67" s="296"/>
      <c r="M67" s="305"/>
      <c r="N67" s="92"/>
      <c r="O67" s="49"/>
      <c r="P67" s="115">
        <f t="shared" si="8"/>
        <v>0</v>
      </c>
      <c r="Q67" s="92"/>
      <c r="R67" s="49"/>
      <c r="S67" s="115">
        <f t="shared" si="9"/>
        <v>0</v>
      </c>
      <c r="T67" s="92"/>
      <c r="U67" s="49"/>
      <c r="V67" s="115">
        <f t="shared" si="10"/>
        <v>0</v>
      </c>
      <c r="W67" s="92"/>
      <c r="X67" s="49"/>
      <c r="Y67" s="115">
        <f t="shared" si="11"/>
        <v>0</v>
      </c>
      <c r="Z67" s="92"/>
      <c r="AA67" s="49"/>
      <c r="AB67" s="115">
        <f t="shared" si="12"/>
        <v>0</v>
      </c>
      <c r="AC67" s="92"/>
      <c r="AD67" s="49"/>
      <c r="AE67" s="115">
        <f t="shared" si="13"/>
        <v>0</v>
      </c>
      <c r="AF67" s="92"/>
      <c r="AG67" s="49"/>
      <c r="AH67" s="115">
        <f t="shared" si="14"/>
        <v>0</v>
      </c>
      <c r="AI67" s="92"/>
      <c r="AL67" s="92"/>
      <c r="AM67" s="92"/>
      <c r="AN67" s="92"/>
      <c r="AS67" s="332"/>
      <c r="AT67" s="332"/>
    </row>
    <row r="68" spans="3:46" x14ac:dyDescent="0.25">
      <c r="C68" s="100" t="str">
        <f>'MP Calculations'!D95</f>
        <v>2051-52</v>
      </c>
      <c r="D68" s="249">
        <f>IF(LEFT($C68,4)*1&lt;LEFT('General inputs'!$I$16,4)+'General inputs'!$H$38,SUM(G68,J68,M68,P68,S68,V68,Y68,AB68,AE68,AH68),"")</f>
        <v>0</v>
      </c>
      <c r="E68" s="92"/>
      <c r="F68" s="296"/>
      <c r="G68" s="305"/>
      <c r="H68" s="92"/>
      <c r="I68" s="296"/>
      <c r="J68" s="305"/>
      <c r="K68" s="92"/>
      <c r="L68" s="296"/>
      <c r="M68" s="305"/>
      <c r="N68" s="92"/>
      <c r="O68" s="49"/>
      <c r="P68" s="115">
        <f t="shared" si="8"/>
        <v>0</v>
      </c>
      <c r="Q68" s="92"/>
      <c r="R68" s="49"/>
      <c r="S68" s="115">
        <f t="shared" si="9"/>
        <v>0</v>
      </c>
      <c r="T68" s="92"/>
      <c r="U68" s="49"/>
      <c r="V68" s="115">
        <f t="shared" si="10"/>
        <v>0</v>
      </c>
      <c r="W68" s="92"/>
      <c r="X68" s="49"/>
      <c r="Y68" s="115">
        <f t="shared" si="11"/>
        <v>0</v>
      </c>
      <c r="Z68" s="92"/>
      <c r="AA68" s="49"/>
      <c r="AB68" s="115">
        <f t="shared" si="12"/>
        <v>0</v>
      </c>
      <c r="AC68" s="92"/>
      <c r="AD68" s="49"/>
      <c r="AE68" s="115">
        <f t="shared" si="13"/>
        <v>0</v>
      </c>
      <c r="AF68" s="92"/>
      <c r="AG68" s="49"/>
      <c r="AH68" s="115">
        <f t="shared" si="14"/>
        <v>0</v>
      </c>
      <c r="AI68" s="92"/>
      <c r="AL68" s="92"/>
      <c r="AM68" s="92"/>
      <c r="AN68" s="92"/>
      <c r="AS68" s="332"/>
      <c r="AT68" s="332"/>
    </row>
    <row r="69" spans="3:46" x14ac:dyDescent="0.25">
      <c r="C69" s="100" t="str">
        <f>'MP Calculations'!D96</f>
        <v>2052-53</v>
      </c>
      <c r="D69" s="115" t="str">
        <f>IF(LEFT($C69,4)*1&lt;LEFT('General inputs'!$I$16,4)+'General inputs'!$H$38,SUM(G69,J69,M69,P69,S69,V69,Y69,AB69,AE69,AH69),"")</f>
        <v/>
      </c>
      <c r="E69" s="92"/>
      <c r="F69" s="49"/>
      <c r="G69" s="249"/>
      <c r="H69" s="92"/>
      <c r="I69" s="49"/>
      <c r="J69" s="249"/>
      <c r="K69" s="92"/>
      <c r="L69" s="250"/>
      <c r="M69" s="115"/>
      <c r="N69" s="92"/>
      <c r="O69" s="49"/>
      <c r="P69" s="115">
        <f t="shared" si="8"/>
        <v>0</v>
      </c>
      <c r="Q69" s="92"/>
      <c r="R69" s="49"/>
      <c r="S69" s="115">
        <f t="shared" si="9"/>
        <v>0</v>
      </c>
      <c r="T69" s="92"/>
      <c r="U69" s="49"/>
      <c r="V69" s="115">
        <f t="shared" si="10"/>
        <v>0</v>
      </c>
      <c r="W69" s="92"/>
      <c r="X69" s="49"/>
      <c r="Y69" s="115">
        <f t="shared" si="11"/>
        <v>0</v>
      </c>
      <c r="Z69" s="92"/>
      <c r="AA69" s="49"/>
      <c r="AB69" s="115">
        <f t="shared" si="12"/>
        <v>0</v>
      </c>
      <c r="AC69" s="92"/>
      <c r="AD69" s="49"/>
      <c r="AE69" s="115">
        <f t="shared" si="13"/>
        <v>0</v>
      </c>
      <c r="AF69" s="92"/>
      <c r="AG69" s="49"/>
      <c r="AH69" s="115">
        <f t="shared" si="14"/>
        <v>0</v>
      </c>
      <c r="AI69" s="92"/>
      <c r="AL69" s="92"/>
      <c r="AM69" s="92"/>
      <c r="AN69" s="92"/>
    </row>
    <row r="70" spans="3:46" x14ac:dyDescent="0.25">
      <c r="C70" s="100" t="str">
        <f>'MP Calculations'!D97</f>
        <v>2053-54</v>
      </c>
      <c r="D70" s="115" t="str">
        <f>IF(LEFT($C70,4)*1&lt;LEFT('General inputs'!$I$16,4)+'General inputs'!$H$38,SUM(G70,J70,M70,P70,S70,V70,Y70,AB70,AE70,AH70),"")</f>
        <v/>
      </c>
      <c r="E70" s="92"/>
      <c r="F70" s="49"/>
      <c r="G70" s="249"/>
      <c r="H70" s="92"/>
      <c r="I70" s="49"/>
      <c r="J70" s="249"/>
      <c r="K70" s="92"/>
      <c r="L70" s="250"/>
      <c r="M70" s="115"/>
      <c r="N70" s="92"/>
      <c r="O70" s="49"/>
      <c r="P70" s="115">
        <f t="shared" si="8"/>
        <v>0</v>
      </c>
      <c r="Q70" s="92"/>
      <c r="R70" s="49"/>
      <c r="S70" s="115">
        <f t="shared" si="9"/>
        <v>0</v>
      </c>
      <c r="T70" s="92"/>
      <c r="U70" s="49"/>
      <c r="V70" s="115">
        <f t="shared" si="10"/>
        <v>0</v>
      </c>
      <c r="W70" s="92"/>
      <c r="X70" s="49"/>
      <c r="Y70" s="115">
        <f t="shared" si="11"/>
        <v>0</v>
      </c>
      <c r="Z70" s="92"/>
      <c r="AA70" s="49"/>
      <c r="AB70" s="115">
        <f t="shared" si="12"/>
        <v>0</v>
      </c>
      <c r="AC70" s="92"/>
      <c r="AD70" s="49"/>
      <c r="AE70" s="115">
        <f t="shared" si="13"/>
        <v>0</v>
      </c>
      <c r="AF70" s="92"/>
      <c r="AG70" s="49"/>
      <c r="AH70" s="115">
        <f t="shared" si="14"/>
        <v>0</v>
      </c>
      <c r="AI70" s="92"/>
      <c r="AL70" s="92"/>
      <c r="AM70" s="92"/>
      <c r="AN70" s="92"/>
    </row>
    <row r="71" spans="3:46" x14ac:dyDescent="0.25">
      <c r="C71" s="100" t="str">
        <f>'MP Calculations'!D98</f>
        <v>2054-55</v>
      </c>
      <c r="D71" s="115" t="str">
        <f>IF(LEFT($C71,4)*1&lt;LEFT('General inputs'!$I$16,4)+'General inputs'!$H$38,SUM(G71,J71,M71,P71,S71,V71,Y71,AB71,AE71,AH71),"")</f>
        <v/>
      </c>
      <c r="E71" s="92"/>
      <c r="F71" s="49"/>
      <c r="G71" s="249"/>
      <c r="H71" s="92"/>
      <c r="I71" s="49"/>
      <c r="J71" s="249"/>
      <c r="K71" s="92"/>
      <c r="L71" s="250"/>
      <c r="M71" s="115"/>
      <c r="N71" s="92"/>
      <c r="O71" s="49"/>
      <c r="P71" s="115">
        <f t="shared" si="8"/>
        <v>0</v>
      </c>
      <c r="Q71" s="92"/>
      <c r="R71" s="49"/>
      <c r="S71" s="115">
        <f t="shared" si="9"/>
        <v>0</v>
      </c>
      <c r="T71" s="92"/>
      <c r="U71" s="49"/>
      <c r="V71" s="115">
        <f t="shared" si="10"/>
        <v>0</v>
      </c>
      <c r="W71" s="92"/>
      <c r="X71" s="49"/>
      <c r="Y71" s="115">
        <f t="shared" si="11"/>
        <v>0</v>
      </c>
      <c r="Z71" s="92"/>
      <c r="AA71" s="49"/>
      <c r="AB71" s="115">
        <f t="shared" si="12"/>
        <v>0</v>
      </c>
      <c r="AC71" s="92"/>
      <c r="AD71" s="49"/>
      <c r="AE71" s="115">
        <f t="shared" si="13"/>
        <v>0</v>
      </c>
      <c r="AF71" s="92"/>
      <c r="AG71" s="49"/>
      <c r="AH71" s="115">
        <f t="shared" si="14"/>
        <v>0</v>
      </c>
      <c r="AI71" s="92"/>
      <c r="AL71" s="92"/>
      <c r="AM71" s="92"/>
      <c r="AN71" s="92"/>
    </row>
    <row r="72" spans="3:46" x14ac:dyDescent="0.25">
      <c r="C72" s="100" t="str">
        <f>'MP Calculations'!D99</f>
        <v>2055-56</v>
      </c>
      <c r="D72" s="115" t="str">
        <f>IF(LEFT($C72,4)*1&lt;LEFT('General inputs'!$I$16,4)+'General inputs'!$H$38,SUM(G72,J72,M72,P72,S72,V72,Y72,AB72,AE72,AH72),"")</f>
        <v/>
      </c>
      <c r="E72" s="92"/>
      <c r="F72" s="49"/>
      <c r="G72" s="249"/>
      <c r="H72" s="92"/>
      <c r="I72" s="49"/>
      <c r="J72" s="249"/>
      <c r="K72" s="92"/>
      <c r="L72" s="250"/>
      <c r="M72" s="115"/>
      <c r="N72" s="92"/>
      <c r="O72" s="49"/>
      <c r="P72" s="115">
        <f t="shared" si="8"/>
        <v>0</v>
      </c>
      <c r="Q72" s="92"/>
      <c r="R72" s="49"/>
      <c r="S72" s="115">
        <f t="shared" si="9"/>
        <v>0</v>
      </c>
      <c r="T72" s="92"/>
      <c r="U72" s="49"/>
      <c r="V72" s="115">
        <f t="shared" si="10"/>
        <v>0</v>
      </c>
      <c r="W72" s="92"/>
      <c r="X72" s="49"/>
      <c r="Y72" s="115">
        <f t="shared" si="11"/>
        <v>0</v>
      </c>
      <c r="Z72" s="92"/>
      <c r="AA72" s="49"/>
      <c r="AB72" s="115">
        <f t="shared" si="12"/>
        <v>0</v>
      </c>
      <c r="AC72" s="92"/>
      <c r="AD72" s="49"/>
      <c r="AE72" s="115">
        <f t="shared" si="13"/>
        <v>0</v>
      </c>
      <c r="AF72" s="92"/>
      <c r="AG72" s="49"/>
      <c r="AH72" s="115">
        <f t="shared" si="14"/>
        <v>0</v>
      </c>
      <c r="AI72" s="92"/>
      <c r="AL72" s="92"/>
      <c r="AM72" s="92"/>
      <c r="AN72" s="92"/>
    </row>
    <row r="73" spans="3:46" x14ac:dyDescent="0.25">
      <c r="C73" s="100" t="str">
        <f>'MP Calculations'!D100</f>
        <v>2056-57</v>
      </c>
      <c r="D73" s="115" t="str">
        <f>IF(LEFT($C73,4)*1&lt;LEFT('General inputs'!$I$16,4)+'General inputs'!$H$38,SUM(G73,J73,M73,P73,S73,V73,Y73,AB73,AE73,AH73),"")</f>
        <v/>
      </c>
      <c r="E73" s="92"/>
      <c r="F73" s="49"/>
      <c r="G73" s="249"/>
      <c r="H73" s="92"/>
      <c r="I73" s="49"/>
      <c r="J73" s="249"/>
      <c r="K73" s="92"/>
      <c r="L73" s="250"/>
      <c r="M73" s="115"/>
      <c r="N73" s="92"/>
      <c r="O73" s="49"/>
      <c r="P73" s="115">
        <f t="shared" si="8"/>
        <v>0</v>
      </c>
      <c r="Q73" s="92"/>
      <c r="R73" s="49"/>
      <c r="S73" s="115">
        <f t="shared" si="9"/>
        <v>0</v>
      </c>
      <c r="T73" s="92"/>
      <c r="U73" s="49"/>
      <c r="V73" s="115">
        <f t="shared" si="10"/>
        <v>0</v>
      </c>
      <c r="W73" s="92"/>
      <c r="X73" s="49"/>
      <c r="Y73" s="115">
        <f t="shared" si="11"/>
        <v>0</v>
      </c>
      <c r="Z73" s="92"/>
      <c r="AA73" s="49"/>
      <c r="AB73" s="115">
        <f t="shared" si="12"/>
        <v>0</v>
      </c>
      <c r="AC73" s="92"/>
      <c r="AD73" s="49"/>
      <c r="AE73" s="115">
        <f t="shared" si="13"/>
        <v>0</v>
      </c>
      <c r="AF73" s="92"/>
      <c r="AG73" s="49"/>
      <c r="AH73" s="115">
        <f t="shared" si="14"/>
        <v>0</v>
      </c>
      <c r="AI73" s="92"/>
      <c r="AL73" s="92"/>
      <c r="AM73" s="92"/>
      <c r="AN73" s="92"/>
    </row>
    <row r="74" spans="3:46" x14ac:dyDescent="0.25">
      <c r="C74" s="100" t="str">
        <f>'MP Calculations'!D101</f>
        <v>2057-58</v>
      </c>
      <c r="D74" s="115" t="str">
        <f>IF(LEFT($C74,4)*1&lt;LEFT('General inputs'!$I$16,4)+'General inputs'!$H$38,SUM(G74,J74,M74,P74,S74,V74,Y74,AB74,AE74,AH74),"")</f>
        <v/>
      </c>
      <c r="E74" s="92"/>
      <c r="F74" s="49"/>
      <c r="G74" s="249"/>
      <c r="H74" s="92"/>
      <c r="I74" s="49"/>
      <c r="J74" s="249"/>
      <c r="K74" s="92"/>
      <c r="L74" s="250"/>
      <c r="M74" s="115"/>
      <c r="N74" s="92"/>
      <c r="O74" s="49"/>
      <c r="P74" s="115">
        <f t="shared" si="8"/>
        <v>0</v>
      </c>
      <c r="Q74" s="92"/>
      <c r="R74" s="49"/>
      <c r="S74" s="115">
        <f t="shared" si="9"/>
        <v>0</v>
      </c>
      <c r="T74" s="92"/>
      <c r="U74" s="49"/>
      <c r="V74" s="115">
        <f t="shared" si="10"/>
        <v>0</v>
      </c>
      <c r="W74" s="92"/>
      <c r="X74" s="49"/>
      <c r="Y74" s="115">
        <f t="shared" si="11"/>
        <v>0</v>
      </c>
      <c r="Z74" s="92"/>
      <c r="AA74" s="49"/>
      <c r="AB74" s="115">
        <f t="shared" si="12"/>
        <v>0</v>
      </c>
      <c r="AC74" s="92"/>
      <c r="AD74" s="49"/>
      <c r="AE74" s="115">
        <f t="shared" si="13"/>
        <v>0</v>
      </c>
      <c r="AF74" s="92"/>
      <c r="AG74" s="49"/>
      <c r="AH74" s="115">
        <f t="shared" si="14"/>
        <v>0</v>
      </c>
      <c r="AI74" s="92"/>
      <c r="AL74" s="92"/>
      <c r="AM74" s="92"/>
      <c r="AN74" s="92"/>
    </row>
    <row r="75" spans="3:46" x14ac:dyDescent="0.25">
      <c r="C75" s="100" t="str">
        <f>'MP Calculations'!D102</f>
        <v>2058-59</v>
      </c>
      <c r="D75" s="115" t="str">
        <f>IF(LEFT($C75,4)*1&lt;LEFT('General inputs'!$I$16,4)+'General inputs'!$H$38,SUM(G75,J75,M75,P75,S75,V75,Y75,AB75,AE75,AH75),"")</f>
        <v/>
      </c>
      <c r="E75" s="92"/>
      <c r="F75" s="49"/>
      <c r="G75" s="249"/>
      <c r="H75" s="92"/>
      <c r="I75" s="49"/>
      <c r="J75" s="249"/>
      <c r="K75" s="92"/>
      <c r="L75" s="250"/>
      <c r="M75" s="115"/>
      <c r="N75" s="92"/>
      <c r="O75" s="49"/>
      <c r="P75" s="115">
        <f t="shared" si="8"/>
        <v>0</v>
      </c>
      <c r="Q75" s="92"/>
      <c r="R75" s="49"/>
      <c r="S75" s="115">
        <f t="shared" si="9"/>
        <v>0</v>
      </c>
      <c r="T75" s="92"/>
      <c r="U75" s="49"/>
      <c r="V75" s="115">
        <f t="shared" si="10"/>
        <v>0</v>
      </c>
      <c r="W75" s="92"/>
      <c r="X75" s="49"/>
      <c r="Y75" s="115">
        <f t="shared" si="11"/>
        <v>0</v>
      </c>
      <c r="Z75" s="92"/>
      <c r="AA75" s="49"/>
      <c r="AB75" s="115">
        <f t="shared" si="12"/>
        <v>0</v>
      </c>
      <c r="AC75" s="92"/>
      <c r="AD75" s="49"/>
      <c r="AE75" s="115">
        <f t="shared" si="13"/>
        <v>0</v>
      </c>
      <c r="AF75" s="92"/>
      <c r="AG75" s="49"/>
      <c r="AH75" s="115">
        <f t="shared" si="14"/>
        <v>0</v>
      </c>
      <c r="AI75" s="92"/>
      <c r="AL75" s="92"/>
      <c r="AM75" s="92"/>
      <c r="AN75" s="92"/>
    </row>
    <row r="76" spans="3:46" x14ac:dyDescent="0.25">
      <c r="C76" s="100" t="str">
        <f>'MP Calculations'!D103</f>
        <v>2059-60</v>
      </c>
      <c r="D76" s="115" t="str">
        <f>IF(LEFT($C76,4)*1&lt;LEFT('General inputs'!$I$16,4)+'General inputs'!$H$38,SUM(G76,J76,M76,P76,S76,V76,Y76,AB76,AE76,AH76),"")</f>
        <v/>
      </c>
      <c r="E76" s="92"/>
      <c r="F76" s="49"/>
      <c r="G76" s="249"/>
      <c r="H76" s="92"/>
      <c r="I76" s="49"/>
      <c r="J76" s="249"/>
      <c r="K76" s="92"/>
      <c r="L76" s="250"/>
      <c r="M76" s="115"/>
      <c r="N76" s="92"/>
      <c r="O76" s="49"/>
      <c r="P76" s="115">
        <f t="shared" ref="P76:P102" si="15">O76*$P$9/$F$6</f>
        <v>0</v>
      </c>
      <c r="Q76" s="92"/>
      <c r="R76" s="49"/>
      <c r="S76" s="115">
        <f t="shared" ref="S76:S102" si="16">R76*$S$9/$F$6</f>
        <v>0</v>
      </c>
      <c r="T76" s="92"/>
      <c r="U76" s="49"/>
      <c r="V76" s="115">
        <f t="shared" ref="V76:V102" si="17">U76*$V$9/$F$6</f>
        <v>0</v>
      </c>
      <c r="W76" s="92"/>
      <c r="X76" s="49"/>
      <c r="Y76" s="115">
        <f t="shared" ref="Y76:Y102" si="18">X76*$Y$9/$F$6</f>
        <v>0</v>
      </c>
      <c r="Z76" s="92"/>
      <c r="AA76" s="49"/>
      <c r="AB76" s="115">
        <f t="shared" ref="AB76:AB102" si="19">AA76*$AB$9/$F$6</f>
        <v>0</v>
      </c>
      <c r="AC76" s="92"/>
      <c r="AD76" s="49"/>
      <c r="AE76" s="115">
        <f t="shared" ref="AE76:AE102" si="20">AD76*$AE$9/$F$6</f>
        <v>0</v>
      </c>
      <c r="AF76" s="92"/>
      <c r="AG76" s="49"/>
      <c r="AH76" s="115">
        <f t="shared" ref="AH76:AH102" si="21">AG76*$AH$9/$F$6</f>
        <v>0</v>
      </c>
      <c r="AI76" s="92"/>
      <c r="AL76" s="92"/>
      <c r="AM76" s="92"/>
      <c r="AN76" s="92"/>
    </row>
    <row r="77" spans="3:46" x14ac:dyDescent="0.25">
      <c r="C77" s="100" t="str">
        <f>'MP Calculations'!D104</f>
        <v>2060-61</v>
      </c>
      <c r="D77" s="115" t="str">
        <f>IF(LEFT($C77,4)*1&lt;LEFT('General inputs'!$I$16,4)+'General inputs'!$H$38,SUM(G77,J77,M77,P77,S77,V77,Y77,AB77,AE77,AH77),"")</f>
        <v/>
      </c>
      <c r="E77" s="92"/>
      <c r="F77" s="49"/>
      <c r="G77" s="249"/>
      <c r="H77" s="92"/>
      <c r="I77" s="49"/>
      <c r="J77" s="249"/>
      <c r="K77" s="92"/>
      <c r="L77" s="250"/>
      <c r="M77" s="115"/>
      <c r="N77" s="92"/>
      <c r="O77" s="49"/>
      <c r="P77" s="115">
        <f t="shared" si="15"/>
        <v>0</v>
      </c>
      <c r="Q77" s="92"/>
      <c r="R77" s="49"/>
      <c r="S77" s="115">
        <f t="shared" si="16"/>
        <v>0</v>
      </c>
      <c r="T77" s="92"/>
      <c r="U77" s="49"/>
      <c r="V77" s="115">
        <f t="shared" si="17"/>
        <v>0</v>
      </c>
      <c r="W77" s="92"/>
      <c r="X77" s="49"/>
      <c r="Y77" s="115">
        <f t="shared" si="18"/>
        <v>0</v>
      </c>
      <c r="Z77" s="92"/>
      <c r="AA77" s="49"/>
      <c r="AB77" s="115">
        <f t="shared" si="19"/>
        <v>0</v>
      </c>
      <c r="AC77" s="92"/>
      <c r="AD77" s="49"/>
      <c r="AE77" s="115">
        <f t="shared" si="20"/>
        <v>0</v>
      </c>
      <c r="AF77" s="92"/>
      <c r="AG77" s="49"/>
      <c r="AH77" s="115">
        <f t="shared" si="21"/>
        <v>0</v>
      </c>
      <c r="AI77" s="92"/>
      <c r="AL77" s="92"/>
      <c r="AM77" s="92"/>
      <c r="AN77" s="92"/>
    </row>
    <row r="78" spans="3:46" x14ac:dyDescent="0.25">
      <c r="C78" s="100" t="str">
        <f>'MP Calculations'!D105</f>
        <v>2061-62</v>
      </c>
      <c r="D78" s="115" t="str">
        <f>IF(LEFT($C78,4)*1&lt;LEFT('General inputs'!$I$16,4)+'General inputs'!$H$38,SUM(G78,J78,M78,P78,S78,V78,Y78,AB78,AE78,AH78),"")</f>
        <v/>
      </c>
      <c r="E78" s="92"/>
      <c r="F78" s="49"/>
      <c r="G78" s="249"/>
      <c r="H78" s="92"/>
      <c r="I78" s="49"/>
      <c r="J78" s="249"/>
      <c r="K78" s="92"/>
      <c r="L78" s="250"/>
      <c r="M78" s="115"/>
      <c r="N78" s="92"/>
      <c r="O78" s="49"/>
      <c r="P78" s="115">
        <f t="shared" si="15"/>
        <v>0</v>
      </c>
      <c r="Q78" s="92"/>
      <c r="R78" s="49"/>
      <c r="S78" s="115">
        <f t="shared" si="16"/>
        <v>0</v>
      </c>
      <c r="T78" s="92"/>
      <c r="U78" s="49"/>
      <c r="V78" s="115">
        <f t="shared" si="17"/>
        <v>0</v>
      </c>
      <c r="W78" s="92"/>
      <c r="X78" s="49"/>
      <c r="Y78" s="115">
        <f t="shared" si="18"/>
        <v>0</v>
      </c>
      <c r="Z78" s="92"/>
      <c r="AA78" s="49"/>
      <c r="AB78" s="115">
        <f t="shared" si="19"/>
        <v>0</v>
      </c>
      <c r="AC78" s="92"/>
      <c r="AD78" s="49"/>
      <c r="AE78" s="115">
        <f t="shared" si="20"/>
        <v>0</v>
      </c>
      <c r="AF78" s="92"/>
      <c r="AG78" s="49"/>
      <c r="AH78" s="115">
        <f t="shared" si="21"/>
        <v>0</v>
      </c>
      <c r="AI78" s="92"/>
      <c r="AL78" s="92"/>
      <c r="AM78" s="92"/>
      <c r="AN78" s="92"/>
    </row>
    <row r="79" spans="3:46" x14ac:dyDescent="0.25">
      <c r="C79" s="100" t="str">
        <f>'MP Calculations'!D106</f>
        <v>2062-63</v>
      </c>
      <c r="D79" s="115" t="str">
        <f>IF(LEFT($C79,4)*1&lt;LEFT('General inputs'!$I$16,4)+'General inputs'!$H$38,SUM(G79,J79,M79,P79,S79,V79,Y79,AB79,AE79,AH79),"")</f>
        <v/>
      </c>
      <c r="E79" s="92"/>
      <c r="F79" s="49"/>
      <c r="G79" s="249"/>
      <c r="H79" s="92"/>
      <c r="I79" s="49"/>
      <c r="J79" s="249"/>
      <c r="K79" s="92"/>
      <c r="L79" s="250"/>
      <c r="M79" s="115"/>
      <c r="N79" s="92"/>
      <c r="O79" s="49"/>
      <c r="P79" s="115">
        <f t="shared" si="15"/>
        <v>0</v>
      </c>
      <c r="Q79" s="92"/>
      <c r="R79" s="49"/>
      <c r="S79" s="115">
        <f t="shared" si="16"/>
        <v>0</v>
      </c>
      <c r="T79" s="92"/>
      <c r="U79" s="49"/>
      <c r="V79" s="115">
        <f t="shared" si="17"/>
        <v>0</v>
      </c>
      <c r="W79" s="92"/>
      <c r="X79" s="49"/>
      <c r="Y79" s="115">
        <f t="shared" si="18"/>
        <v>0</v>
      </c>
      <c r="Z79" s="92"/>
      <c r="AA79" s="49"/>
      <c r="AB79" s="115">
        <f t="shared" si="19"/>
        <v>0</v>
      </c>
      <c r="AC79" s="92"/>
      <c r="AD79" s="49"/>
      <c r="AE79" s="115">
        <f t="shared" si="20"/>
        <v>0</v>
      </c>
      <c r="AF79" s="92"/>
      <c r="AG79" s="49"/>
      <c r="AH79" s="115">
        <f t="shared" si="21"/>
        <v>0</v>
      </c>
      <c r="AI79" s="92"/>
      <c r="AL79" s="92"/>
      <c r="AM79" s="92"/>
      <c r="AN79" s="92"/>
    </row>
    <row r="80" spans="3:46" x14ac:dyDescent="0.25">
      <c r="C80" s="100" t="str">
        <f>'MP Calculations'!D107</f>
        <v>2063-64</v>
      </c>
      <c r="D80" s="115" t="str">
        <f>IF(LEFT($C80,4)*1&lt;LEFT('General inputs'!$I$16,4)+'General inputs'!$H$38,SUM(G80,J80,M80,P80,S80,V80,Y80,AB80,AE80,AH80),"")</f>
        <v/>
      </c>
      <c r="E80" s="92"/>
      <c r="F80" s="49"/>
      <c r="G80" s="249"/>
      <c r="H80" s="92"/>
      <c r="I80" s="49"/>
      <c r="J80" s="249"/>
      <c r="K80" s="92"/>
      <c r="L80" s="250"/>
      <c r="M80" s="115"/>
      <c r="N80" s="92"/>
      <c r="O80" s="49"/>
      <c r="P80" s="115">
        <f t="shared" si="15"/>
        <v>0</v>
      </c>
      <c r="Q80" s="92"/>
      <c r="R80" s="49"/>
      <c r="S80" s="115">
        <f t="shared" si="16"/>
        <v>0</v>
      </c>
      <c r="T80" s="92"/>
      <c r="U80" s="49"/>
      <c r="V80" s="115">
        <f t="shared" si="17"/>
        <v>0</v>
      </c>
      <c r="W80" s="92"/>
      <c r="X80" s="49"/>
      <c r="Y80" s="115">
        <f t="shared" si="18"/>
        <v>0</v>
      </c>
      <c r="Z80" s="92"/>
      <c r="AA80" s="49"/>
      <c r="AB80" s="115">
        <f t="shared" si="19"/>
        <v>0</v>
      </c>
      <c r="AC80" s="92"/>
      <c r="AD80" s="49"/>
      <c r="AE80" s="115">
        <f t="shared" si="20"/>
        <v>0</v>
      </c>
      <c r="AF80" s="92"/>
      <c r="AG80" s="49"/>
      <c r="AH80" s="115">
        <f t="shared" si="21"/>
        <v>0</v>
      </c>
      <c r="AI80" s="92"/>
      <c r="AL80" s="92"/>
      <c r="AM80" s="92"/>
      <c r="AN80" s="92"/>
    </row>
    <row r="81" spans="3:40" x14ac:dyDescent="0.25">
      <c r="C81" s="100" t="str">
        <f>'MP Calculations'!D108</f>
        <v>2064-65</v>
      </c>
      <c r="D81" s="115" t="str">
        <f>IF(LEFT($C81,4)*1&lt;LEFT('General inputs'!$I$16,4)+'General inputs'!$H$38,SUM(G81,J81,M81,P81,S81,V81,Y81,AB81,AE81,AH81),"")</f>
        <v/>
      </c>
      <c r="E81" s="92"/>
      <c r="F81" s="49"/>
      <c r="G81" s="249"/>
      <c r="H81" s="92"/>
      <c r="I81" s="49"/>
      <c r="J81" s="249"/>
      <c r="K81" s="92"/>
      <c r="L81" s="250"/>
      <c r="M81" s="115"/>
      <c r="N81" s="92"/>
      <c r="O81" s="49"/>
      <c r="P81" s="115">
        <f t="shared" si="15"/>
        <v>0</v>
      </c>
      <c r="Q81" s="92"/>
      <c r="R81" s="49"/>
      <c r="S81" s="115">
        <f t="shared" si="16"/>
        <v>0</v>
      </c>
      <c r="T81" s="92"/>
      <c r="U81" s="49"/>
      <c r="V81" s="115">
        <f t="shared" si="17"/>
        <v>0</v>
      </c>
      <c r="W81" s="92"/>
      <c r="X81" s="49"/>
      <c r="Y81" s="115">
        <f t="shared" si="18"/>
        <v>0</v>
      </c>
      <c r="Z81" s="92"/>
      <c r="AA81" s="49"/>
      <c r="AB81" s="115">
        <f t="shared" si="19"/>
        <v>0</v>
      </c>
      <c r="AC81" s="92"/>
      <c r="AD81" s="49"/>
      <c r="AE81" s="115">
        <f t="shared" si="20"/>
        <v>0</v>
      </c>
      <c r="AF81" s="92"/>
      <c r="AG81" s="49"/>
      <c r="AH81" s="115">
        <f t="shared" si="21"/>
        <v>0</v>
      </c>
      <c r="AI81" s="92"/>
      <c r="AL81" s="92"/>
      <c r="AM81" s="92"/>
      <c r="AN81" s="92"/>
    </row>
    <row r="82" spans="3:40" x14ac:dyDescent="0.25">
      <c r="C82" s="100" t="str">
        <f>'MP Calculations'!D109</f>
        <v>2065-66</v>
      </c>
      <c r="D82" s="115" t="str">
        <f>IF(LEFT($C82,4)*1&lt;LEFT('General inputs'!$I$16,4)+'General inputs'!$H$38,SUM(G82,J82,M82,P82,S82,V82,Y82,AB82,AE82,AH82),"")</f>
        <v/>
      </c>
      <c r="E82" s="92"/>
      <c r="F82" s="49"/>
      <c r="G82" s="249"/>
      <c r="H82" s="92"/>
      <c r="I82" s="49"/>
      <c r="J82" s="249"/>
      <c r="K82" s="92"/>
      <c r="L82" s="250"/>
      <c r="M82" s="115"/>
      <c r="N82" s="92"/>
      <c r="O82" s="49"/>
      <c r="P82" s="115">
        <f t="shared" si="15"/>
        <v>0</v>
      </c>
      <c r="Q82" s="92"/>
      <c r="R82" s="49"/>
      <c r="S82" s="115">
        <f t="shared" si="16"/>
        <v>0</v>
      </c>
      <c r="T82" s="92"/>
      <c r="U82" s="49"/>
      <c r="V82" s="115">
        <f t="shared" si="17"/>
        <v>0</v>
      </c>
      <c r="W82" s="92"/>
      <c r="X82" s="49"/>
      <c r="Y82" s="115">
        <f t="shared" si="18"/>
        <v>0</v>
      </c>
      <c r="Z82" s="92"/>
      <c r="AA82" s="49"/>
      <c r="AB82" s="115">
        <f t="shared" si="19"/>
        <v>0</v>
      </c>
      <c r="AC82" s="92"/>
      <c r="AD82" s="49"/>
      <c r="AE82" s="115">
        <f t="shared" si="20"/>
        <v>0</v>
      </c>
      <c r="AF82" s="92"/>
      <c r="AG82" s="49"/>
      <c r="AH82" s="115">
        <f t="shared" si="21"/>
        <v>0</v>
      </c>
      <c r="AI82" s="92"/>
      <c r="AL82" s="92"/>
      <c r="AM82" s="92"/>
      <c r="AN82" s="92"/>
    </row>
    <row r="83" spans="3:40" x14ac:dyDescent="0.25">
      <c r="C83" s="100" t="str">
        <f>'MP Calculations'!D110</f>
        <v>2066-67</v>
      </c>
      <c r="D83" s="115" t="str">
        <f>IF(LEFT($C83,4)*1&lt;LEFT('General inputs'!$I$16,4)+'General inputs'!$H$38,SUM(G83,J83,M83,P83,S83,V83,Y83,AB83,AE83,AH83),"")</f>
        <v/>
      </c>
      <c r="E83" s="92"/>
      <c r="F83" s="49"/>
      <c r="G83" s="249"/>
      <c r="H83" s="92"/>
      <c r="I83" s="49"/>
      <c r="J83" s="249"/>
      <c r="K83" s="92"/>
      <c r="L83" s="250"/>
      <c r="M83" s="115"/>
      <c r="N83" s="92"/>
      <c r="O83" s="49"/>
      <c r="P83" s="115">
        <f t="shared" si="15"/>
        <v>0</v>
      </c>
      <c r="Q83" s="92"/>
      <c r="R83" s="49"/>
      <c r="S83" s="115">
        <f t="shared" si="16"/>
        <v>0</v>
      </c>
      <c r="T83" s="92"/>
      <c r="U83" s="49"/>
      <c r="V83" s="115">
        <f t="shared" si="17"/>
        <v>0</v>
      </c>
      <c r="W83" s="92"/>
      <c r="X83" s="49"/>
      <c r="Y83" s="115">
        <f t="shared" si="18"/>
        <v>0</v>
      </c>
      <c r="Z83" s="92"/>
      <c r="AA83" s="49"/>
      <c r="AB83" s="115">
        <f t="shared" si="19"/>
        <v>0</v>
      </c>
      <c r="AC83" s="92"/>
      <c r="AD83" s="49"/>
      <c r="AE83" s="115">
        <f t="shared" si="20"/>
        <v>0</v>
      </c>
      <c r="AF83" s="92"/>
      <c r="AG83" s="49"/>
      <c r="AH83" s="115">
        <f t="shared" si="21"/>
        <v>0</v>
      </c>
      <c r="AI83" s="92"/>
      <c r="AL83" s="92"/>
      <c r="AM83" s="92"/>
      <c r="AN83" s="92"/>
    </row>
    <row r="84" spans="3:40" x14ac:dyDescent="0.25">
      <c r="C84" s="100" t="str">
        <f>'MP Calculations'!D111</f>
        <v>2067-68</v>
      </c>
      <c r="D84" s="115" t="str">
        <f>IF(LEFT($C84,4)*1&lt;LEFT('General inputs'!$I$16,4)+'General inputs'!$H$38,SUM(G84,J84,M84,P84,S84,V84,Y84,AB84,AE84,AH84),"")</f>
        <v/>
      </c>
      <c r="E84" s="92"/>
      <c r="F84" s="49"/>
      <c r="G84" s="249"/>
      <c r="H84" s="92"/>
      <c r="I84" s="49"/>
      <c r="J84" s="249"/>
      <c r="K84" s="92"/>
      <c r="L84" s="250"/>
      <c r="M84" s="115"/>
      <c r="N84" s="92"/>
      <c r="O84" s="49"/>
      <c r="P84" s="115">
        <f t="shared" si="15"/>
        <v>0</v>
      </c>
      <c r="Q84" s="92"/>
      <c r="R84" s="49"/>
      <c r="S84" s="115">
        <f t="shared" si="16"/>
        <v>0</v>
      </c>
      <c r="T84" s="92"/>
      <c r="U84" s="49"/>
      <c r="V84" s="115">
        <f t="shared" si="17"/>
        <v>0</v>
      </c>
      <c r="W84" s="92"/>
      <c r="X84" s="49"/>
      <c r="Y84" s="115">
        <f t="shared" si="18"/>
        <v>0</v>
      </c>
      <c r="Z84" s="92"/>
      <c r="AA84" s="49"/>
      <c r="AB84" s="115">
        <f t="shared" si="19"/>
        <v>0</v>
      </c>
      <c r="AC84" s="92"/>
      <c r="AD84" s="49"/>
      <c r="AE84" s="115">
        <f t="shared" si="20"/>
        <v>0</v>
      </c>
      <c r="AF84" s="92"/>
      <c r="AG84" s="49"/>
      <c r="AH84" s="115">
        <f t="shared" si="21"/>
        <v>0</v>
      </c>
      <c r="AI84" s="92"/>
      <c r="AL84" s="92"/>
      <c r="AM84" s="92"/>
      <c r="AN84" s="92"/>
    </row>
    <row r="85" spans="3:40" x14ac:dyDescent="0.25">
      <c r="C85" s="100" t="str">
        <f>'MP Calculations'!D112</f>
        <v>2068-69</v>
      </c>
      <c r="D85" s="115" t="str">
        <f>IF(LEFT($C85,4)*1&lt;LEFT('General inputs'!$I$16,4)+'General inputs'!$H$38,SUM(G85,J85,M85,P85,S85,V85,Y85,AB85,AE85,AH85),"")</f>
        <v/>
      </c>
      <c r="E85" s="92"/>
      <c r="F85" s="49"/>
      <c r="G85" s="249"/>
      <c r="H85" s="92"/>
      <c r="I85" s="49"/>
      <c r="J85" s="249"/>
      <c r="K85" s="92"/>
      <c r="L85" s="250"/>
      <c r="M85" s="115"/>
      <c r="N85" s="92"/>
      <c r="O85" s="49"/>
      <c r="P85" s="115">
        <f t="shared" si="15"/>
        <v>0</v>
      </c>
      <c r="Q85" s="92"/>
      <c r="R85" s="49"/>
      <c r="S85" s="115">
        <f t="shared" si="16"/>
        <v>0</v>
      </c>
      <c r="T85" s="92"/>
      <c r="U85" s="49"/>
      <c r="V85" s="115">
        <f t="shared" si="17"/>
        <v>0</v>
      </c>
      <c r="W85" s="92"/>
      <c r="X85" s="49"/>
      <c r="Y85" s="115">
        <f t="shared" si="18"/>
        <v>0</v>
      </c>
      <c r="Z85" s="92"/>
      <c r="AA85" s="49"/>
      <c r="AB85" s="115">
        <f t="shared" si="19"/>
        <v>0</v>
      </c>
      <c r="AC85" s="92"/>
      <c r="AD85" s="49"/>
      <c r="AE85" s="115">
        <f t="shared" si="20"/>
        <v>0</v>
      </c>
      <c r="AF85" s="92"/>
      <c r="AG85" s="49"/>
      <c r="AH85" s="115">
        <f t="shared" si="21"/>
        <v>0</v>
      </c>
      <c r="AI85" s="92"/>
      <c r="AL85" s="92"/>
      <c r="AM85" s="92"/>
      <c r="AN85" s="92"/>
    </row>
    <row r="86" spans="3:40" x14ac:dyDescent="0.25">
      <c r="C86" s="100" t="str">
        <f>'MP Calculations'!D113</f>
        <v>2069-70</v>
      </c>
      <c r="D86" s="115" t="str">
        <f>IF(LEFT($C86,4)*1&lt;LEFT('General inputs'!$I$16,4)+'General inputs'!$H$38,SUM(G86,J86,M86,P86,S86,V86,Y86,AB86,AE86,AH86),"")</f>
        <v/>
      </c>
      <c r="E86" s="92"/>
      <c r="F86" s="49"/>
      <c r="G86" s="249"/>
      <c r="H86" s="92"/>
      <c r="I86" s="49"/>
      <c r="J86" s="249"/>
      <c r="K86" s="92"/>
      <c r="L86" s="250"/>
      <c r="M86" s="115"/>
      <c r="N86" s="92"/>
      <c r="O86" s="49"/>
      <c r="P86" s="115">
        <f t="shared" si="15"/>
        <v>0</v>
      </c>
      <c r="Q86" s="92"/>
      <c r="R86" s="49"/>
      <c r="S86" s="115">
        <f t="shared" si="16"/>
        <v>0</v>
      </c>
      <c r="T86" s="92"/>
      <c r="U86" s="49"/>
      <c r="V86" s="115">
        <f t="shared" si="17"/>
        <v>0</v>
      </c>
      <c r="W86" s="92"/>
      <c r="X86" s="49"/>
      <c r="Y86" s="115">
        <f t="shared" si="18"/>
        <v>0</v>
      </c>
      <c r="Z86" s="92"/>
      <c r="AA86" s="49"/>
      <c r="AB86" s="115">
        <f t="shared" si="19"/>
        <v>0</v>
      </c>
      <c r="AC86" s="92"/>
      <c r="AD86" s="49"/>
      <c r="AE86" s="115">
        <f t="shared" si="20"/>
        <v>0</v>
      </c>
      <c r="AF86" s="92"/>
      <c r="AG86" s="49"/>
      <c r="AH86" s="115">
        <f t="shared" si="21"/>
        <v>0</v>
      </c>
      <c r="AI86" s="92"/>
      <c r="AL86" s="92"/>
      <c r="AM86" s="92"/>
      <c r="AN86" s="92"/>
    </row>
    <row r="87" spans="3:40" x14ac:dyDescent="0.25">
      <c r="C87" s="100" t="str">
        <f>'MP Calculations'!D114</f>
        <v>2070-71</v>
      </c>
      <c r="D87" s="115" t="str">
        <f>IF(LEFT($C87,4)*1&lt;LEFT('General inputs'!$I$16,4)+'General inputs'!$H$38,SUM(G87,J87,M87,P87,S87,V87,Y87,AB87,AE87,AH87),"")</f>
        <v/>
      </c>
      <c r="E87" s="92"/>
      <c r="F87" s="49"/>
      <c r="G87" s="249"/>
      <c r="H87" s="92"/>
      <c r="I87" s="49"/>
      <c r="J87" s="249"/>
      <c r="K87" s="92"/>
      <c r="L87" s="250"/>
      <c r="M87" s="115"/>
      <c r="N87" s="92"/>
      <c r="O87" s="49"/>
      <c r="P87" s="115">
        <f t="shared" si="15"/>
        <v>0</v>
      </c>
      <c r="Q87" s="92"/>
      <c r="R87" s="49"/>
      <c r="S87" s="115">
        <f t="shared" si="16"/>
        <v>0</v>
      </c>
      <c r="T87" s="92"/>
      <c r="U87" s="49"/>
      <c r="V87" s="115">
        <f t="shared" si="17"/>
        <v>0</v>
      </c>
      <c r="W87" s="92"/>
      <c r="X87" s="49"/>
      <c r="Y87" s="115">
        <f t="shared" si="18"/>
        <v>0</v>
      </c>
      <c r="Z87" s="92"/>
      <c r="AA87" s="49"/>
      <c r="AB87" s="115">
        <f t="shared" si="19"/>
        <v>0</v>
      </c>
      <c r="AC87" s="92"/>
      <c r="AD87" s="49"/>
      <c r="AE87" s="115">
        <f t="shared" si="20"/>
        <v>0</v>
      </c>
      <c r="AF87" s="92"/>
      <c r="AG87" s="49"/>
      <c r="AH87" s="115">
        <f t="shared" si="21"/>
        <v>0</v>
      </c>
      <c r="AI87" s="92"/>
      <c r="AL87" s="92"/>
      <c r="AM87" s="92"/>
      <c r="AN87" s="92"/>
    </row>
    <row r="88" spans="3:40" x14ac:dyDescent="0.25">
      <c r="C88" s="100" t="str">
        <f>'MP Calculations'!D115</f>
        <v>2071-72</v>
      </c>
      <c r="D88" s="115" t="str">
        <f>IF(LEFT($C88,4)*1&lt;LEFT('General inputs'!$I$16,4)+'General inputs'!$H$38,SUM(G88,J88,M88,P88,S88,V88,Y88,AB88,AE88,AH88),"")</f>
        <v/>
      </c>
      <c r="E88" s="92"/>
      <c r="F88" s="49"/>
      <c r="G88" s="249"/>
      <c r="H88" s="92"/>
      <c r="I88" s="49"/>
      <c r="J88" s="249"/>
      <c r="K88" s="92"/>
      <c r="L88" s="250"/>
      <c r="M88" s="115"/>
      <c r="N88" s="92"/>
      <c r="O88" s="49"/>
      <c r="P88" s="115">
        <f t="shared" si="15"/>
        <v>0</v>
      </c>
      <c r="Q88" s="92"/>
      <c r="R88" s="49"/>
      <c r="S88" s="115">
        <f t="shared" si="16"/>
        <v>0</v>
      </c>
      <c r="T88" s="92"/>
      <c r="U88" s="49"/>
      <c r="V88" s="115">
        <f t="shared" si="17"/>
        <v>0</v>
      </c>
      <c r="W88" s="92"/>
      <c r="X88" s="49"/>
      <c r="Y88" s="115">
        <f t="shared" si="18"/>
        <v>0</v>
      </c>
      <c r="Z88" s="92"/>
      <c r="AA88" s="49"/>
      <c r="AB88" s="115">
        <f t="shared" si="19"/>
        <v>0</v>
      </c>
      <c r="AC88" s="92"/>
      <c r="AD88" s="49"/>
      <c r="AE88" s="115">
        <f t="shared" si="20"/>
        <v>0</v>
      </c>
      <c r="AF88" s="92"/>
      <c r="AG88" s="49"/>
      <c r="AH88" s="115">
        <f t="shared" si="21"/>
        <v>0</v>
      </c>
      <c r="AI88" s="92"/>
      <c r="AL88" s="92"/>
      <c r="AM88" s="92"/>
      <c r="AN88" s="92"/>
    </row>
    <row r="89" spans="3:40" x14ac:dyDescent="0.25">
      <c r="C89" s="100" t="str">
        <f>'MP Calculations'!D116</f>
        <v>2072-73</v>
      </c>
      <c r="D89" s="115" t="str">
        <f>IF(LEFT($C89,4)*1&lt;LEFT('General inputs'!$I$16,4)+'General inputs'!$H$38,SUM(G89,J89,M89,P89,S89,V89,Y89,AB89,AE89,AH89),"")</f>
        <v/>
      </c>
      <c r="E89" s="92"/>
      <c r="F89" s="49"/>
      <c r="G89" s="249"/>
      <c r="H89" s="92"/>
      <c r="I89" s="49"/>
      <c r="J89" s="249"/>
      <c r="K89" s="92"/>
      <c r="L89" s="250"/>
      <c r="M89" s="115"/>
      <c r="N89" s="92"/>
      <c r="O89" s="49"/>
      <c r="P89" s="115">
        <f t="shared" si="15"/>
        <v>0</v>
      </c>
      <c r="Q89" s="92"/>
      <c r="R89" s="49"/>
      <c r="S89" s="115">
        <f t="shared" si="16"/>
        <v>0</v>
      </c>
      <c r="T89" s="92"/>
      <c r="U89" s="49"/>
      <c r="V89" s="115">
        <f t="shared" si="17"/>
        <v>0</v>
      </c>
      <c r="W89" s="92"/>
      <c r="X89" s="49"/>
      <c r="Y89" s="115">
        <f t="shared" si="18"/>
        <v>0</v>
      </c>
      <c r="Z89" s="92"/>
      <c r="AA89" s="49"/>
      <c r="AB89" s="115">
        <f t="shared" si="19"/>
        <v>0</v>
      </c>
      <c r="AC89" s="92"/>
      <c r="AD89" s="49"/>
      <c r="AE89" s="115">
        <f t="shared" si="20"/>
        <v>0</v>
      </c>
      <c r="AF89" s="92"/>
      <c r="AG89" s="49"/>
      <c r="AH89" s="115">
        <f t="shared" si="21"/>
        <v>0</v>
      </c>
      <c r="AI89" s="92"/>
      <c r="AL89" s="92"/>
      <c r="AM89" s="92"/>
      <c r="AN89" s="92"/>
    </row>
    <row r="90" spans="3:40" x14ac:dyDescent="0.25">
      <c r="C90" s="100" t="str">
        <f>'MP Calculations'!D117</f>
        <v>2073-74</v>
      </c>
      <c r="D90" s="115" t="str">
        <f>IF(LEFT($C90,4)*1&lt;LEFT('General inputs'!$I$16,4)+'General inputs'!$H$38,SUM(G90,J90,M90,P90,S90,V90,Y90,AB90,AE90,AH90),"")</f>
        <v/>
      </c>
      <c r="E90" s="92"/>
      <c r="F90" s="49"/>
      <c r="G90" s="249"/>
      <c r="H90" s="92"/>
      <c r="I90" s="49"/>
      <c r="J90" s="249"/>
      <c r="K90" s="92"/>
      <c r="L90" s="250"/>
      <c r="M90" s="115"/>
      <c r="N90" s="92"/>
      <c r="O90" s="49"/>
      <c r="P90" s="115">
        <f t="shared" si="15"/>
        <v>0</v>
      </c>
      <c r="Q90" s="92"/>
      <c r="R90" s="49"/>
      <c r="S90" s="115">
        <f t="shared" si="16"/>
        <v>0</v>
      </c>
      <c r="T90" s="92"/>
      <c r="U90" s="49"/>
      <c r="V90" s="115">
        <f t="shared" si="17"/>
        <v>0</v>
      </c>
      <c r="W90" s="92"/>
      <c r="X90" s="49"/>
      <c r="Y90" s="115">
        <f t="shared" si="18"/>
        <v>0</v>
      </c>
      <c r="Z90" s="92"/>
      <c r="AA90" s="49"/>
      <c r="AB90" s="115">
        <f t="shared" si="19"/>
        <v>0</v>
      </c>
      <c r="AC90" s="92"/>
      <c r="AD90" s="49"/>
      <c r="AE90" s="115">
        <f t="shared" si="20"/>
        <v>0</v>
      </c>
      <c r="AF90" s="92"/>
      <c r="AG90" s="49"/>
      <c r="AH90" s="115">
        <f t="shared" si="21"/>
        <v>0</v>
      </c>
      <c r="AI90" s="92"/>
      <c r="AL90" s="92"/>
      <c r="AM90" s="92"/>
      <c r="AN90" s="92"/>
    </row>
    <row r="91" spans="3:40" x14ac:dyDescent="0.25">
      <c r="C91" s="100" t="str">
        <f>'MP Calculations'!D118</f>
        <v>2074-75</v>
      </c>
      <c r="D91" s="115" t="str">
        <f>IF(LEFT($C91,4)*1&lt;LEFT('General inputs'!$I$16,4)+'General inputs'!$H$38,SUM(G91,J91,M91,P91,S91,V91,Y91,AB91,AE91,AH91),"")</f>
        <v/>
      </c>
      <c r="E91" s="92"/>
      <c r="F91" s="49"/>
      <c r="G91" s="249"/>
      <c r="H91" s="92"/>
      <c r="I91" s="49"/>
      <c r="J91" s="249"/>
      <c r="K91" s="92"/>
      <c r="L91" s="250"/>
      <c r="M91" s="115"/>
      <c r="N91" s="92"/>
      <c r="O91" s="49"/>
      <c r="P91" s="115">
        <f t="shared" si="15"/>
        <v>0</v>
      </c>
      <c r="Q91" s="92"/>
      <c r="R91" s="49"/>
      <c r="S91" s="115">
        <f t="shared" si="16"/>
        <v>0</v>
      </c>
      <c r="T91" s="92"/>
      <c r="U91" s="49"/>
      <c r="V91" s="115">
        <f t="shared" si="17"/>
        <v>0</v>
      </c>
      <c r="W91" s="92"/>
      <c r="X91" s="49"/>
      <c r="Y91" s="115">
        <f t="shared" si="18"/>
        <v>0</v>
      </c>
      <c r="Z91" s="92"/>
      <c r="AA91" s="49"/>
      <c r="AB91" s="115">
        <f t="shared" si="19"/>
        <v>0</v>
      </c>
      <c r="AC91" s="92"/>
      <c r="AD91" s="49"/>
      <c r="AE91" s="115">
        <f t="shared" si="20"/>
        <v>0</v>
      </c>
      <c r="AF91" s="92"/>
      <c r="AG91" s="49"/>
      <c r="AH91" s="115">
        <f t="shared" si="21"/>
        <v>0</v>
      </c>
      <c r="AI91" s="92"/>
      <c r="AL91" s="92"/>
      <c r="AM91" s="92"/>
      <c r="AN91" s="92"/>
    </row>
    <row r="92" spans="3:40" x14ac:dyDescent="0.25">
      <c r="C92" s="100" t="str">
        <f>'MP Calculations'!D119</f>
        <v>2075-76</v>
      </c>
      <c r="D92" s="115" t="str">
        <f>IF(LEFT($C92,4)*1&lt;LEFT('General inputs'!$I$16,4)+'General inputs'!$H$38,SUM(G92,J92,M92,P92,S92,V92,Y92,AB92,AE92,AH92),"")</f>
        <v/>
      </c>
      <c r="E92" s="92"/>
      <c r="F92" s="49"/>
      <c r="G92" s="249"/>
      <c r="H92" s="92"/>
      <c r="I92" s="49"/>
      <c r="J92" s="249"/>
      <c r="K92" s="92"/>
      <c r="L92" s="250"/>
      <c r="M92" s="115"/>
      <c r="N92" s="92"/>
      <c r="O92" s="49"/>
      <c r="P92" s="115">
        <f t="shared" si="15"/>
        <v>0</v>
      </c>
      <c r="Q92" s="92"/>
      <c r="R92" s="49"/>
      <c r="S92" s="115">
        <f t="shared" si="16"/>
        <v>0</v>
      </c>
      <c r="T92" s="92"/>
      <c r="U92" s="49"/>
      <c r="V92" s="115">
        <f t="shared" si="17"/>
        <v>0</v>
      </c>
      <c r="W92" s="92"/>
      <c r="X92" s="49"/>
      <c r="Y92" s="115">
        <f t="shared" si="18"/>
        <v>0</v>
      </c>
      <c r="Z92" s="92"/>
      <c r="AA92" s="49"/>
      <c r="AB92" s="115">
        <f t="shared" si="19"/>
        <v>0</v>
      </c>
      <c r="AC92" s="92"/>
      <c r="AD92" s="49"/>
      <c r="AE92" s="115">
        <f t="shared" si="20"/>
        <v>0</v>
      </c>
      <c r="AF92" s="92"/>
      <c r="AG92" s="49"/>
      <c r="AH92" s="115">
        <f t="shared" si="21"/>
        <v>0</v>
      </c>
      <c r="AI92" s="92"/>
      <c r="AL92" s="92"/>
      <c r="AM92" s="92"/>
      <c r="AN92" s="92"/>
    </row>
    <row r="93" spans="3:40" x14ac:dyDescent="0.25">
      <c r="C93" s="100" t="str">
        <f>'MP Calculations'!D120</f>
        <v>2076-77</v>
      </c>
      <c r="D93" s="115" t="str">
        <f>IF(LEFT($C93,4)*1&lt;LEFT('General inputs'!$I$16,4)+'General inputs'!$H$38,SUM(G93,J93,M93,P93,S93,V93,Y93,AB93,AE93,AH93),"")</f>
        <v/>
      </c>
      <c r="E93" s="92"/>
      <c r="F93" s="49"/>
      <c r="G93" s="249"/>
      <c r="H93" s="92"/>
      <c r="I93" s="49"/>
      <c r="J93" s="249"/>
      <c r="K93" s="92"/>
      <c r="L93" s="250"/>
      <c r="M93" s="115"/>
      <c r="N93" s="92"/>
      <c r="O93" s="49"/>
      <c r="P93" s="115">
        <f t="shared" si="15"/>
        <v>0</v>
      </c>
      <c r="Q93" s="92"/>
      <c r="R93" s="49"/>
      <c r="S93" s="115">
        <f t="shared" si="16"/>
        <v>0</v>
      </c>
      <c r="T93" s="92"/>
      <c r="U93" s="49"/>
      <c r="V93" s="115">
        <f t="shared" si="17"/>
        <v>0</v>
      </c>
      <c r="W93" s="92"/>
      <c r="X93" s="49"/>
      <c r="Y93" s="115">
        <f t="shared" si="18"/>
        <v>0</v>
      </c>
      <c r="Z93" s="92"/>
      <c r="AA93" s="49"/>
      <c r="AB93" s="115">
        <f t="shared" si="19"/>
        <v>0</v>
      </c>
      <c r="AC93" s="92"/>
      <c r="AD93" s="49"/>
      <c r="AE93" s="115">
        <f t="shared" si="20"/>
        <v>0</v>
      </c>
      <c r="AF93" s="92"/>
      <c r="AG93" s="49"/>
      <c r="AH93" s="115">
        <f t="shared" si="21"/>
        <v>0</v>
      </c>
      <c r="AI93" s="92"/>
      <c r="AL93" s="92"/>
      <c r="AM93" s="92"/>
      <c r="AN93" s="92"/>
    </row>
    <row r="94" spans="3:40" x14ac:dyDescent="0.25">
      <c r="C94" s="100" t="str">
        <f>'MP Calculations'!D121</f>
        <v>2077-78</v>
      </c>
      <c r="D94" s="115" t="str">
        <f>IF(LEFT($C94,4)*1&lt;LEFT('General inputs'!$I$16,4)+'General inputs'!$H$38,SUM(G94,J94,M94,P94,S94,V94,Y94,AB94,AE94,AH94),"")</f>
        <v/>
      </c>
      <c r="E94" s="92"/>
      <c r="F94" s="49"/>
      <c r="G94" s="249"/>
      <c r="H94" s="92"/>
      <c r="I94" s="49"/>
      <c r="J94" s="249"/>
      <c r="K94" s="92"/>
      <c r="L94" s="250"/>
      <c r="M94" s="115"/>
      <c r="N94" s="92"/>
      <c r="O94" s="49"/>
      <c r="P94" s="115">
        <f t="shared" si="15"/>
        <v>0</v>
      </c>
      <c r="Q94" s="92"/>
      <c r="R94" s="49"/>
      <c r="S94" s="115">
        <f t="shared" si="16"/>
        <v>0</v>
      </c>
      <c r="T94" s="92"/>
      <c r="U94" s="49"/>
      <c r="V94" s="115">
        <f t="shared" si="17"/>
        <v>0</v>
      </c>
      <c r="W94" s="92"/>
      <c r="X94" s="49"/>
      <c r="Y94" s="115">
        <f t="shared" si="18"/>
        <v>0</v>
      </c>
      <c r="Z94" s="92"/>
      <c r="AA94" s="49"/>
      <c r="AB94" s="115">
        <f t="shared" si="19"/>
        <v>0</v>
      </c>
      <c r="AC94" s="92"/>
      <c r="AD94" s="49"/>
      <c r="AE94" s="115">
        <f t="shared" si="20"/>
        <v>0</v>
      </c>
      <c r="AF94" s="92"/>
      <c r="AG94" s="49"/>
      <c r="AH94" s="115">
        <f t="shared" si="21"/>
        <v>0</v>
      </c>
      <c r="AI94" s="92"/>
      <c r="AL94" s="92"/>
      <c r="AM94" s="92"/>
      <c r="AN94" s="92"/>
    </row>
    <row r="95" spans="3:40" x14ac:dyDescent="0.25">
      <c r="C95" s="100" t="str">
        <f>'MP Calculations'!D122</f>
        <v>2078-79</v>
      </c>
      <c r="D95" s="115" t="str">
        <f>IF(LEFT($C95,4)*1&lt;LEFT('General inputs'!$I$16,4)+'General inputs'!$H$38,SUM(G95,J95,M95,P95,S95,V95,Y95,AB95,AE95,AH95),"")</f>
        <v/>
      </c>
      <c r="E95" s="92"/>
      <c r="F95" s="49"/>
      <c r="G95" s="249"/>
      <c r="H95" s="92"/>
      <c r="I95" s="49"/>
      <c r="J95" s="249"/>
      <c r="K95" s="92"/>
      <c r="L95" s="250"/>
      <c r="M95" s="115"/>
      <c r="N95" s="92"/>
      <c r="O95" s="49"/>
      <c r="P95" s="115">
        <f t="shared" si="15"/>
        <v>0</v>
      </c>
      <c r="Q95" s="92"/>
      <c r="R95" s="49"/>
      <c r="S95" s="115">
        <f t="shared" si="16"/>
        <v>0</v>
      </c>
      <c r="T95" s="92"/>
      <c r="U95" s="49"/>
      <c r="V95" s="115">
        <f t="shared" si="17"/>
        <v>0</v>
      </c>
      <c r="W95" s="92"/>
      <c r="X95" s="49"/>
      <c r="Y95" s="115">
        <f t="shared" si="18"/>
        <v>0</v>
      </c>
      <c r="Z95" s="92"/>
      <c r="AA95" s="49"/>
      <c r="AB95" s="115">
        <f t="shared" si="19"/>
        <v>0</v>
      </c>
      <c r="AC95" s="92"/>
      <c r="AD95" s="49"/>
      <c r="AE95" s="115">
        <f t="shared" si="20"/>
        <v>0</v>
      </c>
      <c r="AF95" s="92"/>
      <c r="AG95" s="49"/>
      <c r="AH95" s="115">
        <f t="shared" si="21"/>
        <v>0</v>
      </c>
      <c r="AI95" s="92"/>
      <c r="AL95" s="92"/>
      <c r="AM95" s="92"/>
      <c r="AN95" s="92"/>
    </row>
    <row r="96" spans="3:40" x14ac:dyDescent="0.25">
      <c r="C96" s="100" t="str">
        <f>'MP Calculations'!D123</f>
        <v>2079-80</v>
      </c>
      <c r="D96" s="115" t="str">
        <f>IF(LEFT($C96,4)*1&lt;LEFT('General inputs'!$I$16,4)+'General inputs'!$H$38,SUM(G96,J96,M96,P96,S96,V96,Y96,AB96,AE96,AH96),"")</f>
        <v/>
      </c>
      <c r="E96" s="92"/>
      <c r="F96" s="49"/>
      <c r="G96" s="249"/>
      <c r="H96" s="92"/>
      <c r="I96" s="49"/>
      <c r="J96" s="249"/>
      <c r="K96" s="92"/>
      <c r="L96" s="250"/>
      <c r="M96" s="115"/>
      <c r="N96" s="92"/>
      <c r="O96" s="49"/>
      <c r="P96" s="115">
        <f t="shared" si="15"/>
        <v>0</v>
      </c>
      <c r="Q96" s="92"/>
      <c r="R96" s="49"/>
      <c r="S96" s="115">
        <f t="shared" si="16"/>
        <v>0</v>
      </c>
      <c r="T96" s="92"/>
      <c r="U96" s="49"/>
      <c r="V96" s="115">
        <f t="shared" si="17"/>
        <v>0</v>
      </c>
      <c r="W96" s="92"/>
      <c r="X96" s="49"/>
      <c r="Y96" s="115">
        <f t="shared" si="18"/>
        <v>0</v>
      </c>
      <c r="Z96" s="92"/>
      <c r="AA96" s="49"/>
      <c r="AB96" s="115">
        <f t="shared" si="19"/>
        <v>0</v>
      </c>
      <c r="AC96" s="92"/>
      <c r="AD96" s="49"/>
      <c r="AE96" s="115">
        <f t="shared" si="20"/>
        <v>0</v>
      </c>
      <c r="AF96" s="92"/>
      <c r="AG96" s="49"/>
      <c r="AH96" s="115">
        <f t="shared" si="21"/>
        <v>0</v>
      </c>
      <c r="AI96" s="92"/>
      <c r="AL96" s="92"/>
      <c r="AM96" s="92"/>
      <c r="AN96" s="92"/>
    </row>
    <row r="97" spans="3:40" x14ac:dyDescent="0.25">
      <c r="C97" s="100" t="str">
        <f>'MP Calculations'!D124</f>
        <v>2080-81</v>
      </c>
      <c r="D97" s="115" t="str">
        <f>IF(LEFT($C97,4)*1&lt;LEFT('General inputs'!$I$16,4)+'General inputs'!$H$38,SUM(G97,J97,M97,P97,S97,V97,Y97,AB97,AE97,AH97),"")</f>
        <v/>
      </c>
      <c r="E97" s="92"/>
      <c r="F97" s="49"/>
      <c r="G97" s="249"/>
      <c r="H97" s="92"/>
      <c r="I97" s="49"/>
      <c r="J97" s="249"/>
      <c r="K97" s="92"/>
      <c r="L97" s="250"/>
      <c r="M97" s="115"/>
      <c r="N97" s="92"/>
      <c r="O97" s="49"/>
      <c r="P97" s="115">
        <f t="shared" si="15"/>
        <v>0</v>
      </c>
      <c r="Q97" s="92"/>
      <c r="R97" s="49"/>
      <c r="S97" s="115">
        <f t="shared" si="16"/>
        <v>0</v>
      </c>
      <c r="T97" s="92"/>
      <c r="U97" s="49"/>
      <c r="V97" s="115">
        <f t="shared" si="17"/>
        <v>0</v>
      </c>
      <c r="W97" s="92"/>
      <c r="X97" s="49"/>
      <c r="Y97" s="115">
        <f t="shared" si="18"/>
        <v>0</v>
      </c>
      <c r="Z97" s="92"/>
      <c r="AA97" s="49"/>
      <c r="AB97" s="115">
        <f t="shared" si="19"/>
        <v>0</v>
      </c>
      <c r="AC97" s="92"/>
      <c r="AD97" s="49"/>
      <c r="AE97" s="115">
        <f t="shared" si="20"/>
        <v>0</v>
      </c>
      <c r="AF97" s="92"/>
      <c r="AG97" s="49"/>
      <c r="AH97" s="115">
        <f t="shared" si="21"/>
        <v>0</v>
      </c>
      <c r="AI97" s="92"/>
      <c r="AL97" s="92"/>
      <c r="AM97" s="92"/>
      <c r="AN97" s="92"/>
    </row>
    <row r="98" spans="3:40" x14ac:dyDescent="0.25">
      <c r="C98" s="100" t="str">
        <f>'MP Calculations'!D125</f>
        <v>2081-82</v>
      </c>
      <c r="D98" s="115" t="str">
        <f>IF(LEFT($C98,4)*1&lt;LEFT('General inputs'!$I$16,4)+'General inputs'!$H$38,SUM(G98,J98,M98,P98,S98,V98,Y98,AB98,AE98,AH98),"")</f>
        <v/>
      </c>
      <c r="E98" s="92"/>
      <c r="F98" s="49"/>
      <c r="G98" s="249"/>
      <c r="H98" s="92"/>
      <c r="I98" s="49"/>
      <c r="J98" s="249"/>
      <c r="K98" s="92"/>
      <c r="L98" s="250"/>
      <c r="M98" s="115"/>
      <c r="N98" s="92"/>
      <c r="O98" s="49"/>
      <c r="P98" s="115">
        <f t="shared" si="15"/>
        <v>0</v>
      </c>
      <c r="Q98" s="92"/>
      <c r="R98" s="49"/>
      <c r="S98" s="115">
        <f t="shared" si="16"/>
        <v>0</v>
      </c>
      <c r="T98" s="92"/>
      <c r="U98" s="49"/>
      <c r="V98" s="115">
        <f t="shared" si="17"/>
        <v>0</v>
      </c>
      <c r="W98" s="92"/>
      <c r="X98" s="49"/>
      <c r="Y98" s="115">
        <f t="shared" si="18"/>
        <v>0</v>
      </c>
      <c r="Z98" s="92"/>
      <c r="AA98" s="49"/>
      <c r="AB98" s="115">
        <f t="shared" si="19"/>
        <v>0</v>
      </c>
      <c r="AC98" s="92"/>
      <c r="AD98" s="49"/>
      <c r="AE98" s="115">
        <f t="shared" si="20"/>
        <v>0</v>
      </c>
      <c r="AF98" s="92"/>
      <c r="AG98" s="49"/>
      <c r="AH98" s="115">
        <f t="shared" si="21"/>
        <v>0</v>
      </c>
      <c r="AI98" s="92"/>
      <c r="AL98" s="92"/>
      <c r="AM98" s="92"/>
      <c r="AN98" s="92"/>
    </row>
    <row r="99" spans="3:40" x14ac:dyDescent="0.25">
      <c r="C99" s="100" t="str">
        <f>'MP Calculations'!D126</f>
        <v>2082-83</v>
      </c>
      <c r="D99" s="115" t="str">
        <f>IF(LEFT($C99,4)*1&lt;LEFT('General inputs'!$I$16,4)+'General inputs'!$H$38,SUM(G99,J99,M99,P99,S99,V99,Y99,AB99,AE99,AH99),"")</f>
        <v/>
      </c>
      <c r="E99" s="92"/>
      <c r="F99" s="49"/>
      <c r="G99" s="249"/>
      <c r="H99" s="92"/>
      <c r="I99" s="49"/>
      <c r="J99" s="249"/>
      <c r="K99" s="92"/>
      <c r="L99" s="250"/>
      <c r="M99" s="115"/>
      <c r="N99" s="92"/>
      <c r="O99" s="49"/>
      <c r="P99" s="115">
        <f t="shared" si="15"/>
        <v>0</v>
      </c>
      <c r="Q99" s="92"/>
      <c r="R99" s="49"/>
      <c r="S99" s="115">
        <f t="shared" si="16"/>
        <v>0</v>
      </c>
      <c r="T99" s="92"/>
      <c r="U99" s="49"/>
      <c r="V99" s="115">
        <f t="shared" si="17"/>
        <v>0</v>
      </c>
      <c r="W99" s="92"/>
      <c r="X99" s="49"/>
      <c r="Y99" s="115">
        <f t="shared" si="18"/>
        <v>0</v>
      </c>
      <c r="Z99" s="92"/>
      <c r="AA99" s="49"/>
      <c r="AB99" s="115">
        <f t="shared" si="19"/>
        <v>0</v>
      </c>
      <c r="AC99" s="92"/>
      <c r="AD99" s="49"/>
      <c r="AE99" s="115">
        <f t="shared" si="20"/>
        <v>0</v>
      </c>
      <c r="AF99" s="92"/>
      <c r="AG99" s="49"/>
      <c r="AH99" s="115">
        <f t="shared" si="21"/>
        <v>0</v>
      </c>
      <c r="AI99" s="92"/>
      <c r="AL99" s="92"/>
      <c r="AM99" s="92"/>
      <c r="AN99" s="92"/>
    </row>
    <row r="100" spans="3:40" x14ac:dyDescent="0.25">
      <c r="C100" s="100" t="str">
        <f>'MP Calculations'!D127</f>
        <v>2083-84</v>
      </c>
      <c r="D100" s="115" t="str">
        <f>IF(LEFT($C100,4)*1&lt;LEFT('General inputs'!$I$16,4)+'General inputs'!$H$38,SUM(G100,J100,M100,P100,S100,V100,Y100,AB100,AE100,AH100),"")</f>
        <v/>
      </c>
      <c r="E100" s="92"/>
      <c r="F100" s="49"/>
      <c r="G100" s="249"/>
      <c r="H100" s="92"/>
      <c r="I100" s="49"/>
      <c r="J100" s="249"/>
      <c r="K100" s="92"/>
      <c r="L100" s="250"/>
      <c r="M100" s="115"/>
      <c r="N100" s="92"/>
      <c r="O100" s="49"/>
      <c r="P100" s="115">
        <f t="shared" si="15"/>
        <v>0</v>
      </c>
      <c r="Q100" s="92"/>
      <c r="R100" s="49"/>
      <c r="S100" s="115">
        <f t="shared" si="16"/>
        <v>0</v>
      </c>
      <c r="T100" s="92"/>
      <c r="U100" s="49"/>
      <c r="V100" s="115">
        <f t="shared" si="17"/>
        <v>0</v>
      </c>
      <c r="W100" s="92"/>
      <c r="X100" s="49"/>
      <c r="Y100" s="115">
        <f t="shared" si="18"/>
        <v>0</v>
      </c>
      <c r="Z100" s="92"/>
      <c r="AA100" s="49"/>
      <c r="AB100" s="115">
        <f t="shared" si="19"/>
        <v>0</v>
      </c>
      <c r="AC100" s="92"/>
      <c r="AD100" s="49"/>
      <c r="AE100" s="115">
        <f t="shared" si="20"/>
        <v>0</v>
      </c>
      <c r="AF100" s="92"/>
      <c r="AG100" s="49"/>
      <c r="AH100" s="115">
        <f t="shared" si="21"/>
        <v>0</v>
      </c>
      <c r="AI100" s="92"/>
      <c r="AL100" s="92"/>
      <c r="AM100" s="92"/>
      <c r="AN100" s="92"/>
    </row>
    <row r="101" spans="3:40" x14ac:dyDescent="0.25">
      <c r="C101" s="100" t="str">
        <f>'MP Calculations'!D128</f>
        <v>2084-85</v>
      </c>
      <c r="D101" s="115" t="str">
        <f>IF(LEFT($C101,4)*1&lt;LEFT('General inputs'!$I$16,4)+'General inputs'!$H$38,SUM(G101,J101,M101,P101,S101,V101,Y101,AB101,AE101,AH101),"")</f>
        <v/>
      </c>
      <c r="E101" s="92"/>
      <c r="F101" s="49"/>
      <c r="G101" s="249"/>
      <c r="H101" s="92"/>
      <c r="I101" s="49"/>
      <c r="J101" s="249"/>
      <c r="K101" s="92"/>
      <c r="L101" s="250"/>
      <c r="M101" s="115"/>
      <c r="N101" s="92"/>
      <c r="O101" s="49"/>
      <c r="P101" s="115">
        <f t="shared" si="15"/>
        <v>0</v>
      </c>
      <c r="Q101" s="92"/>
      <c r="R101" s="49"/>
      <c r="S101" s="115">
        <f t="shared" si="16"/>
        <v>0</v>
      </c>
      <c r="T101" s="92"/>
      <c r="U101" s="49"/>
      <c r="V101" s="115">
        <f t="shared" si="17"/>
        <v>0</v>
      </c>
      <c r="W101" s="92"/>
      <c r="X101" s="49"/>
      <c r="Y101" s="115">
        <f t="shared" si="18"/>
        <v>0</v>
      </c>
      <c r="Z101" s="92"/>
      <c r="AA101" s="49"/>
      <c r="AB101" s="115">
        <f t="shared" si="19"/>
        <v>0</v>
      </c>
      <c r="AC101" s="92"/>
      <c r="AD101" s="49"/>
      <c r="AE101" s="115">
        <f t="shared" si="20"/>
        <v>0</v>
      </c>
      <c r="AF101" s="92"/>
      <c r="AG101" s="49"/>
      <c r="AH101" s="115">
        <f t="shared" si="21"/>
        <v>0</v>
      </c>
      <c r="AI101" s="92"/>
      <c r="AL101" s="92"/>
      <c r="AM101" s="92"/>
      <c r="AN101" s="92"/>
    </row>
    <row r="102" spans="3:40" x14ac:dyDescent="0.25">
      <c r="C102" s="100" t="str">
        <f>'MP Calculations'!D129</f>
        <v>2085-86</v>
      </c>
      <c r="D102" s="115" t="str">
        <f>IF(LEFT($C102,4)*1&lt;LEFT('General inputs'!$I$16,4)+'General inputs'!$H$38,SUM(G102,J102,M102,P102,S102,V102,Y102,AB102,AE102,AH102),"")</f>
        <v/>
      </c>
      <c r="E102" s="92"/>
      <c r="F102" s="49"/>
      <c r="G102" s="249"/>
      <c r="H102" s="92"/>
      <c r="I102" s="49"/>
      <c r="J102" s="249"/>
      <c r="K102" s="92"/>
      <c r="L102" s="250"/>
      <c r="M102" s="115"/>
      <c r="N102" s="92"/>
      <c r="O102" s="49"/>
      <c r="P102" s="115">
        <f t="shared" si="15"/>
        <v>0</v>
      </c>
      <c r="Q102" s="92"/>
      <c r="R102" s="49"/>
      <c r="S102" s="115">
        <f t="shared" si="16"/>
        <v>0</v>
      </c>
      <c r="T102" s="92"/>
      <c r="U102" s="49"/>
      <c r="V102" s="115">
        <f t="shared" si="17"/>
        <v>0</v>
      </c>
      <c r="W102" s="92"/>
      <c r="X102" s="49"/>
      <c r="Y102" s="115">
        <f t="shared" si="18"/>
        <v>0</v>
      </c>
      <c r="Z102" s="92"/>
      <c r="AA102" s="49"/>
      <c r="AB102" s="115">
        <f t="shared" si="19"/>
        <v>0</v>
      </c>
      <c r="AC102" s="92"/>
      <c r="AD102" s="49"/>
      <c r="AE102" s="115">
        <f t="shared" si="20"/>
        <v>0</v>
      </c>
      <c r="AF102" s="92"/>
      <c r="AG102" s="49"/>
      <c r="AH102" s="115">
        <f t="shared" si="21"/>
        <v>0</v>
      </c>
      <c r="AI102" s="92"/>
      <c r="AL102" s="92"/>
      <c r="AM102" s="92"/>
      <c r="AN102" s="92"/>
    </row>
    <row r="103" spans="3:40" x14ac:dyDescent="0.25">
      <c r="D103" s="55"/>
      <c r="E103" s="1"/>
      <c r="F103" s="55"/>
      <c r="G103" s="55"/>
      <c r="I103" s="55"/>
      <c r="J103" s="55"/>
      <c r="L103" s="68"/>
      <c r="M103" s="55"/>
      <c r="O103" s="55"/>
      <c r="P103" s="55"/>
      <c r="R103" s="55"/>
      <c r="S103" s="55"/>
      <c r="U103" s="55"/>
      <c r="V103" s="55"/>
      <c r="X103" s="55"/>
      <c r="Y103" s="55"/>
      <c r="AA103" s="55"/>
      <c r="AB103" s="55"/>
      <c r="AD103" s="55"/>
      <c r="AE103" s="55"/>
      <c r="AG103" s="55"/>
      <c r="AH103" s="55"/>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U12:U102 X12:X102 AA12:AA102 AD12:AD102 AG12:AG102 O12:O102 R12:R102 F12:F102 I12:I102 L12:L102</xm:sqref>
        </x14:conditionalFormatting>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http://purl.org/dc/elements/1.1/"/>
    <ds:schemaRef ds:uri="http://schemas.microsoft.com/office/2006/metadata/properties"/>
    <ds:schemaRef ds:uri="37dbf6c8-2d13-4cc8-b9cc-158f7eeca08b"/>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adaf1f68-63ae-4574-8325-2993fa162e81"/>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FDEBC013-741F-46C2-8919-768B0B943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2016-12-23T00:30:19Z</cp:lastPrinted>
  <dcterms:created xsi:type="dcterms:W3CDTF">2014-05-19T07:21:06Z</dcterms:created>
  <dcterms:modified xsi:type="dcterms:W3CDTF">2023-11-30T23:52:38Z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