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7815" windowWidth="16695" windowHeight="3945" activeTab="1"/>
  </bookViews>
  <sheets>
    <sheet name="Price indices" sheetId="1" r:id="rId1"/>
    <sheet name="Survey data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6" i="1" l="1"/>
  <c r="O18" i="1"/>
  <c r="G18" i="1"/>
  <c r="I18" i="1"/>
  <c r="B97" i="1" l="1"/>
  <c r="B55" i="1"/>
  <c r="D57" i="1"/>
  <c r="T57" i="1" s="1"/>
  <c r="T76" i="1" s="1"/>
  <c r="W56" i="1"/>
  <c r="AB42" i="1"/>
  <c r="AB41" i="1"/>
  <c r="AB40" i="1"/>
  <c r="G24" i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N25" i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P26" i="1"/>
  <c r="Q26" i="1" s="1"/>
  <c r="R26" i="1" s="1"/>
  <c r="S26" i="1" s="1"/>
  <c r="T26" i="1" s="1"/>
  <c r="U26" i="1" s="1"/>
  <c r="V26" i="1" s="1"/>
  <c r="W26" i="1" s="1"/>
  <c r="X26" i="1" s="1"/>
  <c r="H18" i="1"/>
  <c r="J18" i="1" s="1"/>
  <c r="K18" i="1" s="1"/>
  <c r="L18" i="1" s="1"/>
  <c r="M18" i="1" s="1"/>
  <c r="N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N19" i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G16" i="1"/>
  <c r="H16" i="1"/>
  <c r="I16" i="1"/>
  <c r="J16" i="1"/>
  <c r="K16" i="1"/>
  <c r="L16" i="1"/>
  <c r="M16" i="1"/>
  <c r="B25" i="1" s="1"/>
  <c r="N16" i="1"/>
  <c r="O16" i="1"/>
  <c r="B26" i="1" s="1"/>
  <c r="P16" i="1"/>
  <c r="Q16" i="1"/>
  <c r="R16" i="1"/>
  <c r="S16" i="1"/>
  <c r="T16" i="1"/>
  <c r="B27" i="1" s="1"/>
  <c r="U16" i="1"/>
  <c r="V16" i="1"/>
  <c r="W16" i="1"/>
  <c r="X16" i="1"/>
  <c r="Y16" i="1"/>
  <c r="Z16" i="1"/>
  <c r="F16" i="1"/>
  <c r="B18" i="1" s="1"/>
  <c r="B96" i="1"/>
  <c r="B95" i="1"/>
  <c r="B94" i="1"/>
  <c r="B93" i="1"/>
  <c r="B92" i="1"/>
  <c r="B91" i="1"/>
  <c r="W88" i="1"/>
  <c r="T88" i="1"/>
  <c r="S88" i="1"/>
  <c r="R88" i="1"/>
  <c r="Q86" i="1"/>
  <c r="P86" i="1"/>
  <c r="B86" i="1"/>
  <c r="O85" i="1"/>
  <c r="N85" i="1"/>
  <c r="M85" i="1"/>
  <c r="C85" i="1"/>
  <c r="B85" i="1"/>
  <c r="C84" i="1"/>
  <c r="B84" i="1"/>
  <c r="W83" i="1"/>
  <c r="T83" i="1"/>
  <c r="S83" i="1"/>
  <c r="R83" i="1"/>
  <c r="Q83" i="1"/>
  <c r="P83" i="1"/>
  <c r="C83" i="1"/>
  <c r="B83" i="1"/>
  <c r="C74" i="1"/>
  <c r="C75" i="1" s="1"/>
  <c r="C76" i="1" s="1"/>
  <c r="C77" i="1" s="1"/>
  <c r="C78" i="1" s="1"/>
  <c r="C69" i="1"/>
  <c r="C88" i="1" s="1"/>
  <c r="T67" i="1"/>
  <c r="S67" i="1"/>
  <c r="P67" i="1"/>
  <c r="O67" i="1"/>
  <c r="C67" i="1"/>
  <c r="C70" i="1" s="1"/>
  <c r="C89" i="1" s="1"/>
  <c r="U66" i="1"/>
  <c r="T65" i="1"/>
  <c r="S65" i="1"/>
  <c r="N64" i="1"/>
  <c r="M64" i="1"/>
  <c r="M56" i="1" l="1"/>
  <c r="X56" i="1"/>
  <c r="X58" i="1" s="1"/>
  <c r="P57" i="1"/>
  <c r="P95" i="1" s="1"/>
  <c r="V57" i="1"/>
  <c r="V73" i="1" s="1"/>
  <c r="Q56" i="1"/>
  <c r="Y57" i="1"/>
  <c r="Y92" i="1" s="1"/>
  <c r="R57" i="1"/>
  <c r="R73" i="1" s="1"/>
  <c r="W57" i="1"/>
  <c r="S56" i="1"/>
  <c r="N57" i="1"/>
  <c r="N73" i="1" s="1"/>
  <c r="S57" i="1"/>
  <c r="S95" i="1" s="1"/>
  <c r="X57" i="1"/>
  <c r="X76" i="1" s="1"/>
  <c r="O57" i="1"/>
  <c r="O95" i="1" s="1"/>
  <c r="D58" i="1"/>
  <c r="B19" i="1"/>
  <c r="B20" i="1"/>
  <c r="B24" i="1"/>
  <c r="W92" i="1"/>
  <c r="T92" i="1"/>
  <c r="X92" i="1"/>
  <c r="O73" i="1"/>
  <c r="C86" i="1"/>
  <c r="W73" i="1"/>
  <c r="W95" i="1"/>
  <c r="V92" i="1"/>
  <c r="W76" i="1"/>
  <c r="W58" i="1"/>
  <c r="W75" i="1" s="1"/>
  <c r="X95" i="1"/>
  <c r="X73" i="1"/>
  <c r="T73" i="1"/>
  <c r="O92" i="1"/>
  <c r="T95" i="1"/>
  <c r="V95" i="1"/>
  <c r="V76" i="1"/>
  <c r="V56" i="1"/>
  <c r="V58" i="1" s="1"/>
  <c r="R56" i="1"/>
  <c r="N56" i="1"/>
  <c r="O56" i="1"/>
  <c r="T56" i="1"/>
  <c r="T58" i="1" s="1"/>
  <c r="Y56" i="1"/>
  <c r="P56" i="1"/>
  <c r="U56" i="1"/>
  <c r="M57" i="1"/>
  <c r="Q57" i="1"/>
  <c r="U57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J32" i="1"/>
  <c r="Y11" i="1"/>
  <c r="Y26" i="1" s="1"/>
  <c r="R95" i="1" l="1"/>
  <c r="Y76" i="1"/>
  <c r="R92" i="1"/>
  <c r="P73" i="1"/>
  <c r="S76" i="1"/>
  <c r="P58" i="1"/>
  <c r="P75" i="1" s="1"/>
  <c r="Y95" i="1"/>
  <c r="R76" i="1"/>
  <c r="O58" i="1"/>
  <c r="O94" i="1" s="1"/>
  <c r="P76" i="1"/>
  <c r="O76" i="1"/>
  <c r="S73" i="1"/>
  <c r="X75" i="1"/>
  <c r="X93" i="1"/>
  <c r="N76" i="1"/>
  <c r="N58" i="1"/>
  <c r="N75" i="1" s="1"/>
  <c r="Y73" i="1"/>
  <c r="N95" i="1"/>
  <c r="Y58" i="1"/>
  <c r="Y75" i="1" s="1"/>
  <c r="R58" i="1"/>
  <c r="R94" i="1" s="1"/>
  <c r="S92" i="1"/>
  <c r="N92" i="1"/>
  <c r="P92" i="1"/>
  <c r="S58" i="1"/>
  <c r="Y24" i="1"/>
  <c r="Y25" i="1"/>
  <c r="X74" i="1"/>
  <c r="X94" i="1"/>
  <c r="W94" i="1"/>
  <c r="T74" i="1"/>
  <c r="W74" i="1"/>
  <c r="W77" i="1" s="1"/>
  <c r="W78" i="1" s="1"/>
  <c r="W93" i="1"/>
  <c r="U92" i="1"/>
  <c r="U73" i="1"/>
  <c r="U58" i="1"/>
  <c r="U75" i="1" s="1"/>
  <c r="Q92" i="1"/>
  <c r="Q73" i="1"/>
  <c r="M58" i="1"/>
  <c r="M74" i="1" s="1"/>
  <c r="M92" i="1"/>
  <c r="M73" i="1"/>
  <c r="Q76" i="1"/>
  <c r="Q95" i="1"/>
  <c r="T93" i="1"/>
  <c r="T94" i="1"/>
  <c r="T75" i="1"/>
  <c r="R93" i="1"/>
  <c r="M95" i="1"/>
  <c r="M76" i="1"/>
  <c r="O75" i="1"/>
  <c r="V94" i="1"/>
  <c r="V75" i="1"/>
  <c r="V93" i="1"/>
  <c r="V74" i="1"/>
  <c r="Q58" i="1"/>
  <c r="P74" i="1"/>
  <c r="U95" i="1"/>
  <c r="U76" i="1"/>
  <c r="N94" i="1"/>
  <c r="N74" i="1"/>
  <c r="P94" i="1" l="1"/>
  <c r="O93" i="1"/>
  <c r="R74" i="1"/>
  <c r="R77" i="1" s="1"/>
  <c r="R78" i="1" s="1"/>
  <c r="Y94" i="1"/>
  <c r="N93" i="1"/>
  <c r="N96" i="1" s="1"/>
  <c r="N97" i="1" s="1"/>
  <c r="R75" i="1"/>
  <c r="X77" i="1"/>
  <c r="X78" i="1" s="1"/>
  <c r="O74" i="1"/>
  <c r="O77" i="1" s="1"/>
  <c r="O78" i="1" s="1"/>
  <c r="Y74" i="1"/>
  <c r="Y77" i="1" s="1"/>
  <c r="Y78" i="1" s="1"/>
  <c r="Y93" i="1"/>
  <c r="P93" i="1"/>
  <c r="P96" i="1" s="1"/>
  <c r="P97" i="1" s="1"/>
  <c r="X96" i="1"/>
  <c r="X97" i="1" s="1"/>
  <c r="S94" i="1"/>
  <c r="S75" i="1"/>
  <c r="S74" i="1"/>
  <c r="S93" i="1"/>
  <c r="W96" i="1"/>
  <c r="W97" i="1" s="1"/>
  <c r="T77" i="1"/>
  <c r="T78" i="1" s="1"/>
  <c r="P77" i="1"/>
  <c r="P78" i="1" s="1"/>
  <c r="V77" i="1"/>
  <c r="V78" i="1" s="1"/>
  <c r="U74" i="1"/>
  <c r="U77" i="1" s="1"/>
  <c r="U78" i="1" s="1"/>
  <c r="U94" i="1"/>
  <c r="R96" i="1"/>
  <c r="R97" i="1" s="1"/>
  <c r="M93" i="1"/>
  <c r="M75" i="1"/>
  <c r="M77" i="1" s="1"/>
  <c r="M78" i="1" s="1"/>
  <c r="U93" i="1"/>
  <c r="M94" i="1"/>
  <c r="Q94" i="1"/>
  <c r="Q75" i="1"/>
  <c r="Q93" i="1"/>
  <c r="Q74" i="1"/>
  <c r="T96" i="1"/>
  <c r="T97" i="1" s="1"/>
  <c r="V96" i="1"/>
  <c r="V97" i="1" s="1"/>
  <c r="O96" i="1"/>
  <c r="O97" i="1" s="1"/>
  <c r="N77" i="1"/>
  <c r="N78" i="1" s="1"/>
  <c r="Y96" i="1" l="1"/>
  <c r="Y97" i="1" s="1"/>
  <c r="S77" i="1"/>
  <c r="S78" i="1" s="1"/>
  <c r="S96" i="1"/>
  <c r="S97" i="1" s="1"/>
  <c r="M96" i="1"/>
  <c r="M97" i="1" s="1"/>
  <c r="U96" i="1"/>
  <c r="U97" i="1" s="1"/>
  <c r="Q77" i="1"/>
  <c r="Q78" i="1" s="1"/>
  <c r="Q96" i="1"/>
  <c r="Q97" i="1" s="1"/>
  <c r="Z11" i="1" l="1"/>
  <c r="B21" i="1"/>
  <c r="U21" i="1"/>
  <c r="V21" i="1" s="1"/>
  <c r="W21" i="1" s="1"/>
  <c r="X21" i="1" s="1"/>
  <c r="Y21" i="1" s="1"/>
  <c r="Z21" i="1" s="1"/>
  <c r="P20" i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U27" i="1"/>
  <c r="V27" i="1" s="1"/>
  <c r="W27" i="1" s="1"/>
  <c r="X27" i="1" s="1"/>
  <c r="Y27" i="1" s="1"/>
  <c r="Z26" i="1" l="1"/>
  <c r="Z25" i="1"/>
  <c r="Z24" i="1"/>
  <c r="Z27" i="1"/>
</calcChain>
</file>

<file path=xl/comments1.xml><?xml version="1.0" encoding="utf-8"?>
<comments xmlns="http://schemas.openxmlformats.org/spreadsheetml/2006/main">
  <authors>
    <author>Bee Thompson</author>
  </authors>
  <commentList>
    <comment ref="Y11" authorId="0">
      <text>
        <r>
          <rPr>
            <b/>
            <sz val="9"/>
            <color indexed="81"/>
            <rFont val="Tahoma"/>
            <family val="2"/>
          </rPr>
          <t>Bee Thompson:</t>
        </r>
        <r>
          <rPr>
            <sz val="9"/>
            <color indexed="81"/>
            <rFont val="Tahoma"/>
            <family val="2"/>
          </rPr>
          <t xml:space="preserve">
estimate</t>
        </r>
      </text>
    </comment>
    <comment ref="X64" authorId="0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TRIM D10/7643</t>
        </r>
      </text>
    </comment>
    <comment ref="M85" authorId="0">
      <text>
        <r>
          <rPr>
            <b/>
            <sz val="11"/>
            <color indexed="81"/>
            <rFont val="Tahoma"/>
            <family val="2"/>
          </rPr>
          <t>Bee Thompson:</t>
        </r>
        <r>
          <rPr>
            <sz val="11"/>
            <color indexed="81"/>
            <rFont val="Tahoma"/>
            <family val="2"/>
          </rPr>
          <t xml:space="preserve">
billing period was 2 months. Step adjusted for 3 monthly billing period</t>
        </r>
      </text>
    </comment>
    <comment ref="N85" authorId="0">
      <text>
        <r>
          <rPr>
            <b/>
            <sz val="11"/>
            <color indexed="81"/>
            <rFont val="Tahoma"/>
            <family val="2"/>
          </rPr>
          <t>Bee Thompson:</t>
        </r>
        <r>
          <rPr>
            <sz val="11"/>
            <color indexed="81"/>
            <rFont val="Tahoma"/>
            <family val="2"/>
          </rPr>
          <t xml:space="preserve">
billing period was 2 months. Step adjusted for 3 monthly billing period</t>
        </r>
      </text>
    </comment>
    <comment ref="O85" authorId="0">
      <text>
        <r>
          <rPr>
            <b/>
            <sz val="11"/>
            <color indexed="81"/>
            <rFont val="Tahoma"/>
            <family val="2"/>
          </rPr>
          <t>Bee Thompson:</t>
        </r>
        <r>
          <rPr>
            <sz val="11"/>
            <color indexed="81"/>
            <rFont val="Tahoma"/>
            <family val="2"/>
          </rPr>
          <t xml:space="preserve">
billing period was 2 months. Step adjusted for 3 monthly billing period</t>
        </r>
      </text>
    </comment>
  </commentList>
</comments>
</file>

<file path=xl/sharedStrings.xml><?xml version="1.0" encoding="utf-8"?>
<sst xmlns="http://schemas.openxmlformats.org/spreadsheetml/2006/main" count="161" uniqueCount="81">
  <si>
    <t>%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</si>
  <si>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</si>
  <si>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</si>
  <si>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</si>
  <si>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</si>
  <si>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</si>
  <si>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</si>
  <si>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</si>
  <si>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</si>
  <si>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</si>
  <si>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</si>
  <si>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</si>
  <si>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</si>
  <si>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</si>
  <si>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</si>
  <si>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</si>
  <si>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</si>
  <si>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</si>
  <si>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</si>
  <si>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</si>
  <si>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1992/93</t>
  </si>
  <si>
    <t>Nominal (including GST)</t>
  </si>
  <si>
    <t>Real (including GST)</t>
  </si>
  <si>
    <t>pre-GST</t>
  </si>
  <si>
    <t>post-GST</t>
  </si>
  <si>
    <t>GST</t>
  </si>
  <si>
    <t>2012/13</t>
  </si>
  <si>
    <t>kWh pa</t>
  </si>
  <si>
    <t>2012/13 = draft decision</t>
  </si>
  <si>
    <t>provisional estimate of inflation</t>
  </si>
  <si>
    <t xml:space="preserve">Total consumption by customer </t>
  </si>
  <si>
    <t xml:space="preserve">  .. of which  on controlled load tariff</t>
  </si>
  <si>
    <t xml:space="preserve"> …………………………standard tariff</t>
  </si>
  <si>
    <t>Domestic all-time tariff (excluding GST)</t>
  </si>
  <si>
    <t>excl ESF</t>
  </si>
  <si>
    <t>incl ESF</t>
  </si>
  <si>
    <t>Fixed charge</t>
  </si>
  <si>
    <t>c/day</t>
  </si>
  <si>
    <t>Block 1 charge</t>
  </si>
  <si>
    <t>c/kWh</t>
  </si>
  <si>
    <t xml:space="preserve"> .. For consumption up to </t>
  </si>
  <si>
    <t>kWh/year</t>
  </si>
  <si>
    <t>Block 2 charge</t>
  </si>
  <si>
    <t>Off-peak charge</t>
  </si>
  <si>
    <t>Off-peak charge (OP1)</t>
  </si>
  <si>
    <t>Customer bill</t>
  </si>
  <si>
    <t>$ pa (nominal)</t>
  </si>
  <si>
    <t>Controlled load usage charge</t>
  </si>
  <si>
    <t>Total bill excluding GST</t>
  </si>
  <si>
    <t>Total bill including GST</t>
  </si>
  <si>
    <t>Domestic tariff (excluding GST)</t>
  </si>
  <si>
    <t>inc ESF</t>
  </si>
  <si>
    <t>Bills for residential customers (nominal)</t>
  </si>
  <si>
    <t>Assumptions</t>
  </si>
  <si>
    <t>EnergyAustralia Bills</t>
  </si>
  <si>
    <t>Integral Energy Bills</t>
  </si>
  <si>
    <t>Real indices</t>
  </si>
  <si>
    <t>Nominal indices</t>
  </si>
  <si>
    <t xml:space="preserve"> Change in average regulated electricity prices in NSW (weighted average)</t>
  </si>
  <si>
    <t>Price indices - regulated electricty prices in NSW (weighted average)</t>
  </si>
  <si>
    <t>Report</t>
  </si>
  <si>
    <t>Use mains gas?</t>
  </si>
  <si>
    <t xml:space="preserve">Have controlled load consumption </t>
  </si>
  <si>
    <t>no</t>
  </si>
  <si>
    <t>Mean</t>
  </si>
  <si>
    <t>N</t>
  </si>
  <si>
    <t>Std. Deviation</t>
  </si>
  <si>
    <t>Median</t>
  </si>
  <si>
    <t>yes</t>
  </si>
  <si>
    <t>Total</t>
  </si>
  <si>
    <t xml:space="preserve">yes </t>
  </si>
  <si>
    <t xml:space="preserve">Typical consumption for customers </t>
  </si>
  <si>
    <t>Customer #1 : Does not use gas, has Controlled Load  (mainly used for off-peak hot water)</t>
  </si>
  <si>
    <t>Customer #2 : Uses gas, does not have Controlled Load</t>
  </si>
  <si>
    <t>Customer #3 : "Average" customer</t>
  </si>
  <si>
    <t>Select customer type for bills calculation</t>
  </si>
  <si>
    <t>Consumption data from 2010 household survey in Sydney</t>
  </si>
  <si>
    <t>Independent pricing and Regulatory Tribunal of NSW</t>
  </si>
  <si>
    <t>Regulated residential electricty prices in NSW - indices and typical bills</t>
  </si>
  <si>
    <t>Total electricity consumption</t>
  </si>
  <si>
    <t>Controlled load electricity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</si>
</sst>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_(* #,##0_);_(* \(#,##0\);_(* &quot;-&quot;_);_(@_)"/>
    <numFmt numFmtId="168" formatCode="#,##0_ ;\-#,##0\ "/>
    <numFmt numFmtId="169" formatCode="_-* #,##0.000_-;\-* #,##0.000_-;_-* &quot;-&quot;??_-;_-@_-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theme="3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167" fontId="13" fillId="4" borderId="0" applyBorder="0" applyAlignment="0">
      <alignment horizontal="right"/>
      <protection locked="0"/>
    </xf>
    <xf numFmtId="0" fontId="1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0" fillId="0" borderId="0" xfId="0" applyFill="1" applyBorder="1"/>
    <xf numFmtId="0" fontId="0" fillId="0" borderId="0" xfId="0" applyBorder="1"/>
    <xf numFmtId="164" fontId="3" fillId="0" borderId="0" xfId="2" applyNumberFormat="1" applyFont="1" applyBorder="1"/>
    <xf numFmtId="0" fontId="2" fillId="0" borderId="0" xfId="0" applyFont="1" applyFill="1" applyBorder="1"/>
    <xf numFmtId="0" fontId="0" fillId="0" borderId="1" xfId="0" applyBorder="1"/>
    <xf numFmtId="164" fontId="3" fillId="0" borderId="1" xfId="2" applyNumberFormat="1" applyFont="1" applyBorder="1"/>
    <xf numFmtId="0" fontId="0" fillId="0" borderId="2" xfId="0" applyFill="1" applyBorder="1"/>
    <xf numFmtId="0" fontId="2" fillId="0" borderId="2" xfId="0" applyFont="1" applyFill="1" applyBorder="1"/>
    <xf numFmtId="0" fontId="5" fillId="0" borderId="0" xfId="0" applyFont="1" applyFill="1" applyBorder="1"/>
    <xf numFmtId="164" fontId="0" fillId="0" borderId="0" xfId="2" applyNumberFormat="1" applyFont="1" applyBorder="1"/>
    <xf numFmtId="43" fontId="9" fillId="0" borderId="0" xfId="1" applyNumberFormat="1" applyFont="1" applyBorder="1"/>
    <xf numFmtId="43" fontId="0" fillId="0" borderId="0" xfId="1" applyNumberFormat="1" applyFont="1" applyBorder="1"/>
    <xf numFmtId="0" fontId="1" fillId="0" borderId="0" xfId="0" applyFont="1"/>
    <xf numFmtId="0" fontId="0" fillId="0" borderId="3" xfId="0" applyBorder="1"/>
    <xf numFmtId="0" fontId="2" fillId="0" borderId="3" xfId="0" applyFont="1" applyFill="1" applyBorder="1"/>
    <xf numFmtId="43" fontId="3" fillId="0" borderId="0" xfId="1" applyFont="1" applyBorder="1"/>
    <xf numFmtId="164" fontId="3" fillId="2" borderId="1" xfId="2" applyNumberFormat="1" applyFont="1" applyFill="1" applyBorder="1"/>
    <xf numFmtId="0" fontId="1" fillId="0" borderId="0" xfId="0" applyFont="1" applyBorder="1"/>
    <xf numFmtId="164" fontId="6" fillId="3" borderId="1" xfId="2" applyNumberFormat="1" applyFont="1" applyFill="1" applyBorder="1"/>
    <xf numFmtId="164" fontId="12" fillId="3" borderId="0" xfId="2" applyNumberFormat="1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165" fontId="1" fillId="0" borderId="0" xfId="2" applyNumberFormat="1" applyFont="1" applyFill="1" applyBorder="1"/>
    <xf numFmtId="10" fontId="1" fillId="0" borderId="0" xfId="2" applyNumberFormat="1" applyFont="1" applyFill="1" applyBorder="1"/>
    <xf numFmtId="164" fontId="2" fillId="0" borderId="0" xfId="2" applyNumberFormat="1" applyFont="1" applyFill="1" applyBorder="1"/>
    <xf numFmtId="43" fontId="1" fillId="0" borderId="0" xfId="1" applyFont="1" applyFill="1" applyBorder="1"/>
    <xf numFmtId="166" fontId="2" fillId="0" borderId="0" xfId="1" applyNumberFormat="1" applyFont="1" applyFill="1" applyBorder="1"/>
    <xf numFmtId="43" fontId="3" fillId="0" borderId="0" xfId="2" applyNumberFormat="1" applyFont="1" applyFill="1" applyBorder="1"/>
    <xf numFmtId="0" fontId="1" fillId="0" borderId="0" xfId="0" applyFont="1" applyFill="1" applyBorder="1" applyAlignment="1">
      <alignment horizontal="right"/>
    </xf>
    <xf numFmtId="43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/>
    <xf numFmtId="43" fontId="6" fillId="0" borderId="0" xfId="2" applyNumberFormat="1" applyFont="1" applyFill="1" applyBorder="1"/>
    <xf numFmtId="0" fontId="3" fillId="0" borderId="0" xfId="0" applyFont="1" applyFill="1" applyBorder="1"/>
    <xf numFmtId="0" fontId="14" fillId="0" borderId="0" xfId="3" applyFont="1" applyFill="1" applyBorder="1"/>
    <xf numFmtId="0" fontId="6" fillId="0" borderId="0" xfId="0" applyFont="1" applyFill="1" applyBorder="1"/>
    <xf numFmtId="165" fontId="1" fillId="0" borderId="0" xfId="1" applyNumberFormat="1" applyFont="1" applyFill="1" applyBorder="1"/>
    <xf numFmtId="165" fontId="2" fillId="0" borderId="0" xfId="0" applyNumberFormat="1" applyFont="1" applyFill="1" applyBorder="1"/>
    <xf numFmtId="2" fontId="3" fillId="0" borderId="0" xfId="2" applyNumberFormat="1" applyFont="1" applyFill="1" applyBorder="1"/>
    <xf numFmtId="1" fontId="3" fillId="0" borderId="0" xfId="2" applyNumberFormat="1" applyFont="1" applyFill="1" applyBorder="1"/>
    <xf numFmtId="0" fontId="0" fillId="0" borderId="0" xfId="0" applyFill="1"/>
    <xf numFmtId="0" fontId="1" fillId="0" borderId="4" xfId="0" applyFont="1" applyFill="1" applyBorder="1"/>
    <xf numFmtId="10" fontId="1" fillId="0" borderId="4" xfId="2" applyNumberFormat="1" applyFont="1" applyFill="1" applyBorder="1"/>
    <xf numFmtId="166" fontId="2" fillId="0" borderId="4" xfId="1" applyNumberFormat="1" applyFont="1" applyFill="1" applyBorder="1"/>
    <xf numFmtId="0" fontId="1" fillId="0" borderId="5" xfId="0" applyFont="1" applyFill="1" applyBorder="1"/>
    <xf numFmtId="0" fontId="14" fillId="0" borderId="5" xfId="3" applyFont="1" applyFill="1" applyBorder="1"/>
    <xf numFmtId="0" fontId="2" fillId="0" borderId="4" xfId="0" applyFont="1" applyFill="1" applyBorder="1"/>
    <xf numFmtId="0" fontId="0" fillId="0" borderId="3" xfId="0" applyFill="1" applyBorder="1"/>
    <xf numFmtId="0" fontId="1" fillId="0" borderId="1" xfId="0" applyFont="1" applyFill="1" applyBorder="1"/>
    <xf numFmtId="1" fontId="1" fillId="0" borderId="1" xfId="4" applyNumberFormat="1" applyFont="1" applyFill="1" applyBorder="1"/>
    <xf numFmtId="1" fontId="1" fillId="0" borderId="1" xfId="1" applyNumberFormat="1" applyFont="1" applyFill="1" applyBorder="1" applyAlignment="1">
      <alignment horizontal="right"/>
    </xf>
    <xf numFmtId="1" fontId="1" fillId="0" borderId="1" xfId="1" applyNumberFormat="1" applyFont="1" applyFill="1" applyBorder="1" applyAlignment="1">
      <alignment horizontal="left"/>
    </xf>
    <xf numFmtId="0" fontId="1" fillId="0" borderId="3" xfId="0" applyFont="1" applyFill="1" applyBorder="1"/>
    <xf numFmtId="10" fontId="1" fillId="0" borderId="3" xfId="2" applyNumberFormat="1" applyFont="1" applyFill="1" applyBorder="1"/>
    <xf numFmtId="164" fontId="2" fillId="0" borderId="3" xfId="2" applyNumberFormat="1" applyFont="1" applyFill="1" applyBorder="1"/>
    <xf numFmtId="43" fontId="1" fillId="0" borderId="3" xfId="1" applyFont="1" applyFill="1" applyBorder="1"/>
    <xf numFmtId="165" fontId="2" fillId="0" borderId="6" xfId="0" applyNumberFormat="1" applyFont="1" applyFill="1" applyBorder="1"/>
    <xf numFmtId="43" fontId="0" fillId="0" borderId="0" xfId="1" applyFont="1" applyBorder="1"/>
    <xf numFmtId="0" fontId="2" fillId="0" borderId="0" xfId="0" applyFont="1" applyBorder="1"/>
    <xf numFmtId="0" fontId="2" fillId="0" borderId="3" xfId="0" applyFont="1" applyBorder="1"/>
    <xf numFmtId="43" fontId="9" fillId="0" borderId="1" xfId="1" applyNumberFormat="1" applyFont="1" applyBorder="1"/>
    <xf numFmtId="43" fontId="0" fillId="0" borderId="1" xfId="1" applyNumberFormat="1" applyFont="1" applyBorder="1"/>
    <xf numFmtId="0" fontId="19" fillId="0" borderId="0" xfId="0" applyFont="1"/>
    <xf numFmtId="167" fontId="1" fillId="0" borderId="0" xfId="0" applyNumberFormat="1" applyFont="1" applyFill="1" applyBorder="1"/>
    <xf numFmtId="0" fontId="21" fillId="0" borderId="10" xfId="6" applyFont="1" applyBorder="1" applyAlignment="1">
      <alignment horizontal="center" wrapText="1"/>
    </xf>
    <xf numFmtId="0" fontId="21" fillId="0" borderId="11" xfId="6" applyFont="1" applyBorder="1" applyAlignment="1">
      <alignment horizontal="center" wrapText="1"/>
    </xf>
    <xf numFmtId="0" fontId="21" fillId="0" borderId="13" xfId="6" applyFont="1" applyBorder="1" applyAlignment="1">
      <alignment horizontal="left" vertical="top" wrapText="1"/>
    </xf>
    <xf numFmtId="0" fontId="21" fillId="0" borderId="17" xfId="6" applyFont="1" applyBorder="1" applyAlignment="1">
      <alignment horizontal="left" vertical="top" wrapText="1"/>
    </xf>
    <xf numFmtId="0" fontId="21" fillId="0" borderId="21" xfId="6" applyFont="1" applyBorder="1" applyAlignment="1">
      <alignment horizontal="left" vertical="top" wrapText="1"/>
    </xf>
    <xf numFmtId="0" fontId="21" fillId="0" borderId="25" xfId="6" applyFont="1" applyBorder="1" applyAlignment="1">
      <alignment horizontal="left" vertical="top" wrapText="1"/>
    </xf>
    <xf numFmtId="0" fontId="21" fillId="0" borderId="31" xfId="6" applyFont="1" applyBorder="1" applyAlignment="1">
      <alignment horizontal="left" vertical="top" wrapText="1"/>
    </xf>
    <xf numFmtId="165" fontId="22" fillId="0" borderId="14" xfId="1" applyNumberFormat="1" applyFont="1" applyBorder="1" applyAlignment="1">
      <alignment horizontal="right" vertical="top"/>
    </xf>
    <xf numFmtId="165" fontId="9" fillId="0" borderId="15" xfId="1" applyNumberFormat="1" applyFont="1" applyBorder="1" applyAlignment="1">
      <alignment horizontal="center" vertical="center"/>
    </xf>
    <xf numFmtId="165" fontId="22" fillId="0" borderId="18" xfId="1" applyNumberFormat="1" applyFont="1" applyBorder="1" applyAlignment="1">
      <alignment horizontal="right" vertical="top"/>
    </xf>
    <xf numFmtId="165" fontId="9" fillId="0" borderId="19" xfId="1" applyNumberFormat="1" applyFont="1" applyBorder="1" applyAlignment="1">
      <alignment horizontal="center" vertical="center"/>
    </xf>
    <xf numFmtId="165" fontId="22" fillId="0" borderId="22" xfId="1" applyNumberFormat="1" applyFont="1" applyBorder="1" applyAlignment="1">
      <alignment horizontal="right" vertical="top"/>
    </xf>
    <xf numFmtId="165" fontId="9" fillId="0" borderId="23" xfId="1" applyNumberFormat="1" applyFont="1" applyBorder="1" applyAlignment="1">
      <alignment horizontal="center" vertical="center"/>
    </xf>
    <xf numFmtId="165" fontId="22" fillId="0" borderId="26" xfId="1" applyNumberFormat="1" applyFont="1" applyBorder="1" applyAlignment="1">
      <alignment horizontal="right" vertical="top"/>
    </xf>
    <xf numFmtId="165" fontId="22" fillId="0" borderId="27" xfId="1" applyNumberFormat="1" applyFont="1" applyBorder="1" applyAlignment="1">
      <alignment horizontal="right" vertical="top"/>
    </xf>
    <xf numFmtId="165" fontId="22" fillId="0" borderId="19" xfId="1" applyNumberFormat="1" applyFont="1" applyBorder="1" applyAlignment="1">
      <alignment horizontal="right" vertical="top"/>
    </xf>
    <xf numFmtId="165" fontId="22" fillId="0" borderId="23" xfId="1" applyNumberFormat="1" applyFont="1" applyBorder="1" applyAlignment="1">
      <alignment horizontal="right" vertical="top"/>
    </xf>
    <xf numFmtId="165" fontId="9" fillId="0" borderId="27" xfId="1" applyNumberFormat="1" applyFont="1" applyBorder="1" applyAlignment="1">
      <alignment horizontal="center" vertical="center"/>
    </xf>
    <xf numFmtId="165" fontId="22" fillId="0" borderId="32" xfId="1" applyNumberFormat="1" applyFont="1" applyBorder="1" applyAlignment="1">
      <alignment horizontal="right" vertical="top"/>
    </xf>
    <xf numFmtId="165" fontId="22" fillId="0" borderId="33" xfId="1" applyNumberFormat="1" applyFont="1" applyBorder="1" applyAlignment="1">
      <alignment horizontal="right" vertical="top"/>
    </xf>
    <xf numFmtId="165" fontId="22" fillId="3" borderId="22" xfId="1" applyNumberFormat="1" applyFont="1" applyFill="1" applyBorder="1" applyAlignment="1">
      <alignment horizontal="right" vertical="top"/>
    </xf>
    <xf numFmtId="165" fontId="22" fillId="3" borderId="23" xfId="1" applyNumberFormat="1" applyFont="1" applyFill="1" applyBorder="1" applyAlignment="1">
      <alignment horizontal="right" vertical="top"/>
    </xf>
    <xf numFmtId="165" fontId="22" fillId="2" borderId="22" xfId="1" applyNumberFormat="1" applyFont="1" applyFill="1" applyBorder="1" applyAlignment="1">
      <alignment horizontal="right" vertical="top"/>
    </xf>
    <xf numFmtId="165" fontId="22" fillId="2" borderId="23" xfId="1" applyNumberFormat="1" applyFont="1" applyFill="1" applyBorder="1" applyAlignment="1">
      <alignment horizontal="right" vertical="top"/>
    </xf>
    <xf numFmtId="0" fontId="1" fillId="0" borderId="0" xfId="7"/>
    <xf numFmtId="0" fontId="21" fillId="0" borderId="13" xfId="7" applyFont="1" applyBorder="1" applyAlignment="1">
      <alignment horizontal="left" vertical="top" wrapText="1"/>
    </xf>
    <xf numFmtId="0" fontId="21" fillId="0" borderId="17" xfId="7" applyFont="1" applyBorder="1" applyAlignment="1">
      <alignment horizontal="left" vertical="top" wrapText="1"/>
    </xf>
    <xf numFmtId="0" fontId="21" fillId="0" borderId="21" xfId="7" applyFont="1" applyBorder="1" applyAlignment="1">
      <alignment horizontal="left" vertical="top" wrapText="1"/>
    </xf>
    <xf numFmtId="0" fontId="21" fillId="0" borderId="25" xfId="7" applyFont="1" applyBorder="1" applyAlignment="1">
      <alignment horizontal="left" vertical="top" wrapText="1"/>
    </xf>
    <xf numFmtId="0" fontId="21" fillId="0" borderId="31" xfId="7" applyFont="1" applyBorder="1" applyAlignment="1">
      <alignment horizontal="left" vertical="top" wrapText="1"/>
    </xf>
    <xf numFmtId="165" fontId="22" fillId="0" borderId="15" xfId="1" applyNumberFormat="1" applyFont="1" applyBorder="1" applyAlignment="1">
      <alignment horizontal="right" vertical="top"/>
    </xf>
    <xf numFmtId="165" fontId="22" fillId="3" borderId="26" xfId="1" applyNumberFormat="1" applyFont="1" applyFill="1" applyBorder="1" applyAlignment="1">
      <alignment horizontal="right" vertical="top"/>
    </xf>
    <xf numFmtId="165" fontId="22" fillId="3" borderId="27" xfId="1" applyNumberFormat="1" applyFont="1" applyFill="1" applyBorder="1" applyAlignment="1">
      <alignment horizontal="right" vertical="top"/>
    </xf>
    <xf numFmtId="168" fontId="3" fillId="0" borderId="0" xfId="2" applyNumberFormat="1" applyFont="1" applyFill="1" applyBorder="1"/>
    <xf numFmtId="167" fontId="2" fillId="0" borderId="0" xfId="0" applyNumberFormat="1" applyFont="1" applyFill="1" applyBorder="1"/>
    <xf numFmtId="165" fontId="3" fillId="0" borderId="0" xfId="1" applyNumberFormat="1" applyFont="1" applyBorder="1" applyAlignment="1"/>
    <xf numFmtId="43" fontId="3" fillId="0" borderId="1" xfId="1" applyFont="1" applyBorder="1"/>
    <xf numFmtId="0" fontId="23" fillId="0" borderId="0" xfId="0" applyFont="1"/>
    <xf numFmtId="0" fontId="20" fillId="0" borderId="0" xfId="6" applyFont="1" applyBorder="1" applyAlignment="1">
      <alignment horizontal="center" vertical="center" wrapText="1"/>
    </xf>
    <xf numFmtId="0" fontId="1" fillId="0" borderId="0" xfId="6" applyFont="1" applyBorder="1" applyAlignment="1">
      <alignment horizontal="center" vertical="center"/>
    </xf>
    <xf numFmtId="0" fontId="21" fillId="0" borderId="7" xfId="6" applyFont="1" applyBorder="1" applyAlignment="1">
      <alignment horizontal="left" vertical="top" wrapText="1"/>
    </xf>
    <xf numFmtId="0" fontId="1" fillId="0" borderId="8" xfId="6" applyFont="1" applyBorder="1" applyAlignment="1">
      <alignment horizontal="center" vertical="center"/>
    </xf>
    <xf numFmtId="0" fontId="21" fillId="0" borderId="9" xfId="6" applyFont="1" applyBorder="1" applyAlignment="1">
      <alignment horizontal="left" vertical="top" wrapText="1"/>
    </xf>
    <xf numFmtId="0" fontId="1" fillId="0" borderId="9" xfId="6" applyFont="1" applyBorder="1" applyAlignment="1">
      <alignment horizontal="center" vertical="center"/>
    </xf>
    <xf numFmtId="0" fontId="1" fillId="0" borderId="7" xfId="6" applyBorder="1" applyAlignment="1">
      <alignment horizontal="right" vertical="center" wrapText="1"/>
    </xf>
    <xf numFmtId="0" fontId="1" fillId="0" borderId="16" xfId="6" applyFont="1" applyBorder="1" applyAlignment="1">
      <alignment horizontal="center" vertical="center"/>
    </xf>
    <xf numFmtId="0" fontId="1" fillId="0" borderId="29" xfId="6" applyFont="1" applyBorder="1" applyAlignment="1">
      <alignment horizontal="center" vertical="center"/>
    </xf>
    <xf numFmtId="0" fontId="21" fillId="0" borderId="12" xfId="6" applyFont="1" applyBorder="1" applyAlignment="1">
      <alignment horizontal="left" vertical="top" wrapText="1"/>
    </xf>
    <xf numFmtId="0" fontId="1" fillId="0" borderId="20" xfId="6" applyFont="1" applyBorder="1" applyAlignment="1">
      <alignment horizontal="center" vertical="center"/>
    </xf>
    <xf numFmtId="0" fontId="1" fillId="0" borderId="12" xfId="6" applyBorder="1" applyAlignment="1">
      <alignment horizontal="right" vertical="center" wrapText="1"/>
    </xf>
    <xf numFmtId="0" fontId="21" fillId="0" borderId="24" xfId="6" applyFont="1" applyBorder="1" applyAlignment="1">
      <alignment horizontal="left" vertical="top" wrapText="1"/>
    </xf>
    <xf numFmtId="0" fontId="21" fillId="0" borderId="28" xfId="6" applyFont="1" applyBorder="1" applyAlignment="1">
      <alignment horizontal="left" vertical="top" wrapText="1"/>
    </xf>
    <xf numFmtId="0" fontId="1" fillId="0" borderId="30" xfId="6" applyFont="1" applyBorder="1" applyAlignment="1">
      <alignment horizontal="center" vertical="center"/>
    </xf>
    <xf numFmtId="0" fontId="1" fillId="0" borderId="28" xfId="6" applyBorder="1" applyAlignment="1">
      <alignment horizontal="right" vertical="center" wrapText="1"/>
    </xf>
    <xf numFmtId="0" fontId="20" fillId="0" borderId="0" xfId="7" applyFont="1" applyBorder="1" applyAlignment="1">
      <alignment horizontal="center" vertical="center" wrapText="1"/>
    </xf>
    <xf numFmtId="0" fontId="1" fillId="0" borderId="0" xfId="7" applyFont="1" applyBorder="1" applyAlignment="1">
      <alignment horizontal="center" vertical="center"/>
    </xf>
    <xf numFmtId="0" fontId="21" fillId="0" borderId="34" xfId="7" applyFont="1" applyBorder="1" applyAlignment="1">
      <alignment horizontal="left" vertical="top" wrapText="1"/>
    </xf>
    <xf numFmtId="0" fontId="1" fillId="0" borderId="9" xfId="7" applyFont="1" applyBorder="1" applyAlignment="1">
      <alignment horizontal="center" vertical="center"/>
    </xf>
    <xf numFmtId="0" fontId="21" fillId="0" borderId="35" xfId="7" applyFont="1" applyBorder="1" applyAlignment="1">
      <alignment horizontal="left" vertical="top" wrapText="1"/>
    </xf>
    <xf numFmtId="0" fontId="1" fillId="0" borderId="16" xfId="7" applyFont="1" applyBorder="1" applyAlignment="1">
      <alignment horizontal="center" vertical="center"/>
    </xf>
    <xf numFmtId="0" fontId="1" fillId="0" borderId="36" xfId="7" applyFont="1" applyBorder="1" applyAlignment="1">
      <alignment horizontal="center" vertical="center"/>
    </xf>
    <xf numFmtId="0" fontId="21" fillId="0" borderId="37" xfId="7" applyFont="1" applyBorder="1" applyAlignment="1">
      <alignment horizontal="left" vertical="top" wrapText="1"/>
    </xf>
    <xf numFmtId="0" fontId="21" fillId="0" borderId="38" xfId="7" applyFont="1" applyBorder="1" applyAlignment="1">
      <alignment horizontal="left" vertical="top" wrapText="1"/>
    </xf>
    <xf numFmtId="0" fontId="1" fillId="0" borderId="29" xfId="7" applyFont="1" applyBorder="1" applyAlignment="1">
      <alignment horizontal="center" vertical="center"/>
    </xf>
    <xf numFmtId="43" fontId="0" fillId="0" borderId="0" xfId="1" applyNumberFormat="1" applyFont="1" applyFill="1" applyBorder="1"/>
    <xf numFmtId="169" fontId="0" fillId="0" borderId="0" xfId="1" applyNumberFormat="1" applyFont="1" applyFill="1" applyBorder="1"/>
  </cellXfs>
  <cellStyles count="8">
    <cellStyle name="Comma" xfId="1" builtinId="3"/>
    <cellStyle name="Currency" xfId="4" builtinId="4"/>
    <cellStyle name="Hyperlink" xfId="3" builtinId="8"/>
    <cellStyle name="Input #" xfId="5"/>
    <cellStyle name="Normal" xfId="0" builtinId="0"/>
    <cellStyle name="Normal_Sheet2" xfId="6"/>
    <cellStyle name="Normal_Survey data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AB$43" fmlaRange="$AB$40:$AB$42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52</xdr:row>
          <xdr:rowOff>38100</xdr:rowOff>
        </xdr:from>
        <xdr:to>
          <xdr:col>6</xdr:col>
          <xdr:colOff>285750</xdr:colOff>
          <xdr:row>53</xdr:row>
          <xdr:rowOff>66675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B98"/>
  <sheetViews>
    <sheetView showGridLines="0" zoomScale="80" zoomScaleNormal="80" workbookViewId="0">
      <selection activeCell="O57" sqref="O57"/>
    </sheetView>
  </sheetViews>
  <sheetFormatPr defaultRowHeight="12.75" outlineLevelRow="1" outlineLevelCol="1" x14ac:dyDescent="0.2"/>
  <cols>
    <col min="1" max="1" width="3" customWidth="1"/>
    <col min="2" max="2" width="23" customWidth="1"/>
    <col min="3" max="3" width="17.5703125" customWidth="1"/>
    <col min="4" max="4" width="9.85546875" customWidth="1"/>
    <col min="5" max="5" width="4" customWidth="1"/>
    <col min="6" max="6" width="8.28515625" customWidth="1" outlineLevel="1"/>
    <col min="7" max="12" width="9" customWidth="1" outlineLevel="1"/>
    <col min="13" max="14" width="9" customWidth="1"/>
    <col min="15" max="25" width="8.42578125" customWidth="1"/>
  </cols>
  <sheetData>
    <row r="2" spans="2:27" x14ac:dyDescent="0.2">
      <c r="B2" s="14" t="s">
        <v>77</v>
      </c>
    </row>
    <row r="4" spans="2:27" ht="18" x14ac:dyDescent="0.25">
      <c r="B4" s="103" t="s">
        <v>78</v>
      </c>
    </row>
    <row r="6" spans="2:27" ht="16.5" thickBot="1" x14ac:dyDescent="0.3">
      <c r="B6" s="64" t="s">
        <v>58</v>
      </c>
    </row>
    <row r="7" spans="2:27" s="2" customFormat="1" ht="13.5" thickBot="1" x14ac:dyDescent="0.25">
      <c r="B7" s="8"/>
      <c r="C7" s="8"/>
      <c r="D7" s="8"/>
      <c r="E7" s="8"/>
      <c r="F7" s="9" t="s">
        <v>20</v>
      </c>
      <c r="G7" s="9" t="s">
        <v>1</v>
      </c>
      <c r="H7" s="9" t="s">
        <v>2</v>
      </c>
      <c r="I7" s="9" t="s">
        <v>3</v>
      </c>
      <c r="J7" s="9" t="s">
        <v>4</v>
      </c>
      <c r="K7" s="9" t="s">
        <v>5</v>
      </c>
      <c r="L7" s="9" t="s">
        <v>6</v>
      </c>
      <c r="M7" s="9" t="s">
        <v>7</v>
      </c>
      <c r="N7" s="9" t="s">
        <v>8</v>
      </c>
      <c r="O7" s="9" t="s">
        <v>9</v>
      </c>
      <c r="P7" s="9" t="s">
        <v>10</v>
      </c>
      <c r="Q7" s="9" t="s">
        <v>11</v>
      </c>
      <c r="R7" s="9" t="s">
        <v>12</v>
      </c>
      <c r="S7" s="9" t="s">
        <v>13</v>
      </c>
      <c r="T7" s="9" t="s">
        <v>14</v>
      </c>
      <c r="U7" s="9" t="s">
        <v>15</v>
      </c>
      <c r="V7" s="9" t="s">
        <v>16</v>
      </c>
      <c r="W7" s="9" t="s">
        <v>17</v>
      </c>
      <c r="X7" s="9" t="s">
        <v>18</v>
      </c>
      <c r="Y7" s="9" t="s">
        <v>19</v>
      </c>
      <c r="Z7" s="9" t="s">
        <v>26</v>
      </c>
    </row>
    <row r="8" spans="2:27" s="2" customFormat="1" x14ac:dyDescent="0.2">
      <c r="F8" s="10" t="s">
        <v>23</v>
      </c>
      <c r="G8" s="10" t="s">
        <v>23</v>
      </c>
      <c r="H8" s="10" t="s">
        <v>23</v>
      </c>
      <c r="I8" s="10" t="s">
        <v>23</v>
      </c>
      <c r="J8" s="10" t="s">
        <v>23</v>
      </c>
      <c r="K8" s="10" t="s">
        <v>23</v>
      </c>
      <c r="L8" s="10" t="s">
        <v>23</v>
      </c>
      <c r="M8" s="10" t="s">
        <v>23</v>
      </c>
      <c r="N8" s="10" t="s">
        <v>25</v>
      </c>
      <c r="O8" s="10" t="s">
        <v>24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2:27" s="3" customFormat="1" x14ac:dyDescent="0.2">
      <c r="B9" s="3" t="s">
        <v>21</v>
      </c>
      <c r="D9" s="3" t="s">
        <v>0</v>
      </c>
      <c r="F9" s="4">
        <v>2.9076575373367719E-2</v>
      </c>
      <c r="G9" s="4">
        <v>8.4923670562320197E-4</v>
      </c>
      <c r="H9" s="4">
        <v>-2.6837711740068659E-3</v>
      </c>
      <c r="I9" s="4">
        <v>-3.6579847924207431E-3</v>
      </c>
      <c r="J9" s="4">
        <v>9.1188997392037674E-3</v>
      </c>
      <c r="K9" s="4">
        <v>9.9230880838427904E-3</v>
      </c>
      <c r="L9" s="4">
        <v>-5.6666000256249127E-3</v>
      </c>
      <c r="M9" s="4">
        <v>9.0705462357201228E-3</v>
      </c>
      <c r="N9" s="4">
        <v>9.4673450298129458E-2</v>
      </c>
      <c r="O9" s="4">
        <v>2.1408781034625735E-2</v>
      </c>
      <c r="P9" s="4">
        <v>2.0077588155605675E-2</v>
      </c>
      <c r="Q9" s="4">
        <v>3.2928179342554771E-2</v>
      </c>
      <c r="R9" s="4">
        <v>7.0813749955467853E-2</v>
      </c>
      <c r="S9" s="4">
        <v>4.6858843043519227E-2</v>
      </c>
      <c r="T9" s="4">
        <v>5.3538420843992969E-2</v>
      </c>
      <c r="U9" s="4">
        <v>8.1432564282554173E-2</v>
      </c>
      <c r="V9" s="4">
        <v>7.5291222015077666E-2</v>
      </c>
      <c r="W9" s="4">
        <v>0.22046964680190953</v>
      </c>
      <c r="X9" s="4">
        <v>9.9558412724250561E-2</v>
      </c>
      <c r="Y9" s="4">
        <v>0.17226990880578538</v>
      </c>
      <c r="Z9" s="21">
        <v>0.16399999999999998</v>
      </c>
      <c r="AA9" s="19" t="s">
        <v>28</v>
      </c>
    </row>
    <row r="10" spans="2:27" s="3" customFormat="1" x14ac:dyDescent="0.2"/>
    <row r="11" spans="2:27" s="3" customFormat="1" ht="13.5" thickBot="1" x14ac:dyDescent="0.25">
      <c r="B11" s="6" t="s">
        <v>22</v>
      </c>
      <c r="C11" s="6"/>
      <c r="D11" s="6"/>
      <c r="E11" s="6"/>
      <c r="F11" s="7">
        <v>1.8717638337194753E-2</v>
      </c>
      <c r="G11" s="7">
        <v>-1.7063561142075745E-2</v>
      </c>
      <c r="H11" s="7">
        <v>-3.3767815180435812E-2</v>
      </c>
      <c r="I11" s="7">
        <v>-4.4149458562701471E-2</v>
      </c>
      <c r="J11" s="7">
        <v>-3.8857503925423531E-3</v>
      </c>
      <c r="K11" s="7">
        <v>1.0133051303818696E-2</v>
      </c>
      <c r="L11" s="7">
        <v>-1.8521720936436892E-2</v>
      </c>
      <c r="M11" s="7">
        <v>-1.4391506953965738E-2</v>
      </c>
      <c r="N11" s="7">
        <v>3.297254464485877E-2</v>
      </c>
      <c r="O11" s="7">
        <v>-6.9532502151404829E-3</v>
      </c>
      <c r="P11" s="7">
        <v>-1.0491986373495688E-2</v>
      </c>
      <c r="Q11" s="7">
        <v>9.1661508181184459E-3</v>
      </c>
      <c r="R11" s="7">
        <v>4.5309509568641326E-2</v>
      </c>
      <c r="S11" s="7">
        <v>1.4414157502441016E-2</v>
      </c>
      <c r="T11" s="7">
        <v>2.3668758744139318E-2</v>
      </c>
      <c r="U11" s="7">
        <v>4.5915336764676296E-2</v>
      </c>
      <c r="V11" s="7">
        <v>4.2662586466475139E-2</v>
      </c>
      <c r="W11" s="18">
        <v>0.18022464246953995</v>
      </c>
      <c r="X11" s="18">
        <v>6.1323627761320942E-2</v>
      </c>
      <c r="Y11" s="20">
        <f>(1+Y9)/(1+3.1%)-1</f>
        <v>0.13702221998621278</v>
      </c>
      <c r="Z11" s="20">
        <f>(1+Z9)/(1+3.1%)-1</f>
        <v>0.12900096993210486</v>
      </c>
      <c r="AA11" s="19" t="s">
        <v>29</v>
      </c>
    </row>
    <row r="15" spans="2:27" ht="16.5" thickBot="1" x14ac:dyDescent="0.3">
      <c r="B15" s="64" t="s">
        <v>59</v>
      </c>
    </row>
    <row r="16" spans="2:27" s="2" customFormat="1" ht="13.5" thickBot="1" x14ac:dyDescent="0.25">
      <c r="B16" s="8"/>
      <c r="C16" s="8"/>
      <c r="D16" s="8"/>
      <c r="E16" s="8"/>
      <c r="F16" s="9" t="str">
        <f>F7</f>
        <v>1992/93</v>
      </c>
      <c r="G16" s="9" t="str">
        <f t="shared" ref="G16:Z16" si="0">G7</f>
        <v>1993/94</v>
      </c>
      <c r="H16" s="9" t="str">
        <f t="shared" si="0"/>
        <v>1994/95</v>
      </c>
      <c r="I16" s="9" t="str">
        <f t="shared" si="0"/>
        <v>1995/96</v>
      </c>
      <c r="J16" s="9" t="str">
        <f t="shared" si="0"/>
        <v>1996/97</v>
      </c>
      <c r="K16" s="9" t="str">
        <f t="shared" si="0"/>
        <v>1997/98</v>
      </c>
      <c r="L16" s="9" t="str">
        <f t="shared" si="0"/>
        <v>1998/99</v>
      </c>
      <c r="M16" s="9" t="str">
        <f t="shared" si="0"/>
        <v>1999/00</v>
      </c>
      <c r="N16" s="9" t="str">
        <f t="shared" si="0"/>
        <v>2000/01</v>
      </c>
      <c r="O16" s="9" t="str">
        <f t="shared" si="0"/>
        <v>2001/02</v>
      </c>
      <c r="P16" s="9" t="str">
        <f t="shared" si="0"/>
        <v>2002/03</v>
      </c>
      <c r="Q16" s="9" t="str">
        <f t="shared" si="0"/>
        <v>2003/04</v>
      </c>
      <c r="R16" s="9" t="str">
        <f t="shared" si="0"/>
        <v>2004/05</v>
      </c>
      <c r="S16" s="9" t="str">
        <f t="shared" si="0"/>
        <v>2005/06</v>
      </c>
      <c r="T16" s="9" t="str">
        <f t="shared" si="0"/>
        <v>2006/07</v>
      </c>
      <c r="U16" s="9" t="str">
        <f t="shared" si="0"/>
        <v>2007/08</v>
      </c>
      <c r="V16" s="9" t="str">
        <f t="shared" si="0"/>
        <v>2008/09</v>
      </c>
      <c r="W16" s="9" t="str">
        <f t="shared" si="0"/>
        <v>2009/10</v>
      </c>
      <c r="X16" s="9" t="str">
        <f t="shared" si="0"/>
        <v>2010/11</v>
      </c>
      <c r="Y16" s="9" t="str">
        <f t="shared" si="0"/>
        <v>2011/12</v>
      </c>
      <c r="Z16" s="9" t="str">
        <f t="shared" si="0"/>
        <v>2012/13</v>
      </c>
    </row>
    <row r="17" spans="2:27" s="3" customFormat="1" ht="14.25" customHeight="1" x14ac:dyDescent="0.2">
      <c r="B17" s="61" t="s">
        <v>57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7" s="3" customFormat="1" ht="14.25" customHeight="1" x14ac:dyDescent="0.2">
      <c r="B18" s="3" t="str">
        <f>"Since "&amp;$F$16</f>
        <v>Since 1992/93</v>
      </c>
      <c r="F18" s="12">
        <v>1</v>
      </c>
      <c r="G18" s="13">
        <f>F18*(1+G$9)</f>
        <v>1.0008492367056232</v>
      </c>
      <c r="H18" s="13">
        <f t="shared" ref="G18:M18" si="1">G18*(1+H$9)</f>
        <v>0.99816318637462587</v>
      </c>
      <c r="I18" s="13">
        <f>H18*(1+I$9)</f>
        <v>0.99451192061851323</v>
      </c>
      <c r="J18" s="13">
        <f t="shared" si="1"/>
        <v>1.0035807751120764</v>
      </c>
      <c r="K18" s="13">
        <f t="shared" si="1"/>
        <v>1.0135393955427647</v>
      </c>
      <c r="L18" s="13">
        <f t="shared" si="1"/>
        <v>1.0077960731780102</v>
      </c>
      <c r="M18" s="13">
        <f t="shared" si="1"/>
        <v>1.0169373340559487</v>
      </c>
      <c r="N18" s="13">
        <f t="shared" ref="N18:O18" si="2">M18*(1+N$9)</f>
        <v>1.1132143002080068</v>
      </c>
      <c r="O18" s="13">
        <f>N18*(1+O$9)</f>
        <v>1.1370468614057743</v>
      </c>
      <c r="P18" s="13">
        <f t="shared" ref="P18:Z19" si="3">O18*(1+P$9)</f>
        <v>1.1598760200027034</v>
      </c>
      <c r="Q18" s="13">
        <f t="shared" si="3"/>
        <v>1.1980686256044812</v>
      </c>
      <c r="R18" s="13">
        <f t="shared" si="3"/>
        <v>1.282908357687528</v>
      </c>
      <c r="S18" s="13">
        <f t="shared" si="3"/>
        <v>1.3430239590596269</v>
      </c>
      <c r="T18" s="13">
        <f t="shared" si="3"/>
        <v>1.414927340983327</v>
      </c>
      <c r="U18" s="13">
        <f t="shared" si="3"/>
        <v>1.5301485026330952</v>
      </c>
      <c r="V18" s="13">
        <f t="shared" si="3"/>
        <v>1.6453552532608822</v>
      </c>
      <c r="W18" s="13">
        <f t="shared" si="3"/>
        <v>2.0081061448109754</v>
      </c>
      <c r="X18" s="13">
        <f t="shared" si="3"/>
        <v>2.20803000517017</v>
      </c>
      <c r="Y18" s="13">
        <f t="shared" si="3"/>
        <v>2.5884071328012728</v>
      </c>
      <c r="Z18" s="13">
        <f t="shared" si="3"/>
        <v>3.0129059025806812</v>
      </c>
      <c r="AA18" s="131"/>
    </row>
    <row r="19" spans="2:27" s="3" customFormat="1" ht="14.25" customHeight="1" x14ac:dyDescent="0.2">
      <c r="B19" s="3" t="str">
        <f>"Since "&amp;$M$16</f>
        <v>Since 1999/00</v>
      </c>
      <c r="F19" s="12"/>
      <c r="G19" s="59"/>
      <c r="H19" s="59"/>
      <c r="I19" s="59"/>
      <c r="J19" s="59"/>
      <c r="K19" s="59"/>
      <c r="L19" s="59"/>
      <c r="M19" s="17">
        <v>1</v>
      </c>
      <c r="N19" s="13">
        <f t="shared" ref="N19:O19" si="4">M19*(1+N$9)</f>
        <v>1.0946734502981295</v>
      </c>
      <c r="O19" s="13">
        <f t="shared" si="4"/>
        <v>1.1181090744999804</v>
      </c>
      <c r="P19" s="13">
        <f t="shared" si="3"/>
        <v>1.1405580080108364</v>
      </c>
      <c r="Q19" s="13">
        <f t="shared" si="3"/>
        <v>1.1781145066492043</v>
      </c>
      <c r="R19" s="13">
        <f t="shared" si="3"/>
        <v>1.2615412127419703</v>
      </c>
      <c r="S19" s="13">
        <f t="shared" si="3"/>
        <v>1.3206555744227773</v>
      </c>
      <c r="T19" s="13">
        <f t="shared" si="3"/>
        <v>1.3913613883561893</v>
      </c>
      <c r="U19" s="13">
        <f t="shared" si="3"/>
        <v>1.5046635140537685</v>
      </c>
      <c r="V19" s="13">
        <f t="shared" si="3"/>
        <v>1.6179514687483778</v>
      </c>
      <c r="W19" s="13">
        <f t="shared" si="3"/>
        <v>1.9746606576059635</v>
      </c>
      <c r="X19" s="13">
        <f t="shared" si="3"/>
        <v>2.1712547383462382</v>
      </c>
      <c r="Y19" s="13">
        <f t="shared" si="3"/>
        <v>2.5452965941152739</v>
      </c>
      <c r="Z19" s="13">
        <f t="shared" si="3"/>
        <v>2.9627252355501787</v>
      </c>
    </row>
    <row r="20" spans="2:27" ht="14.25" customHeight="1" x14ac:dyDescent="0.2">
      <c r="B20" s="3" t="str">
        <f>"Since "&amp;$O$16</f>
        <v>Since 2001/02</v>
      </c>
      <c r="C20" s="3"/>
      <c r="D20" s="3"/>
      <c r="E20" s="3"/>
      <c r="F20" s="11"/>
      <c r="G20" s="11"/>
      <c r="H20" s="11"/>
      <c r="I20" s="11"/>
      <c r="J20" s="11"/>
      <c r="K20" s="11"/>
      <c r="L20" s="11"/>
      <c r="M20" s="11"/>
      <c r="N20" s="11"/>
      <c r="O20" s="17">
        <v>1</v>
      </c>
      <c r="P20" s="13">
        <f>O20*(1+P$9)</f>
        <v>1.0200775881556057</v>
      </c>
      <c r="Q20" s="13">
        <f t="shared" ref="Q20:Z20" si="5">P20*(1+Q$9)</f>
        <v>1.0536668859217142</v>
      </c>
      <c r="R20" s="13">
        <f t="shared" si="5"/>
        <v>1.1282809893177308</v>
      </c>
      <c r="S20" s="13">
        <f t="shared" si="5"/>
        <v>1.1811509311051569</v>
      </c>
      <c r="T20" s="13">
        <f t="shared" si="5"/>
        <v>1.2443878867349392</v>
      </c>
      <c r="U20" s="13">
        <f t="shared" si="5"/>
        <v>1.3457215833139138</v>
      </c>
      <c r="V20" s="13">
        <f t="shared" si="5"/>
        <v>1.4470426058136834</v>
      </c>
      <c r="W20" s="13">
        <f t="shared" si="5"/>
        <v>1.7660715780247411</v>
      </c>
      <c r="X20" s="13">
        <f t="shared" si="5"/>
        <v>1.9418988610902967</v>
      </c>
      <c r="Y20" s="13">
        <f t="shared" si="5"/>
        <v>2.2764296008003804</v>
      </c>
      <c r="Z20" s="13">
        <f t="shared" si="5"/>
        <v>2.6497640553316426</v>
      </c>
    </row>
    <row r="21" spans="2:27" ht="14.25" customHeight="1" x14ac:dyDescent="0.2">
      <c r="B21" s="3" t="str">
        <f>"Since "&amp;$T$7</f>
        <v>Since 2006/07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2"/>
      <c r="P21" s="13"/>
      <c r="Q21" s="13"/>
      <c r="R21" s="13"/>
      <c r="S21" s="13"/>
      <c r="T21" s="17">
        <v>1</v>
      </c>
      <c r="U21" s="13">
        <f>T21*(1+U$9)</f>
        <v>1.0814325642825542</v>
      </c>
      <c r="V21" s="13">
        <f t="shared" ref="V21:Z21" si="6">U21*(1+V$9)</f>
        <v>1.1628549435742868</v>
      </c>
      <c r="W21" s="13">
        <f t="shared" si="6"/>
        <v>1.4192291622659643</v>
      </c>
      <c r="X21" s="13">
        <f t="shared" si="6"/>
        <v>1.5605253649531317</v>
      </c>
      <c r="Y21" s="13">
        <f t="shared" si="6"/>
        <v>1.8293569272627224</v>
      </c>
      <c r="Z21" s="13">
        <f t="shared" si="6"/>
        <v>2.1293714633338086</v>
      </c>
    </row>
    <row r="22" spans="2:27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7" ht="14.25" customHeight="1" x14ac:dyDescent="0.2">
      <c r="B23" s="60" t="s">
        <v>56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7" s="3" customFormat="1" ht="14.25" customHeight="1" x14ac:dyDescent="0.2">
      <c r="B24" s="3" t="str">
        <f>"Since "&amp;$F$16</f>
        <v>Since 1992/93</v>
      </c>
      <c r="F24" s="12">
        <v>1</v>
      </c>
      <c r="G24" s="13">
        <f t="shared" ref="G24:M24" si="7">F24*(1+G$11)</f>
        <v>0.98293643885792426</v>
      </c>
      <c r="H24" s="13">
        <f t="shared" si="7"/>
        <v>0.94974482285645412</v>
      </c>
      <c r="I24" s="13">
        <f t="shared" si="7"/>
        <v>0.90781410315461286</v>
      </c>
      <c r="J24" s="13">
        <f t="shared" si="7"/>
        <v>0.90428656414692432</v>
      </c>
      <c r="K24" s="13">
        <f t="shared" si="7"/>
        <v>0.91344974629477904</v>
      </c>
      <c r="L24" s="13">
        <f t="shared" si="7"/>
        <v>0.89653108500444811</v>
      </c>
      <c r="M24" s="13">
        <f t="shared" si="7"/>
        <v>0.88362865166016014</v>
      </c>
      <c r="N24" s="13">
        <f t="shared" ref="N24:O24" si="8">M24*(1+N$11)</f>
        <v>0.91276413682650115</v>
      </c>
      <c r="O24" s="13">
        <f t="shared" si="8"/>
        <v>0.90641745939573981</v>
      </c>
      <c r="P24" s="13">
        <f t="shared" ref="P24:T24" si="9">O24*(1+P$11)</f>
        <v>0.89690733976306114</v>
      </c>
      <c r="Q24" s="13">
        <f t="shared" si="9"/>
        <v>0.90512852770920671</v>
      </c>
      <c r="R24" s="13">
        <f t="shared" si="9"/>
        <v>0.94613945739629723</v>
      </c>
      <c r="S24" s="13">
        <f t="shared" si="9"/>
        <v>0.95977726055448154</v>
      </c>
      <c r="T24" s="13">
        <f t="shared" si="9"/>
        <v>0.98249399698265649</v>
      </c>
      <c r="U24" s="13">
        <f t="shared" ref="U24:Z26" si="10">T24*(1+U$11)</f>
        <v>1.0276055397233881</v>
      </c>
      <c r="V24" s="13">
        <f t="shared" si="10"/>
        <v>1.0714458499152659</v>
      </c>
      <c r="W24" s="13">
        <f t="shared" si="10"/>
        <v>1.2645467951417171</v>
      </c>
      <c r="X24" s="13">
        <f t="shared" si="10"/>
        <v>1.3420933920937592</v>
      </c>
      <c r="Y24" s="13">
        <f t="shared" si="10"/>
        <v>1.5259900081072728</v>
      </c>
      <c r="Z24" s="13">
        <f t="shared" si="10"/>
        <v>1.7228441992598116</v>
      </c>
      <c r="AA24" s="130"/>
    </row>
    <row r="25" spans="2:27" s="3" customFormat="1" ht="14.25" customHeight="1" x14ac:dyDescent="0.2">
      <c r="B25" s="3" t="str">
        <f>"Since "&amp;$M$16</f>
        <v>Since 1999/00</v>
      </c>
      <c r="F25" s="11"/>
      <c r="G25" s="11"/>
      <c r="H25" s="11"/>
      <c r="I25" s="11"/>
      <c r="J25" s="11"/>
      <c r="K25" s="11"/>
      <c r="L25" s="11"/>
      <c r="M25" s="17">
        <v>1</v>
      </c>
      <c r="N25" s="13">
        <f t="shared" ref="N25:O25" si="11">M25*(1+N$11)</f>
        <v>1.0329725446448588</v>
      </c>
      <c r="O25" s="13">
        <f t="shared" si="11"/>
        <v>1.0257900280765726</v>
      </c>
      <c r="P25" s="13">
        <f t="shared" ref="P25:T25" si="12">O25*(1+P$11)</f>
        <v>1.0150274530799255</v>
      </c>
      <c r="Q25" s="13">
        <f t="shared" si="12"/>
        <v>1.0243313477993867</v>
      </c>
      <c r="R25" s="13">
        <f t="shared" si="12"/>
        <v>1.0707432988039622</v>
      </c>
      <c r="S25" s="13">
        <f t="shared" si="12"/>
        <v>1.0861771613576059</v>
      </c>
      <c r="T25" s="13">
        <f t="shared" si="12"/>
        <v>1.1118856265431731</v>
      </c>
      <c r="U25" s="13">
        <f t="shared" si="10"/>
        <v>1.1629382295297059</v>
      </c>
      <c r="V25" s="13">
        <f t="shared" si="10"/>
        <v>1.2125521823021865</v>
      </c>
      <c r="W25" s="13">
        <f t="shared" si="10"/>
        <v>1.4310839658332586</v>
      </c>
      <c r="X25" s="13">
        <f t="shared" si="10"/>
        <v>1.5188432262492122</v>
      </c>
      <c r="Y25" s="13">
        <f t="shared" si="10"/>
        <v>1.7269584969209009</v>
      </c>
      <c r="Z25" s="13">
        <f t="shared" si="10"/>
        <v>1.9497378180561871</v>
      </c>
    </row>
    <row r="26" spans="2:27" s="3" customFormat="1" ht="14.25" customHeight="1" x14ac:dyDescent="0.2">
      <c r="B26" s="3" t="str">
        <f>"Since "&amp;$O$16</f>
        <v>Since 2001/02</v>
      </c>
      <c r="F26" s="11"/>
      <c r="G26" s="11"/>
      <c r="H26" s="11"/>
      <c r="I26" s="11"/>
      <c r="J26" s="11"/>
      <c r="K26" s="11"/>
      <c r="L26" s="11"/>
      <c r="M26" s="11"/>
      <c r="N26" s="11"/>
      <c r="O26" s="17">
        <v>1</v>
      </c>
      <c r="P26" s="13">
        <f t="shared" ref="P26:T26" si="13">O26*(1+P$11)</f>
        <v>0.98950801362650431</v>
      </c>
      <c r="Q26" s="13">
        <f t="shared" si="13"/>
        <v>0.99857799331514163</v>
      </c>
      <c r="R26" s="13">
        <f t="shared" si="13"/>
        <v>1.0438230724582886</v>
      </c>
      <c r="S26" s="13">
        <f t="shared" si="13"/>
        <v>1.0588689026293843</v>
      </c>
      <c r="T26" s="13">
        <f t="shared" si="13"/>
        <v>1.0839310152273907</v>
      </c>
      <c r="U26" s="13">
        <f t="shared" si="10"/>
        <v>1.1337000728212339</v>
      </c>
      <c r="V26" s="13">
        <f t="shared" si="10"/>
        <v>1.182066650205019</v>
      </c>
      <c r="W26" s="13">
        <f t="shared" si="10"/>
        <v>1.3951041896133853</v>
      </c>
      <c r="X26" s="13">
        <f t="shared" si="10"/>
        <v>1.4806570396254959</v>
      </c>
      <c r="Y26" s="13">
        <f t="shared" si="10"/>
        <v>1.6835399542331952</v>
      </c>
      <c r="Z26" s="13">
        <f t="shared" si="10"/>
        <v>1.9007182412487289</v>
      </c>
    </row>
    <row r="27" spans="2:27" s="3" customFormat="1" ht="14.25" customHeight="1" thickBot="1" x14ac:dyDescent="0.25">
      <c r="B27" s="6" t="str">
        <f>"Since "&amp;$T$16</f>
        <v>Since 2006/07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2"/>
      <c r="P27" s="63"/>
      <c r="Q27" s="63"/>
      <c r="R27" s="63"/>
      <c r="S27" s="63"/>
      <c r="T27" s="102">
        <v>1</v>
      </c>
      <c r="U27" s="63">
        <f t="shared" ref="U27:Z27" si="14">T27*(1+U$11)</f>
        <v>1.0459153367646763</v>
      </c>
      <c r="V27" s="63">
        <f t="shared" si="14"/>
        <v>1.0905367902560117</v>
      </c>
      <c r="W27" s="63">
        <f t="shared" si="14"/>
        <v>1.2870783933797811</v>
      </c>
      <c r="X27" s="63">
        <f t="shared" si="14"/>
        <v>1.3660067096750419</v>
      </c>
      <c r="Y27" s="63">
        <f t="shared" si="14"/>
        <v>1.5531799815507781</v>
      </c>
      <c r="Z27" s="63">
        <f t="shared" si="14"/>
        <v>1.7535417056499571</v>
      </c>
    </row>
    <row r="31" spans="2:27" ht="16.5" thickBot="1" x14ac:dyDescent="0.3">
      <c r="B31" s="64" t="s">
        <v>52</v>
      </c>
    </row>
    <row r="32" spans="2:27" s="2" customFormat="1" x14ac:dyDescent="0.2">
      <c r="B32" s="49"/>
      <c r="C32" s="49"/>
      <c r="D32" s="49"/>
      <c r="E32" s="49"/>
      <c r="F32" s="16"/>
      <c r="G32" s="16"/>
      <c r="H32" s="16"/>
      <c r="I32" s="16"/>
      <c r="J32" s="16" t="str">
        <f>J$7</f>
        <v>1996/97</v>
      </c>
      <c r="K32" s="16" t="str">
        <f t="shared" ref="K32:Y32" si="15">K$7</f>
        <v>1997/98</v>
      </c>
      <c r="L32" s="16" t="str">
        <f t="shared" si="15"/>
        <v>1998/99</v>
      </c>
      <c r="M32" s="16" t="str">
        <f t="shared" si="15"/>
        <v>1999/00</v>
      </c>
      <c r="N32" s="16" t="str">
        <f t="shared" si="15"/>
        <v>2000/01</v>
      </c>
      <c r="O32" s="16" t="str">
        <f t="shared" si="15"/>
        <v>2001/02</v>
      </c>
      <c r="P32" s="16" t="str">
        <f t="shared" si="15"/>
        <v>2002/03</v>
      </c>
      <c r="Q32" s="16" t="str">
        <f t="shared" si="15"/>
        <v>2003/04</v>
      </c>
      <c r="R32" s="16" t="str">
        <f t="shared" si="15"/>
        <v>2004/05</v>
      </c>
      <c r="S32" s="16" t="str">
        <f t="shared" si="15"/>
        <v>2005/06</v>
      </c>
      <c r="T32" s="16" t="str">
        <f t="shared" si="15"/>
        <v>2006/07</v>
      </c>
      <c r="U32" s="16" t="str">
        <f t="shared" si="15"/>
        <v>2007/08</v>
      </c>
      <c r="V32" s="16" t="str">
        <f t="shared" si="15"/>
        <v>2008/09</v>
      </c>
      <c r="W32" s="16" t="str">
        <f t="shared" si="15"/>
        <v>2009/10</v>
      </c>
      <c r="X32" s="16" t="str">
        <f t="shared" si="15"/>
        <v>2010/11</v>
      </c>
      <c r="Y32" s="16" t="str">
        <f t="shared" si="15"/>
        <v>2011/12</v>
      </c>
      <c r="Z32"/>
    </row>
    <row r="33" spans="2:28" ht="13.5" thickBot="1" x14ac:dyDescent="0.25">
      <c r="B33" s="50"/>
      <c r="C33" s="51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3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2:28" x14ac:dyDescent="0.2">
      <c r="B34" s="16" t="s">
        <v>53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5"/>
      <c r="P34" s="56"/>
      <c r="Q34" s="57"/>
      <c r="R34" s="54"/>
      <c r="S34" s="54"/>
      <c r="T34" s="54"/>
      <c r="U34" s="54"/>
      <c r="V34" s="54"/>
      <c r="W34" s="54"/>
      <c r="X34" s="54"/>
      <c r="Y34" s="54"/>
    </row>
    <row r="35" spans="2:28" x14ac:dyDescent="0.2">
      <c r="B35" s="5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6"/>
      <c r="P35" s="27"/>
      <c r="Q35" s="28"/>
      <c r="R35" s="22"/>
      <c r="S35" s="22"/>
      <c r="T35" s="22"/>
      <c r="U35" s="22"/>
      <c r="V35" s="22"/>
      <c r="W35" s="22"/>
      <c r="X35" s="22"/>
      <c r="Y35" s="22"/>
    </row>
    <row r="36" spans="2:28" hidden="1" outlineLevel="1" x14ac:dyDescent="0.2">
      <c r="B36" s="5" t="s">
        <v>71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6"/>
      <c r="P36" s="27"/>
      <c r="Q36" s="28"/>
      <c r="R36" s="22"/>
      <c r="S36" s="22"/>
      <c r="T36" s="22"/>
      <c r="U36" s="22"/>
      <c r="V36" s="22"/>
      <c r="W36" s="22"/>
      <c r="X36" s="22"/>
      <c r="Y36" s="22"/>
    </row>
    <row r="37" spans="2:28" hidden="1" outlineLevel="1" x14ac:dyDescent="0.2">
      <c r="B37" s="5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6"/>
      <c r="P37" s="27"/>
      <c r="Q37" s="28"/>
      <c r="R37" s="22"/>
      <c r="S37" s="22"/>
      <c r="T37" s="22"/>
      <c r="U37" s="22"/>
      <c r="V37" s="22"/>
      <c r="W37" s="22"/>
      <c r="X37" s="22"/>
      <c r="Y37" s="22"/>
    </row>
    <row r="38" spans="2:28" hidden="1" outlineLevel="1" x14ac:dyDescent="0.2">
      <c r="B38" s="5" t="s">
        <v>72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6"/>
      <c r="P38" s="27"/>
      <c r="Q38" s="28"/>
      <c r="R38" s="22"/>
      <c r="S38" s="22"/>
      <c r="T38" s="22"/>
      <c r="U38" s="22"/>
      <c r="V38" s="22"/>
      <c r="W38" s="22"/>
      <c r="X38" s="22"/>
      <c r="Y38" s="22"/>
    </row>
    <row r="39" spans="2:28" hidden="1" outlineLevel="1" x14ac:dyDescent="0.2">
      <c r="B39" s="22" t="s">
        <v>30</v>
      </c>
      <c r="C39" s="22"/>
      <c r="D39" s="101">
        <v>8500</v>
      </c>
      <c r="E39" s="22" t="s">
        <v>27</v>
      </c>
      <c r="F39" s="22"/>
      <c r="G39" s="22"/>
      <c r="H39" s="22"/>
      <c r="I39" s="22"/>
      <c r="J39" s="22"/>
      <c r="K39" s="22"/>
      <c r="L39" s="22"/>
      <c r="M39" s="22"/>
      <c r="N39" s="22"/>
      <c r="O39" s="26"/>
      <c r="P39" s="27"/>
      <c r="Q39" s="28"/>
      <c r="R39" s="22"/>
      <c r="S39" s="22"/>
      <c r="T39" s="22"/>
      <c r="U39" s="22"/>
      <c r="V39" s="22"/>
      <c r="W39" s="22"/>
      <c r="X39" s="22"/>
      <c r="Y39" s="22"/>
    </row>
    <row r="40" spans="2:28" hidden="1" outlineLevel="1" x14ac:dyDescent="0.2">
      <c r="B40" s="22" t="s">
        <v>31</v>
      </c>
      <c r="C40" s="22"/>
      <c r="D40" s="101">
        <v>2500</v>
      </c>
      <c r="E40" s="22" t="s">
        <v>27</v>
      </c>
      <c r="AB40" t="str">
        <f>B38</f>
        <v>Customer #1 : Does not use gas, has Controlled Load  (mainly used for off-peak hot water)</v>
      </c>
    </row>
    <row r="41" spans="2:28" hidden="1" outlineLevel="1" x14ac:dyDescent="0.2">
      <c r="AB41" t="str">
        <f>B42</f>
        <v>Customer #2 : Uses gas, does not have Controlled Load</v>
      </c>
    </row>
    <row r="42" spans="2:28" hidden="1" outlineLevel="1" x14ac:dyDescent="0.2">
      <c r="B42" s="5" t="s">
        <v>73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6"/>
      <c r="P42" s="27"/>
      <c r="Q42" s="28"/>
      <c r="R42" s="22"/>
      <c r="S42" s="22"/>
      <c r="T42" s="22"/>
      <c r="U42" s="22"/>
      <c r="V42" s="22"/>
      <c r="W42" s="22"/>
      <c r="X42" s="22"/>
      <c r="Y42" s="22"/>
      <c r="AB42" t="str">
        <f>B46</f>
        <v>Customer #3 : "Average" customer</v>
      </c>
    </row>
    <row r="43" spans="2:28" hidden="1" outlineLevel="1" x14ac:dyDescent="0.2">
      <c r="B43" s="22" t="s">
        <v>30</v>
      </c>
      <c r="C43" s="22"/>
      <c r="D43" s="101">
        <v>5000</v>
      </c>
      <c r="E43" s="22" t="s">
        <v>27</v>
      </c>
      <c r="F43" s="22"/>
      <c r="G43" s="22"/>
      <c r="H43" s="22"/>
      <c r="I43" s="22"/>
      <c r="J43" s="22"/>
      <c r="K43" s="22"/>
      <c r="L43" s="22"/>
      <c r="M43" s="22"/>
      <c r="N43" s="22"/>
      <c r="O43" s="26"/>
      <c r="P43" s="27"/>
      <c r="Q43" s="28"/>
      <c r="R43" s="22"/>
      <c r="S43" s="22"/>
      <c r="T43" s="22"/>
      <c r="U43" s="22"/>
      <c r="V43" s="22"/>
      <c r="W43" s="22"/>
      <c r="X43" s="22"/>
      <c r="Y43" s="22"/>
      <c r="AB43">
        <v>3</v>
      </c>
    </row>
    <row r="44" spans="2:28" hidden="1" outlineLevel="1" x14ac:dyDescent="0.2">
      <c r="B44" s="22" t="s">
        <v>31</v>
      </c>
      <c r="C44" s="22"/>
      <c r="D44" s="99">
        <v>0</v>
      </c>
      <c r="E44" s="22" t="s">
        <v>27</v>
      </c>
      <c r="F44" s="22"/>
      <c r="G44" s="22"/>
      <c r="H44" s="22"/>
      <c r="I44" s="22"/>
      <c r="J44" s="22"/>
      <c r="K44" s="22"/>
      <c r="L44" s="22"/>
      <c r="M44" s="22"/>
      <c r="N44" s="22"/>
      <c r="O44" s="26"/>
      <c r="P44" s="27"/>
      <c r="Q44" s="28"/>
      <c r="R44" s="22"/>
      <c r="S44" s="22"/>
      <c r="T44" s="22"/>
      <c r="U44" s="22"/>
      <c r="V44" s="22"/>
      <c r="W44" s="22"/>
      <c r="X44" s="22"/>
      <c r="Y44" s="22"/>
    </row>
    <row r="45" spans="2:28" hidden="1" outlineLevel="1" x14ac:dyDescent="0.2">
      <c r="B45" s="5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6"/>
      <c r="P45" s="27"/>
      <c r="Q45" s="28"/>
      <c r="R45" s="22"/>
      <c r="S45" s="22"/>
      <c r="T45" s="22"/>
      <c r="U45" s="22"/>
      <c r="V45" s="22"/>
      <c r="W45" s="22"/>
      <c r="X45" s="22"/>
      <c r="Y45" s="22"/>
    </row>
    <row r="46" spans="2:28" hidden="1" outlineLevel="1" x14ac:dyDescent="0.2">
      <c r="B46" s="5" t="s">
        <v>74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6"/>
      <c r="P46" s="27"/>
      <c r="Q46" s="28"/>
      <c r="R46" s="22"/>
      <c r="S46" s="22"/>
      <c r="T46" s="22"/>
      <c r="U46" s="22"/>
      <c r="V46" s="22"/>
      <c r="W46" s="22"/>
      <c r="X46" s="22"/>
      <c r="Y46" s="22"/>
    </row>
    <row r="47" spans="2:28" hidden="1" outlineLevel="1" x14ac:dyDescent="0.2">
      <c r="B47" s="22" t="s">
        <v>30</v>
      </c>
      <c r="C47" s="22"/>
      <c r="D47" s="101">
        <v>7000</v>
      </c>
      <c r="E47" s="22" t="s">
        <v>27</v>
      </c>
      <c r="F47" s="22"/>
      <c r="G47" s="22"/>
      <c r="H47" s="22"/>
      <c r="I47" s="22"/>
      <c r="J47" s="22"/>
      <c r="K47" s="22"/>
      <c r="L47" s="22"/>
      <c r="M47" s="22"/>
      <c r="N47" s="22"/>
      <c r="O47" s="26"/>
      <c r="P47" s="27"/>
      <c r="Q47" s="28"/>
      <c r="R47" s="22"/>
      <c r="S47" s="22"/>
      <c r="T47" s="22"/>
      <c r="U47" s="22"/>
      <c r="V47" s="22"/>
      <c r="W47" s="22"/>
      <c r="X47" s="22"/>
      <c r="Y47" s="22"/>
    </row>
    <row r="48" spans="2:28" hidden="1" outlineLevel="1" x14ac:dyDescent="0.2">
      <c r="B48" s="22" t="s">
        <v>31</v>
      </c>
      <c r="C48" s="22"/>
      <c r="D48" s="101">
        <v>2100</v>
      </c>
      <c r="E48" s="22" t="s">
        <v>27</v>
      </c>
      <c r="F48" s="22"/>
      <c r="G48" s="22"/>
      <c r="H48" s="22"/>
      <c r="I48" s="22"/>
      <c r="J48" s="22"/>
      <c r="K48" s="22"/>
      <c r="L48" s="22"/>
      <c r="M48" s="22"/>
      <c r="N48" s="22"/>
      <c r="O48" s="26"/>
      <c r="P48" s="27"/>
      <c r="Q48" s="28"/>
      <c r="R48" s="22"/>
      <c r="S48" s="22"/>
      <c r="T48" s="22"/>
      <c r="U48" s="22"/>
      <c r="V48" s="22"/>
      <c r="W48" s="22"/>
      <c r="X48" s="22"/>
      <c r="Y48" s="22"/>
    </row>
    <row r="49" spans="2:25" hidden="1" outlineLevel="1" x14ac:dyDescent="0.2">
      <c r="B49" s="5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6"/>
      <c r="P49" s="27"/>
      <c r="Q49" s="28"/>
      <c r="R49" s="22"/>
      <c r="S49" s="22"/>
      <c r="T49" s="22"/>
      <c r="U49" s="22"/>
      <c r="V49" s="22"/>
      <c r="W49" s="22"/>
      <c r="X49" s="22"/>
      <c r="Y49" s="22"/>
    </row>
    <row r="50" spans="2:25" collapsed="1" x14ac:dyDescent="0.2">
      <c r="B50" s="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6"/>
      <c r="P50" s="27"/>
      <c r="Q50" s="28"/>
      <c r="R50" s="22"/>
      <c r="S50" s="22"/>
      <c r="T50" s="22"/>
      <c r="U50" s="22"/>
      <c r="V50" s="22"/>
      <c r="W50" s="22"/>
      <c r="X50" s="22"/>
      <c r="Y50" s="22"/>
    </row>
    <row r="51" spans="2:25" x14ac:dyDescent="0.2">
      <c r="B51" s="5" t="s">
        <v>75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6"/>
      <c r="P51" s="27"/>
      <c r="Q51" s="28"/>
      <c r="R51" s="22"/>
      <c r="S51" s="22"/>
      <c r="T51" s="22"/>
      <c r="U51" s="22"/>
      <c r="V51" s="22"/>
      <c r="W51" s="22"/>
      <c r="X51" s="22"/>
      <c r="Y51" s="22"/>
    </row>
    <row r="52" spans="2:25" x14ac:dyDescent="0.2">
      <c r="B52" s="5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6"/>
      <c r="P52" s="27"/>
      <c r="Q52" s="28"/>
      <c r="R52" s="22"/>
      <c r="S52" s="22"/>
      <c r="T52" s="22"/>
      <c r="U52" s="22"/>
      <c r="V52" s="22"/>
      <c r="W52" s="22"/>
      <c r="X52" s="22"/>
      <c r="Y52" s="22"/>
    </row>
    <row r="53" spans="2:25" x14ac:dyDescent="0.2">
      <c r="B53" s="5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6"/>
      <c r="P53" s="27"/>
      <c r="Q53" s="28"/>
      <c r="R53" s="22"/>
      <c r="S53" s="22"/>
      <c r="T53" s="22"/>
      <c r="U53" s="22"/>
      <c r="V53" s="22"/>
      <c r="W53" s="22"/>
      <c r="X53" s="22"/>
      <c r="Y53" s="22"/>
    </row>
    <row r="54" spans="2:25" x14ac:dyDescent="0.2">
      <c r="B54" s="5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6"/>
      <c r="P54" s="27"/>
      <c r="Q54" s="28"/>
      <c r="R54" s="22"/>
      <c r="S54" s="22"/>
      <c r="T54" s="22"/>
      <c r="U54" s="22"/>
      <c r="V54" s="22"/>
      <c r="W54" s="22"/>
      <c r="X54" s="22"/>
      <c r="Y54" s="22"/>
    </row>
    <row r="55" spans="2:25" x14ac:dyDescent="0.2">
      <c r="B55" s="100" t="str">
        <f>CHOOSE($AB$43,B38,B42,B46)</f>
        <v>Customer #3 : "Average" customer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6"/>
      <c r="P55" s="27"/>
      <c r="Q55" s="28"/>
      <c r="R55" s="22"/>
      <c r="S55" s="22"/>
      <c r="T55" s="22"/>
      <c r="U55" s="22"/>
      <c r="V55" s="22"/>
      <c r="W55" s="22"/>
      <c r="X55" s="22"/>
      <c r="Y55" s="22"/>
    </row>
    <row r="56" spans="2:25" x14ac:dyDescent="0.2">
      <c r="B56" s="22" t="s">
        <v>30</v>
      </c>
      <c r="C56" s="22"/>
      <c r="D56" s="65">
        <f>CHOOSE($AB$43,D39,D43,D47)</f>
        <v>7000</v>
      </c>
      <c r="E56" s="22" t="s">
        <v>27</v>
      </c>
      <c r="F56" s="22"/>
      <c r="G56" s="22"/>
      <c r="H56" s="22"/>
      <c r="I56" s="22"/>
      <c r="J56" s="23"/>
      <c r="K56" s="23"/>
      <c r="L56" s="23"/>
      <c r="M56" s="23">
        <f t="shared" ref="M56:Y57" si="16">$D56</f>
        <v>7000</v>
      </c>
      <c r="N56" s="23">
        <f t="shared" si="16"/>
        <v>7000</v>
      </c>
      <c r="O56" s="23">
        <f t="shared" si="16"/>
        <v>7000</v>
      </c>
      <c r="P56" s="23">
        <f t="shared" si="16"/>
        <v>7000</v>
      </c>
      <c r="Q56" s="23">
        <f t="shared" si="16"/>
        <v>7000</v>
      </c>
      <c r="R56" s="23">
        <f t="shared" si="16"/>
        <v>7000</v>
      </c>
      <c r="S56" s="23">
        <f t="shared" si="16"/>
        <v>7000</v>
      </c>
      <c r="T56" s="23">
        <f t="shared" si="16"/>
        <v>7000</v>
      </c>
      <c r="U56" s="23">
        <f t="shared" si="16"/>
        <v>7000</v>
      </c>
      <c r="V56" s="23">
        <f t="shared" si="16"/>
        <v>7000</v>
      </c>
      <c r="W56" s="23">
        <f t="shared" si="16"/>
        <v>7000</v>
      </c>
      <c r="X56" s="23">
        <f t="shared" si="16"/>
        <v>7000</v>
      </c>
      <c r="Y56" s="23">
        <f t="shared" si="16"/>
        <v>7000</v>
      </c>
    </row>
    <row r="57" spans="2:25" x14ac:dyDescent="0.2">
      <c r="B57" s="22" t="s">
        <v>31</v>
      </c>
      <c r="C57" s="22"/>
      <c r="D57" s="65">
        <f>CHOOSE($AB$43,D40,D44,D48)</f>
        <v>2100</v>
      </c>
      <c r="E57" s="22" t="s">
        <v>27</v>
      </c>
      <c r="F57" s="22"/>
      <c r="G57" s="22"/>
      <c r="H57" s="22"/>
      <c r="I57" s="22"/>
      <c r="J57" s="24"/>
      <c r="K57" s="24"/>
      <c r="L57" s="24"/>
      <c r="M57" s="23">
        <f t="shared" si="16"/>
        <v>2100</v>
      </c>
      <c r="N57" s="23">
        <f t="shared" si="16"/>
        <v>2100</v>
      </c>
      <c r="O57" s="23">
        <f t="shared" si="16"/>
        <v>2100</v>
      </c>
      <c r="P57" s="23">
        <f t="shared" si="16"/>
        <v>2100</v>
      </c>
      <c r="Q57" s="23">
        <f t="shared" si="16"/>
        <v>2100</v>
      </c>
      <c r="R57" s="23">
        <f t="shared" si="16"/>
        <v>2100</v>
      </c>
      <c r="S57" s="23">
        <f t="shared" si="16"/>
        <v>2100</v>
      </c>
      <c r="T57" s="23">
        <f t="shared" si="16"/>
        <v>2100</v>
      </c>
      <c r="U57" s="23">
        <f t="shared" si="16"/>
        <v>2100</v>
      </c>
      <c r="V57" s="23">
        <f t="shared" si="16"/>
        <v>2100</v>
      </c>
      <c r="W57" s="23">
        <f t="shared" si="16"/>
        <v>2100</v>
      </c>
      <c r="X57" s="23">
        <f t="shared" si="16"/>
        <v>2100</v>
      </c>
      <c r="Y57" s="23">
        <f t="shared" si="16"/>
        <v>2100</v>
      </c>
    </row>
    <row r="58" spans="2:25" x14ac:dyDescent="0.2">
      <c r="B58" s="22" t="s">
        <v>32</v>
      </c>
      <c r="C58" s="22"/>
      <c r="D58" s="65">
        <f>D56-D57</f>
        <v>4900</v>
      </c>
      <c r="E58" s="22"/>
      <c r="F58" s="22"/>
      <c r="G58" s="22"/>
      <c r="H58" s="22"/>
      <c r="I58" s="22"/>
      <c r="J58" s="25"/>
      <c r="K58" s="25"/>
      <c r="L58" s="25"/>
      <c r="M58" s="25">
        <f>M56-M57</f>
        <v>4900</v>
      </c>
      <c r="N58" s="25">
        <f t="shared" ref="N58:U58" si="17">N56-N57</f>
        <v>4900</v>
      </c>
      <c r="O58" s="25">
        <f t="shared" si="17"/>
        <v>4900</v>
      </c>
      <c r="P58" s="25">
        <f t="shared" si="17"/>
        <v>4900</v>
      </c>
      <c r="Q58" s="25">
        <f t="shared" si="17"/>
        <v>4900</v>
      </c>
      <c r="R58" s="25">
        <f t="shared" si="17"/>
        <v>4900</v>
      </c>
      <c r="S58" s="25">
        <f t="shared" si="17"/>
        <v>4900</v>
      </c>
      <c r="T58" s="25">
        <f t="shared" si="17"/>
        <v>4900</v>
      </c>
      <c r="U58" s="25">
        <f t="shared" si="17"/>
        <v>4900</v>
      </c>
      <c r="V58" s="25">
        <f>V56-V57</f>
        <v>4900</v>
      </c>
      <c r="W58" s="25">
        <f>W56-W57</f>
        <v>4900</v>
      </c>
      <c r="X58" s="25">
        <f>X56-X57</f>
        <v>4900</v>
      </c>
      <c r="Y58" s="25">
        <f>Y56-Y57</f>
        <v>4900</v>
      </c>
    </row>
    <row r="59" spans="2:25" x14ac:dyDescent="0.2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6"/>
      <c r="P59" s="27"/>
      <c r="Q59" s="28"/>
      <c r="R59" s="22"/>
      <c r="S59" s="23"/>
      <c r="T59" s="23"/>
      <c r="U59" s="23"/>
      <c r="V59" s="23"/>
      <c r="W59" s="23"/>
      <c r="X59" s="23"/>
      <c r="Y59" s="23"/>
    </row>
    <row r="60" spans="2:25" x14ac:dyDescent="0.2">
      <c r="B60" s="22" t="s">
        <v>25</v>
      </c>
      <c r="C60" s="22"/>
      <c r="D60" s="22"/>
      <c r="E60" s="22"/>
      <c r="F60" s="22"/>
      <c r="G60" s="22"/>
      <c r="H60" s="22"/>
      <c r="I60" s="22"/>
      <c r="J60" s="4"/>
      <c r="K60" s="4"/>
      <c r="L60" s="4"/>
      <c r="M60" s="4">
        <v>0</v>
      </c>
      <c r="N60" s="4">
        <v>0.1</v>
      </c>
      <c r="O60" s="4">
        <v>0.1</v>
      </c>
      <c r="P60" s="4">
        <v>0.1</v>
      </c>
      <c r="Q60" s="4">
        <v>0.1</v>
      </c>
      <c r="R60" s="4">
        <v>0.1</v>
      </c>
      <c r="S60" s="4">
        <v>0.1</v>
      </c>
      <c r="T60" s="4">
        <v>0.1</v>
      </c>
      <c r="U60" s="4">
        <v>0.1</v>
      </c>
      <c r="V60" s="4">
        <v>0.1</v>
      </c>
      <c r="W60" s="4">
        <v>0.1</v>
      </c>
      <c r="X60" s="4">
        <v>0.1</v>
      </c>
      <c r="Y60" s="4">
        <v>0.1</v>
      </c>
    </row>
    <row r="61" spans="2:25" x14ac:dyDescent="0.2">
      <c r="B61" s="48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  <c r="P61" s="45"/>
      <c r="Q61" s="45"/>
      <c r="R61" s="45"/>
      <c r="S61" s="45"/>
      <c r="T61" s="45"/>
      <c r="U61" s="43"/>
      <c r="V61" s="43"/>
      <c r="W61" s="43"/>
      <c r="X61" s="43"/>
      <c r="Y61" s="43"/>
    </row>
    <row r="62" spans="2:25" s="3" customFormat="1" x14ac:dyDescent="0.2">
      <c r="B62" s="5" t="s">
        <v>54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6"/>
      <c r="P62" s="29"/>
      <c r="Q62" s="29"/>
      <c r="R62" s="29"/>
      <c r="S62" s="29"/>
      <c r="T62" s="29"/>
      <c r="U62" s="22"/>
      <c r="V62" s="22"/>
      <c r="W62" s="22"/>
      <c r="X62" s="22"/>
      <c r="Y62" s="22"/>
    </row>
    <row r="63" spans="2:25" hidden="1" outlineLevel="1" x14ac:dyDescent="0.2">
      <c r="B63" s="22" t="s">
        <v>33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6"/>
      <c r="P63" s="30"/>
      <c r="Q63" s="28"/>
      <c r="R63" s="22"/>
      <c r="S63" s="31" t="s">
        <v>34</v>
      </c>
      <c r="T63" s="31" t="s">
        <v>34</v>
      </c>
      <c r="U63" s="31" t="s">
        <v>35</v>
      </c>
      <c r="V63" s="31" t="s">
        <v>35</v>
      </c>
      <c r="W63" s="31" t="s">
        <v>35</v>
      </c>
      <c r="X63" s="31" t="s">
        <v>35</v>
      </c>
      <c r="Y63" s="31" t="s">
        <v>35</v>
      </c>
    </row>
    <row r="64" spans="2:25" hidden="1" outlineLevel="1" x14ac:dyDescent="0.2">
      <c r="B64" s="22" t="s">
        <v>36</v>
      </c>
      <c r="C64" s="22" t="s">
        <v>37</v>
      </c>
      <c r="D64" s="22"/>
      <c r="E64" s="22"/>
      <c r="F64" s="22"/>
      <c r="G64" s="22"/>
      <c r="H64" s="22"/>
      <c r="I64" s="22"/>
      <c r="J64" s="30"/>
      <c r="K64" s="30"/>
      <c r="L64" s="30"/>
      <c r="M64" s="30">
        <f>15*4/365*100</f>
        <v>16.43835616438356</v>
      </c>
      <c r="N64" s="30">
        <f>14.9*4/365*100</f>
        <v>16.328767123287673</v>
      </c>
      <c r="O64" s="30">
        <v>19.14</v>
      </c>
      <c r="P64" s="30">
        <v>20.38</v>
      </c>
      <c r="Q64" s="30">
        <v>20.99</v>
      </c>
      <c r="R64" s="30">
        <v>27.48</v>
      </c>
      <c r="S64" s="30">
        <v>32</v>
      </c>
      <c r="T64" s="30">
        <v>33</v>
      </c>
      <c r="U64" s="30">
        <v>33</v>
      </c>
      <c r="V64" s="30">
        <v>34</v>
      </c>
      <c r="W64" s="30">
        <v>39</v>
      </c>
      <c r="X64" s="30">
        <v>43</v>
      </c>
      <c r="Y64" s="30">
        <v>48</v>
      </c>
    </row>
    <row r="65" spans="2:25" hidden="1" outlineLevel="1" x14ac:dyDescent="0.2">
      <c r="B65" s="22" t="s">
        <v>38</v>
      </c>
      <c r="C65" s="22" t="s">
        <v>39</v>
      </c>
      <c r="D65" s="22"/>
      <c r="E65" s="22"/>
      <c r="F65" s="22"/>
      <c r="G65" s="22"/>
      <c r="H65" s="22"/>
      <c r="I65" s="22"/>
      <c r="J65" s="30"/>
      <c r="K65" s="30"/>
      <c r="L65" s="30"/>
      <c r="M65" s="30">
        <v>10.15</v>
      </c>
      <c r="N65" s="30">
        <v>10.08181818181818</v>
      </c>
      <c r="O65" s="30">
        <v>9.3800000000000008</v>
      </c>
      <c r="P65" s="30">
        <v>9.7100000000000009</v>
      </c>
      <c r="Q65" s="30">
        <v>9.9499999999999993</v>
      </c>
      <c r="R65" s="30">
        <v>10.3</v>
      </c>
      <c r="S65" s="30">
        <f>6.09+4.43+0.06-0.06</f>
        <v>10.52</v>
      </c>
      <c r="T65" s="30">
        <f>6.04+4.74+0.06-0.06</f>
        <v>10.780000000000001</v>
      </c>
      <c r="U65" s="30">
        <v>11.7</v>
      </c>
      <c r="V65" s="30">
        <v>12.7</v>
      </c>
      <c r="W65" s="32">
        <v>15.6</v>
      </c>
      <c r="X65" s="30">
        <v>17.350000000000001</v>
      </c>
      <c r="Y65" s="32">
        <v>20.6</v>
      </c>
    </row>
    <row r="66" spans="2:25" hidden="1" outlineLevel="1" x14ac:dyDescent="0.2">
      <c r="B66" s="22" t="s">
        <v>40</v>
      </c>
      <c r="C66" s="22" t="s">
        <v>41</v>
      </c>
      <c r="D66" s="22"/>
      <c r="E66" s="22"/>
      <c r="F66" s="22"/>
      <c r="G66" s="22"/>
      <c r="H66" s="22"/>
      <c r="I66" s="22"/>
      <c r="J66" s="33"/>
      <c r="K66" s="33"/>
      <c r="L66" s="33"/>
      <c r="M66" s="33">
        <v>7000</v>
      </c>
      <c r="N66" s="33">
        <v>7000</v>
      </c>
      <c r="O66" s="33">
        <v>7000</v>
      </c>
      <c r="P66" s="33">
        <v>7000</v>
      </c>
      <c r="Q66" s="33">
        <v>7000</v>
      </c>
      <c r="R66" s="33">
        <v>7000</v>
      </c>
      <c r="S66" s="33">
        <v>7000</v>
      </c>
      <c r="T66" s="33">
        <v>7000</v>
      </c>
      <c r="U66" s="33">
        <f>1750*4</f>
        <v>7000</v>
      </c>
      <c r="V66" s="33">
        <v>7000</v>
      </c>
      <c r="W66" s="33">
        <v>7000</v>
      </c>
      <c r="X66" s="33">
        <v>7000</v>
      </c>
      <c r="Y66" s="33">
        <v>7000</v>
      </c>
    </row>
    <row r="67" spans="2:25" hidden="1" outlineLevel="1" x14ac:dyDescent="0.2">
      <c r="B67" s="22" t="s">
        <v>42</v>
      </c>
      <c r="C67" s="22" t="str">
        <f>C65</f>
        <v>c/kWh</v>
      </c>
      <c r="D67" s="22"/>
      <c r="E67" s="22"/>
      <c r="F67" s="22"/>
      <c r="G67" s="22"/>
      <c r="H67" s="22"/>
      <c r="I67" s="22"/>
      <c r="J67" s="30"/>
      <c r="K67" s="30"/>
      <c r="L67" s="30"/>
      <c r="M67" s="30">
        <v>10.15</v>
      </c>
      <c r="N67" s="30">
        <v>10.08181818181818</v>
      </c>
      <c r="O67" s="30">
        <f>O65</f>
        <v>9.3800000000000008</v>
      </c>
      <c r="P67" s="30">
        <f>P65</f>
        <v>9.7100000000000009</v>
      </c>
      <c r="Q67" s="30">
        <v>10.32</v>
      </c>
      <c r="R67" s="30">
        <v>11.24</v>
      </c>
      <c r="S67" s="30">
        <f>6.5+5.76+0.07-0.07</f>
        <v>12.26</v>
      </c>
      <c r="T67" s="30">
        <f>8.03+6.65+0.08-0.08</f>
        <v>14.68</v>
      </c>
      <c r="U67" s="30">
        <v>16.3</v>
      </c>
      <c r="V67" s="30">
        <v>18.95</v>
      </c>
      <c r="W67" s="30">
        <v>23.1</v>
      </c>
      <c r="X67" s="30">
        <v>25.5</v>
      </c>
      <c r="Y67" s="30">
        <v>29.1</v>
      </c>
    </row>
    <row r="68" spans="2:25" hidden="1" outlineLevel="1" x14ac:dyDescent="0.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6"/>
      <c r="M68" s="26"/>
      <c r="N68" s="22"/>
      <c r="O68" s="26"/>
      <c r="P68" s="30"/>
      <c r="Q68" s="30"/>
      <c r="R68" s="30"/>
      <c r="S68" s="34"/>
      <c r="T68" s="30"/>
      <c r="U68" s="22"/>
      <c r="V68" s="22"/>
      <c r="W68" s="22"/>
      <c r="X68" s="22"/>
      <c r="Y68" s="30"/>
    </row>
    <row r="69" spans="2:25" hidden="1" outlineLevel="1" x14ac:dyDescent="0.2">
      <c r="B69" s="22" t="s">
        <v>43</v>
      </c>
      <c r="C69" s="22" t="str">
        <f>C64</f>
        <v>c/day</v>
      </c>
      <c r="D69" s="22"/>
      <c r="E69" s="22"/>
      <c r="F69" s="22"/>
      <c r="G69" s="22"/>
      <c r="H69" s="22"/>
      <c r="I69" s="22"/>
      <c r="J69" s="22"/>
      <c r="K69" s="22"/>
      <c r="L69" s="26"/>
      <c r="M69" s="26"/>
      <c r="N69" s="22"/>
      <c r="O69" s="26"/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</row>
    <row r="70" spans="2:25" hidden="1" outlineLevel="1" x14ac:dyDescent="0.2">
      <c r="B70" s="22" t="s">
        <v>44</v>
      </c>
      <c r="C70" s="22" t="str">
        <f>C67</f>
        <v>c/kWh</v>
      </c>
      <c r="D70" s="22"/>
      <c r="E70" s="22"/>
      <c r="F70" s="22"/>
      <c r="G70" s="22"/>
      <c r="H70" s="22"/>
      <c r="I70" s="22"/>
      <c r="J70" s="35"/>
      <c r="K70" s="35"/>
      <c r="L70" s="35"/>
      <c r="M70" s="35">
        <v>3.72</v>
      </c>
      <c r="N70" s="30">
        <v>3.7</v>
      </c>
      <c r="O70" s="30">
        <v>3.7</v>
      </c>
      <c r="P70" s="30">
        <v>4.07</v>
      </c>
      <c r="Q70" s="30">
        <v>4.3600000000000003</v>
      </c>
      <c r="R70" s="30">
        <v>4.3899999999999997</v>
      </c>
      <c r="S70" s="30">
        <v>4.4939</v>
      </c>
      <c r="T70" s="30">
        <v>4.67</v>
      </c>
      <c r="U70" s="30">
        <v>4.9000000000000004</v>
      </c>
      <c r="V70" s="30">
        <v>5.3</v>
      </c>
      <c r="W70" s="30">
        <v>6.7</v>
      </c>
      <c r="X70" s="30">
        <v>7.6</v>
      </c>
      <c r="Y70" s="30">
        <v>8.1999999999999993</v>
      </c>
    </row>
    <row r="71" spans="2:25" hidden="1" outlineLevel="1" x14ac:dyDescent="0.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30"/>
      <c r="V71" s="30"/>
      <c r="W71" s="30"/>
      <c r="X71" s="30"/>
      <c r="Y71" s="30"/>
    </row>
    <row r="72" spans="2:25" hidden="1" outlineLevel="1" x14ac:dyDescent="0.2">
      <c r="B72" s="22" t="s">
        <v>45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6"/>
      <c r="P72" s="36"/>
      <c r="Q72" s="37"/>
      <c r="R72" s="22"/>
      <c r="S72" s="22"/>
      <c r="T72" s="22"/>
      <c r="U72" s="22"/>
      <c r="V72" s="22"/>
      <c r="W72" s="22"/>
      <c r="X72" s="22"/>
      <c r="Y72" s="22"/>
    </row>
    <row r="73" spans="2:25" hidden="1" outlineLevel="1" x14ac:dyDescent="0.2">
      <c r="B73" s="22" t="s">
        <v>36</v>
      </c>
      <c r="C73" s="22" t="s">
        <v>46</v>
      </c>
      <c r="D73" s="22"/>
      <c r="E73" s="22"/>
      <c r="F73" s="22"/>
      <c r="G73" s="22"/>
      <c r="H73" s="22"/>
      <c r="I73" s="22"/>
      <c r="J73" s="23"/>
      <c r="K73" s="23"/>
      <c r="L73" s="23"/>
      <c r="M73" s="23">
        <f t="shared" ref="M73:Y73" si="18">(M$64+IF(M57&gt;0,M$69,0))/100*365</f>
        <v>60</v>
      </c>
      <c r="N73" s="23">
        <f t="shared" si="18"/>
        <v>59.6</v>
      </c>
      <c r="O73" s="23">
        <f t="shared" si="18"/>
        <v>69.861000000000004</v>
      </c>
      <c r="P73" s="23">
        <f t="shared" si="18"/>
        <v>74.386999999999986</v>
      </c>
      <c r="Q73" s="23">
        <f t="shared" si="18"/>
        <v>76.613499999999988</v>
      </c>
      <c r="R73" s="23">
        <f t="shared" si="18"/>
        <v>100.30199999999999</v>
      </c>
      <c r="S73" s="23">
        <f t="shared" si="18"/>
        <v>116.8</v>
      </c>
      <c r="T73" s="23">
        <f t="shared" si="18"/>
        <v>120.45</v>
      </c>
      <c r="U73" s="23">
        <f t="shared" si="18"/>
        <v>120.45</v>
      </c>
      <c r="V73" s="23">
        <f t="shared" si="18"/>
        <v>124.10000000000001</v>
      </c>
      <c r="W73" s="23">
        <f t="shared" si="18"/>
        <v>142.35</v>
      </c>
      <c r="X73" s="23">
        <f t="shared" si="18"/>
        <v>156.94999999999999</v>
      </c>
      <c r="Y73" s="23">
        <f t="shared" si="18"/>
        <v>175.2</v>
      </c>
    </row>
    <row r="74" spans="2:25" hidden="1" outlineLevel="1" x14ac:dyDescent="0.2">
      <c r="B74" s="22" t="s">
        <v>38</v>
      </c>
      <c r="C74" s="22" t="str">
        <f>C73</f>
        <v>$ pa (nominal)</v>
      </c>
      <c r="D74" s="22"/>
      <c r="E74" s="22"/>
      <c r="F74" s="22"/>
      <c r="G74" s="22"/>
      <c r="H74" s="22"/>
      <c r="I74" s="22"/>
      <c r="J74" s="23"/>
      <c r="K74" s="23"/>
      <c r="L74" s="23"/>
      <c r="M74" s="23">
        <f t="shared" ref="M74:Y74" si="19">MIN(M$58,M$66)*M$65/100</f>
        <v>497.35</v>
      </c>
      <c r="N74" s="23">
        <f t="shared" si="19"/>
        <v>494.00909090909079</v>
      </c>
      <c r="O74" s="23">
        <f t="shared" si="19"/>
        <v>459.62000000000006</v>
      </c>
      <c r="P74" s="23">
        <f t="shared" si="19"/>
        <v>475.79000000000008</v>
      </c>
      <c r="Q74" s="23">
        <f t="shared" si="19"/>
        <v>487.55</v>
      </c>
      <c r="R74" s="23">
        <f t="shared" si="19"/>
        <v>504.7</v>
      </c>
      <c r="S74" s="23">
        <f t="shared" si="19"/>
        <v>515.48</v>
      </c>
      <c r="T74" s="23">
        <f t="shared" si="19"/>
        <v>528.22</v>
      </c>
      <c r="U74" s="23">
        <f t="shared" si="19"/>
        <v>573.29999999999995</v>
      </c>
      <c r="V74" s="23">
        <f t="shared" si="19"/>
        <v>622.29999999999995</v>
      </c>
      <c r="W74" s="23">
        <f t="shared" si="19"/>
        <v>764.4</v>
      </c>
      <c r="X74" s="23">
        <f t="shared" si="19"/>
        <v>850.15</v>
      </c>
      <c r="Y74" s="23">
        <f t="shared" si="19"/>
        <v>1009.4</v>
      </c>
    </row>
    <row r="75" spans="2:25" hidden="1" outlineLevel="1" x14ac:dyDescent="0.2">
      <c r="B75" s="22" t="s">
        <v>42</v>
      </c>
      <c r="C75" s="22" t="str">
        <f>C74</f>
        <v>$ pa (nominal)</v>
      </c>
      <c r="D75" s="22"/>
      <c r="E75" s="22"/>
      <c r="F75" s="22"/>
      <c r="G75" s="22"/>
      <c r="H75" s="22"/>
      <c r="I75" s="22"/>
      <c r="J75" s="23"/>
      <c r="K75" s="23"/>
      <c r="L75" s="23"/>
      <c r="M75" s="23">
        <f t="shared" ref="M75:Y75" si="20">MAX(0,M$58-M$66)*M$67/100</f>
        <v>0</v>
      </c>
      <c r="N75" s="23">
        <f t="shared" si="20"/>
        <v>0</v>
      </c>
      <c r="O75" s="23">
        <f t="shared" si="20"/>
        <v>0</v>
      </c>
      <c r="P75" s="23">
        <f t="shared" si="20"/>
        <v>0</v>
      </c>
      <c r="Q75" s="23">
        <f t="shared" si="20"/>
        <v>0</v>
      </c>
      <c r="R75" s="23">
        <f t="shared" si="20"/>
        <v>0</v>
      </c>
      <c r="S75" s="23">
        <f t="shared" si="20"/>
        <v>0</v>
      </c>
      <c r="T75" s="23">
        <f t="shared" si="20"/>
        <v>0</v>
      </c>
      <c r="U75" s="23">
        <f t="shared" si="20"/>
        <v>0</v>
      </c>
      <c r="V75" s="23">
        <f t="shared" si="20"/>
        <v>0</v>
      </c>
      <c r="W75" s="23">
        <f t="shared" si="20"/>
        <v>0</v>
      </c>
      <c r="X75" s="23">
        <f t="shared" si="20"/>
        <v>0</v>
      </c>
      <c r="Y75" s="23">
        <f t="shared" si="20"/>
        <v>0</v>
      </c>
    </row>
    <row r="76" spans="2:25" hidden="1" outlineLevel="1" x14ac:dyDescent="0.2">
      <c r="B76" s="22" t="s">
        <v>47</v>
      </c>
      <c r="C76" s="22" t="str">
        <f>C75</f>
        <v>$ pa (nominal)</v>
      </c>
      <c r="D76" s="22"/>
      <c r="E76" s="22"/>
      <c r="F76" s="22"/>
      <c r="G76" s="22"/>
      <c r="H76" s="22"/>
      <c r="I76" s="22"/>
      <c r="J76" s="38"/>
      <c r="K76" s="38"/>
      <c r="L76" s="38"/>
      <c r="M76" s="38">
        <f t="shared" ref="M76:Y76" si="21">M$70*M57/100</f>
        <v>78.12</v>
      </c>
      <c r="N76" s="38">
        <f t="shared" si="21"/>
        <v>77.7</v>
      </c>
      <c r="O76" s="38">
        <f t="shared" si="21"/>
        <v>77.7</v>
      </c>
      <c r="P76" s="38">
        <f t="shared" si="21"/>
        <v>85.47</v>
      </c>
      <c r="Q76" s="38">
        <f t="shared" si="21"/>
        <v>91.56</v>
      </c>
      <c r="R76" s="38">
        <f t="shared" si="21"/>
        <v>92.19</v>
      </c>
      <c r="S76" s="38">
        <f t="shared" si="21"/>
        <v>94.371900000000011</v>
      </c>
      <c r="T76" s="38">
        <f t="shared" si="21"/>
        <v>98.07</v>
      </c>
      <c r="U76" s="38">
        <f t="shared" si="21"/>
        <v>102.9</v>
      </c>
      <c r="V76" s="38">
        <f t="shared" si="21"/>
        <v>111.3</v>
      </c>
      <c r="W76" s="38">
        <f t="shared" si="21"/>
        <v>140.69999999999999</v>
      </c>
      <c r="X76" s="38">
        <f t="shared" si="21"/>
        <v>159.6</v>
      </c>
      <c r="Y76" s="38">
        <f t="shared" si="21"/>
        <v>172.2</v>
      </c>
    </row>
    <row r="77" spans="2:25" hidden="1" outlineLevel="1" x14ac:dyDescent="0.2">
      <c r="B77" s="22" t="s">
        <v>48</v>
      </c>
      <c r="C77" s="22" t="str">
        <f>C76</f>
        <v>$ pa (nominal)</v>
      </c>
      <c r="D77" s="22"/>
      <c r="E77" s="22"/>
      <c r="F77" s="22"/>
      <c r="G77" s="22"/>
      <c r="H77" s="22"/>
      <c r="I77" s="22"/>
      <c r="J77" s="23"/>
      <c r="K77" s="23"/>
      <c r="L77" s="23"/>
      <c r="M77" s="23">
        <f t="shared" ref="M77:U77" si="22">SUM(M73:M76)</f>
        <v>635.47</v>
      </c>
      <c r="N77" s="23">
        <f t="shared" si="22"/>
        <v>631.30909090909086</v>
      </c>
      <c r="O77" s="23">
        <f t="shared" si="22"/>
        <v>607.18100000000015</v>
      </c>
      <c r="P77" s="23">
        <f t="shared" si="22"/>
        <v>635.64700000000005</v>
      </c>
      <c r="Q77" s="23">
        <f t="shared" si="22"/>
        <v>655.72350000000006</v>
      </c>
      <c r="R77" s="23">
        <f t="shared" si="22"/>
        <v>697.19200000000001</v>
      </c>
      <c r="S77" s="23">
        <f t="shared" si="22"/>
        <v>726.65189999999996</v>
      </c>
      <c r="T77" s="23">
        <f t="shared" si="22"/>
        <v>746.74</v>
      </c>
      <c r="U77" s="23">
        <f t="shared" si="22"/>
        <v>796.65</v>
      </c>
      <c r="V77" s="23">
        <f>SUM(V73:V76)</f>
        <v>857.69999999999993</v>
      </c>
      <c r="W77" s="23">
        <f>SUM(W73:W76)</f>
        <v>1047.45</v>
      </c>
      <c r="X77" s="23">
        <f>SUM(X73:X76)</f>
        <v>1166.6999999999998</v>
      </c>
      <c r="Y77" s="23">
        <f>SUM(Y73:Y76)</f>
        <v>1356.8</v>
      </c>
    </row>
    <row r="78" spans="2:25" ht="13.5" collapsed="1" thickBot="1" x14ac:dyDescent="0.25">
      <c r="B78" s="22" t="s">
        <v>49</v>
      </c>
      <c r="C78" s="22" t="str">
        <f>C77</f>
        <v>$ pa (nominal)</v>
      </c>
      <c r="D78" s="22"/>
      <c r="E78" s="22"/>
      <c r="F78" s="22"/>
      <c r="G78" s="22"/>
      <c r="H78" s="22"/>
      <c r="I78" s="22"/>
      <c r="J78" s="39"/>
      <c r="K78" s="39"/>
      <c r="L78" s="39"/>
      <c r="M78" s="58">
        <f>M77*(1+M$60)</f>
        <v>635.47</v>
      </c>
      <c r="N78" s="58">
        <f t="shared" ref="N78:Y78" si="23">N77*(1+N$60)</f>
        <v>694.43999999999994</v>
      </c>
      <c r="O78" s="58">
        <f t="shared" si="23"/>
        <v>667.8991000000002</v>
      </c>
      <c r="P78" s="58">
        <f t="shared" si="23"/>
        <v>699.21170000000006</v>
      </c>
      <c r="Q78" s="58">
        <f t="shared" si="23"/>
        <v>721.29585000000009</v>
      </c>
      <c r="R78" s="58">
        <f t="shared" si="23"/>
        <v>766.91120000000012</v>
      </c>
      <c r="S78" s="58">
        <f t="shared" si="23"/>
        <v>799.31709000000001</v>
      </c>
      <c r="T78" s="58">
        <f t="shared" si="23"/>
        <v>821.4140000000001</v>
      </c>
      <c r="U78" s="58">
        <f t="shared" si="23"/>
        <v>876.31500000000005</v>
      </c>
      <c r="V78" s="58">
        <f t="shared" si="23"/>
        <v>943.47</v>
      </c>
      <c r="W78" s="58">
        <f t="shared" si="23"/>
        <v>1152.1950000000002</v>
      </c>
      <c r="X78" s="58">
        <f t="shared" si="23"/>
        <v>1283.3699999999999</v>
      </c>
      <c r="Y78" s="58">
        <f t="shared" si="23"/>
        <v>1492.48</v>
      </c>
    </row>
    <row r="79" spans="2:25" s="42" customFormat="1" ht="13.5" thickTop="1" x14ac:dyDescent="0.2"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7"/>
      <c r="R79" s="46"/>
      <c r="S79" s="46"/>
      <c r="T79" s="46"/>
      <c r="U79" s="46"/>
      <c r="V79" s="46"/>
      <c r="W79" s="46"/>
      <c r="X79" s="46"/>
      <c r="Y79" s="46"/>
    </row>
    <row r="80" spans="2:25" s="42" customFormat="1" x14ac:dyDescent="0.2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6"/>
      <c r="P80" s="22"/>
      <c r="Q80" s="37"/>
      <c r="R80" s="22"/>
      <c r="S80" s="2"/>
      <c r="T80" s="2"/>
      <c r="U80" s="2"/>
      <c r="V80" s="2"/>
      <c r="W80" s="2"/>
      <c r="X80" s="2"/>
      <c r="Y80" s="2"/>
    </row>
    <row r="81" spans="2:27" x14ac:dyDescent="0.2">
      <c r="B81" s="5" t="s">
        <v>55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6"/>
      <c r="P81" s="30"/>
      <c r="Q81" s="28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2:27" hidden="1" outlineLevel="1" x14ac:dyDescent="0.2">
      <c r="B82" s="22" t="s">
        <v>50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6"/>
      <c r="P82" s="30"/>
      <c r="Q82" s="28"/>
      <c r="R82" s="22"/>
      <c r="S82" s="31" t="s">
        <v>34</v>
      </c>
      <c r="T82" s="31" t="s">
        <v>34</v>
      </c>
      <c r="U82" s="22" t="s">
        <v>51</v>
      </c>
      <c r="V82" s="22" t="s">
        <v>51</v>
      </c>
      <c r="W82" s="22" t="s">
        <v>51</v>
      </c>
      <c r="X82" s="22" t="s">
        <v>51</v>
      </c>
      <c r="Y82" s="22" t="s">
        <v>51</v>
      </c>
      <c r="Z82" s="22"/>
      <c r="AA82" s="22"/>
    </row>
    <row r="83" spans="2:27" hidden="1" outlineLevel="1" x14ac:dyDescent="0.2">
      <c r="B83" s="22" t="str">
        <f t="shared" ref="B83:C86" si="24">B64</f>
        <v>Fixed charge</v>
      </c>
      <c r="C83" s="22" t="str">
        <f t="shared" si="24"/>
        <v>c/day</v>
      </c>
      <c r="D83" s="22"/>
      <c r="E83" s="22"/>
      <c r="F83" s="22"/>
      <c r="G83" s="22"/>
      <c r="H83" s="30"/>
      <c r="I83" s="30"/>
      <c r="J83" s="30"/>
      <c r="K83" s="30"/>
      <c r="L83" s="30"/>
      <c r="M83" s="30"/>
      <c r="N83" s="30"/>
      <c r="O83" s="30">
        <v>19.716064757160645</v>
      </c>
      <c r="P83" s="30">
        <f>85.65*100/365</f>
        <v>23.465753424657535</v>
      </c>
      <c r="Q83" s="30">
        <f>95.65*100/365</f>
        <v>26.205479452054796</v>
      </c>
      <c r="R83" s="30">
        <f>109.5*100/365</f>
        <v>30</v>
      </c>
      <c r="S83" s="30">
        <f>129*100/365</f>
        <v>35.342465753424655</v>
      </c>
      <c r="T83" s="30">
        <f>136.3*100/365</f>
        <v>37.342465753424662</v>
      </c>
      <c r="U83" s="30">
        <v>39.874299999999998</v>
      </c>
      <c r="V83" s="40">
        <v>39.983499999999999</v>
      </c>
      <c r="W83" s="40">
        <f>175.2/365*100</f>
        <v>48</v>
      </c>
      <c r="X83" s="40">
        <v>52</v>
      </c>
      <c r="Y83" s="40">
        <v>59.85</v>
      </c>
    </row>
    <row r="84" spans="2:27" hidden="1" outlineLevel="1" x14ac:dyDescent="0.2">
      <c r="B84" s="22" t="str">
        <f t="shared" si="24"/>
        <v>Block 1 charge</v>
      </c>
      <c r="C84" s="22" t="str">
        <f t="shared" si="24"/>
        <v>c/kWh</v>
      </c>
      <c r="D84" s="22"/>
      <c r="E84" s="22"/>
      <c r="F84" s="22"/>
      <c r="G84" s="22"/>
      <c r="H84" s="30"/>
      <c r="I84" s="30"/>
      <c r="J84" s="30"/>
      <c r="K84" s="30"/>
      <c r="L84" s="30"/>
      <c r="M84" s="30">
        <v>13.66</v>
      </c>
      <c r="N84" s="30">
        <v>14.372727272727271</v>
      </c>
      <c r="O84" s="30">
        <v>10.627272727272725</v>
      </c>
      <c r="P84" s="30">
        <v>10.901899999999999</v>
      </c>
      <c r="Q84" s="30">
        <v>11.207599999999999</v>
      </c>
      <c r="R84" s="30">
        <v>11.776999999999999</v>
      </c>
      <c r="S84" s="30">
        <v>11.877700000000001</v>
      </c>
      <c r="T84" s="30">
        <v>12.2767</v>
      </c>
      <c r="U84" s="30">
        <v>13.329000000000001</v>
      </c>
      <c r="V84" s="40">
        <v>14.62</v>
      </c>
      <c r="W84" s="40">
        <v>17.75</v>
      </c>
      <c r="X84" s="40">
        <v>18.93</v>
      </c>
      <c r="Y84" s="40">
        <v>21.85</v>
      </c>
    </row>
    <row r="85" spans="2:27" hidden="1" outlineLevel="1" x14ac:dyDescent="0.2">
      <c r="B85" s="22" t="str">
        <f t="shared" si="24"/>
        <v xml:space="preserve"> .. For consumption up to </v>
      </c>
      <c r="C85" s="22" t="str">
        <f t="shared" si="24"/>
        <v>kWh/year</v>
      </c>
      <c r="D85" s="22"/>
      <c r="E85" s="22"/>
      <c r="F85" s="22"/>
      <c r="G85" s="22"/>
      <c r="H85" s="33"/>
      <c r="I85" s="33"/>
      <c r="J85" s="33"/>
      <c r="K85" s="33"/>
      <c r="L85" s="33"/>
      <c r="M85" s="33">
        <f>297/2*3</f>
        <v>445.5</v>
      </c>
      <c r="N85" s="33">
        <f>297/2*3</f>
        <v>445.5</v>
      </c>
      <c r="O85" s="33">
        <f>297/2*3</f>
        <v>445.5</v>
      </c>
      <c r="P85" s="33">
        <v>7000</v>
      </c>
      <c r="Q85" s="33">
        <v>7000</v>
      </c>
      <c r="R85" s="33">
        <v>7000</v>
      </c>
      <c r="S85" s="33">
        <v>7000</v>
      </c>
      <c r="T85" s="33">
        <v>7000</v>
      </c>
      <c r="U85" s="33">
        <v>7000</v>
      </c>
      <c r="V85" s="33">
        <v>7000</v>
      </c>
      <c r="W85" s="41">
        <v>7000</v>
      </c>
      <c r="X85" s="33">
        <v>7000</v>
      </c>
      <c r="Y85" s="33">
        <v>7000</v>
      </c>
    </row>
    <row r="86" spans="2:27" hidden="1" outlineLevel="1" x14ac:dyDescent="0.2">
      <c r="B86" s="22" t="str">
        <f t="shared" si="24"/>
        <v>Block 2 charge</v>
      </c>
      <c r="C86" s="22" t="str">
        <f t="shared" si="24"/>
        <v>c/kWh</v>
      </c>
      <c r="D86" s="22"/>
      <c r="E86" s="22"/>
      <c r="F86" s="22"/>
      <c r="G86" s="22"/>
      <c r="H86" s="30"/>
      <c r="I86" s="30"/>
      <c r="J86" s="30"/>
      <c r="K86" s="30"/>
      <c r="L86" s="30"/>
      <c r="M86" s="30">
        <v>10.38</v>
      </c>
      <c r="N86" s="30">
        <v>10.436363636363636</v>
      </c>
      <c r="O86" s="30">
        <v>10.627272727272725</v>
      </c>
      <c r="P86" s="30">
        <f>P84</f>
        <v>10.901899999999999</v>
      </c>
      <c r="Q86" s="30">
        <f>Q84</f>
        <v>11.207599999999999</v>
      </c>
      <c r="R86" s="30">
        <v>12.016999999999999</v>
      </c>
      <c r="S86" s="30">
        <v>12.364699999999999</v>
      </c>
      <c r="T86" s="30">
        <v>13.2967</v>
      </c>
      <c r="U86" s="30">
        <v>14.409000000000001</v>
      </c>
      <c r="V86" s="40">
        <v>15.75</v>
      </c>
      <c r="W86" s="40">
        <v>19.350000000000001</v>
      </c>
      <c r="X86" s="40">
        <v>20.96</v>
      </c>
      <c r="Y86" s="40">
        <v>24.19</v>
      </c>
    </row>
    <row r="87" spans="2:27" hidden="1" outlineLevel="1" x14ac:dyDescent="0.2">
      <c r="B87" s="22"/>
      <c r="C87" s="22"/>
      <c r="D87" s="22"/>
      <c r="E87" s="22"/>
      <c r="F87" s="22"/>
      <c r="G87" s="22"/>
      <c r="H87" s="30"/>
      <c r="I87" s="30"/>
      <c r="J87" s="30"/>
      <c r="K87" s="30"/>
      <c r="L87" s="30"/>
      <c r="M87" s="30"/>
      <c r="N87" s="30"/>
      <c r="O87" s="30"/>
      <c r="P87" s="30"/>
      <c r="Q87" s="28"/>
      <c r="R87" s="22"/>
      <c r="S87" s="23"/>
      <c r="T87" s="23"/>
      <c r="U87" s="23"/>
      <c r="V87" s="40"/>
      <c r="W87" s="22"/>
      <c r="X87" s="22"/>
      <c r="Y87" s="30"/>
    </row>
    <row r="88" spans="2:27" hidden="1" outlineLevel="1" x14ac:dyDescent="0.2">
      <c r="B88" s="22" t="s">
        <v>44</v>
      </c>
      <c r="C88" s="22" t="str">
        <f>C69</f>
        <v>c/day</v>
      </c>
      <c r="D88" s="22"/>
      <c r="E88" s="22"/>
      <c r="F88" s="22"/>
      <c r="G88" s="22"/>
      <c r="H88" s="30"/>
      <c r="I88" s="30"/>
      <c r="J88" s="30"/>
      <c r="K88" s="30"/>
      <c r="L88" s="30"/>
      <c r="M88" s="30"/>
      <c r="N88" s="30"/>
      <c r="O88" s="30"/>
      <c r="P88" s="30">
        <v>0</v>
      </c>
      <c r="Q88" s="28">
        <v>0</v>
      </c>
      <c r="R88" s="30">
        <f>7.31/365*100</f>
        <v>2.0027397260273974</v>
      </c>
      <c r="S88" s="30">
        <f>7.31/365*100</f>
        <v>2.0027397260273974</v>
      </c>
      <c r="T88" s="30">
        <f>7.3/365*100</f>
        <v>2</v>
      </c>
      <c r="U88" s="30">
        <v>1.9944999999999999</v>
      </c>
      <c r="V88" s="40">
        <v>2</v>
      </c>
      <c r="W88" s="40">
        <f>10.95/365*100</f>
        <v>3</v>
      </c>
      <c r="X88" s="40">
        <v>4</v>
      </c>
      <c r="Y88" s="30">
        <v>4.5999999999999996</v>
      </c>
    </row>
    <row r="89" spans="2:27" hidden="1" outlineLevel="1" x14ac:dyDescent="0.2">
      <c r="B89" s="22" t="s">
        <v>44</v>
      </c>
      <c r="C89" s="22" t="str">
        <f>C70</f>
        <v>c/kWh</v>
      </c>
      <c r="D89" s="22"/>
      <c r="E89" s="22"/>
      <c r="F89" s="22"/>
      <c r="G89" s="22"/>
      <c r="H89" s="30"/>
      <c r="I89" s="30"/>
      <c r="J89" s="30"/>
      <c r="K89" s="30"/>
      <c r="L89" s="30"/>
      <c r="M89" s="30">
        <v>3.95</v>
      </c>
      <c r="N89" s="30">
        <v>3.95</v>
      </c>
      <c r="O89" s="30">
        <v>4.1363636363636358</v>
      </c>
      <c r="P89" s="30">
        <v>4.1970000000000001</v>
      </c>
      <c r="Q89" s="30">
        <v>4.2605000000000004</v>
      </c>
      <c r="R89" s="30">
        <v>4.2720000000000002</v>
      </c>
      <c r="S89" s="30">
        <v>4.4988000000000001</v>
      </c>
      <c r="T89" s="30">
        <v>4.6539000000000001</v>
      </c>
      <c r="U89" s="30">
        <v>5.0599999999999996</v>
      </c>
      <c r="V89" s="40">
        <v>5.54</v>
      </c>
      <c r="W89" s="40">
        <v>6.3</v>
      </c>
      <c r="X89" s="40">
        <v>6.31</v>
      </c>
      <c r="Y89" s="30">
        <v>7.28</v>
      </c>
    </row>
    <row r="90" spans="2:27" hidden="1" outlineLevel="1" x14ac:dyDescent="0.2">
      <c r="B90" s="22"/>
      <c r="C90" s="22"/>
      <c r="D90" s="22"/>
      <c r="E90" s="22"/>
      <c r="F90" s="22"/>
      <c r="G90" s="22"/>
      <c r="H90" s="30"/>
      <c r="I90" s="30"/>
      <c r="J90" s="30"/>
      <c r="K90" s="30"/>
      <c r="L90" s="30"/>
      <c r="M90" s="30"/>
      <c r="N90" s="30"/>
      <c r="O90" s="30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2:27" hidden="1" outlineLevel="1" x14ac:dyDescent="0.2">
      <c r="B91" s="22" t="str">
        <f t="shared" ref="B91:B97" si="25">B72</f>
        <v>Customer bill</v>
      </c>
      <c r="C91" s="22"/>
      <c r="D91" s="22"/>
      <c r="E91" s="22"/>
      <c r="F91" s="22"/>
      <c r="G91" s="22"/>
      <c r="H91" s="30"/>
      <c r="I91" s="30"/>
      <c r="J91" s="30"/>
      <c r="K91" s="30"/>
      <c r="L91" s="30"/>
      <c r="M91" s="30"/>
      <c r="N91" s="30"/>
      <c r="O91" s="30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2:27" hidden="1" outlineLevel="1" x14ac:dyDescent="0.2">
      <c r="B92" s="22" t="str">
        <f t="shared" si="25"/>
        <v>Fixed charge</v>
      </c>
      <c r="C92" s="22"/>
      <c r="D92" s="22"/>
      <c r="E92" s="22"/>
      <c r="F92" s="22"/>
      <c r="G92" s="22"/>
      <c r="H92" s="22"/>
      <c r="I92" s="22"/>
      <c r="J92" s="23"/>
      <c r="K92" s="23"/>
      <c r="L92" s="23"/>
      <c r="M92" s="23">
        <f t="shared" ref="M92:Y92" si="26">(M83+IF(M57&gt;0,M88,0))/100*365</f>
        <v>0</v>
      </c>
      <c r="N92" s="23">
        <f t="shared" si="26"/>
        <v>0</v>
      </c>
      <c r="O92" s="23">
        <f t="shared" si="26"/>
        <v>71.963636363636354</v>
      </c>
      <c r="P92" s="23">
        <f t="shared" si="26"/>
        <v>85.65</v>
      </c>
      <c r="Q92" s="23">
        <f t="shared" si="26"/>
        <v>95.65</v>
      </c>
      <c r="R92" s="23">
        <f t="shared" si="26"/>
        <v>116.81000000000002</v>
      </c>
      <c r="S92" s="23">
        <f t="shared" si="26"/>
        <v>136.31</v>
      </c>
      <c r="T92" s="23">
        <f t="shared" si="26"/>
        <v>143.60000000000002</v>
      </c>
      <c r="U92" s="23">
        <f t="shared" si="26"/>
        <v>152.82112000000001</v>
      </c>
      <c r="V92" s="23">
        <f t="shared" si="26"/>
        <v>153.23977500000001</v>
      </c>
      <c r="W92" s="23">
        <f t="shared" si="26"/>
        <v>186.15</v>
      </c>
      <c r="X92" s="23">
        <f t="shared" si="26"/>
        <v>204.4</v>
      </c>
      <c r="Y92" s="23">
        <f t="shared" si="26"/>
        <v>235.24250000000004</v>
      </c>
    </row>
    <row r="93" spans="2:27" hidden="1" outlineLevel="1" x14ac:dyDescent="0.2">
      <c r="B93" s="22" t="str">
        <f t="shared" si="25"/>
        <v>Block 1 charge</v>
      </c>
      <c r="C93" s="22"/>
      <c r="D93" s="22"/>
      <c r="E93" s="22"/>
      <c r="F93" s="22"/>
      <c r="G93" s="22"/>
      <c r="H93" s="22"/>
      <c r="I93" s="22"/>
      <c r="J93" s="23"/>
      <c r="K93" s="23"/>
      <c r="L93" s="23"/>
      <c r="M93" s="23">
        <f t="shared" ref="M93:Y93" si="27">MIN(M$58,M85)*M84/100</f>
        <v>60.8553</v>
      </c>
      <c r="N93" s="23">
        <f t="shared" si="27"/>
        <v>64.030499999999989</v>
      </c>
      <c r="O93" s="23">
        <f t="shared" si="27"/>
        <v>47.344499999999989</v>
      </c>
      <c r="P93" s="23">
        <f t="shared" si="27"/>
        <v>534.19309999999996</v>
      </c>
      <c r="Q93" s="23">
        <f t="shared" si="27"/>
        <v>549.17239999999993</v>
      </c>
      <c r="R93" s="23">
        <f t="shared" si="27"/>
        <v>577.07299999999998</v>
      </c>
      <c r="S93" s="23">
        <f t="shared" si="27"/>
        <v>582.00729999999999</v>
      </c>
      <c r="T93" s="23">
        <f t="shared" si="27"/>
        <v>601.55830000000003</v>
      </c>
      <c r="U93" s="23">
        <f t="shared" si="27"/>
        <v>653.12100000000009</v>
      </c>
      <c r="V93" s="23">
        <f t="shared" si="27"/>
        <v>716.38</v>
      </c>
      <c r="W93" s="23">
        <f t="shared" si="27"/>
        <v>869.75</v>
      </c>
      <c r="X93" s="23">
        <f t="shared" si="27"/>
        <v>927.57</v>
      </c>
      <c r="Y93" s="23">
        <f t="shared" si="27"/>
        <v>1070.6500000000001</v>
      </c>
    </row>
    <row r="94" spans="2:27" hidden="1" outlineLevel="1" x14ac:dyDescent="0.2">
      <c r="B94" s="22" t="str">
        <f t="shared" si="25"/>
        <v>Block 2 charge</v>
      </c>
      <c r="C94" s="22"/>
      <c r="D94" s="22"/>
      <c r="E94" s="22"/>
      <c r="F94" s="22"/>
      <c r="G94" s="22"/>
      <c r="H94" s="22"/>
      <c r="I94" s="22"/>
      <c r="J94" s="23"/>
      <c r="K94" s="23"/>
      <c r="L94" s="23"/>
      <c r="M94" s="23">
        <f t="shared" ref="M94:Y94" si="28">MAX(0,M$58-M85)*M86/100</f>
        <v>462.37710000000004</v>
      </c>
      <c r="N94" s="23">
        <f t="shared" si="28"/>
        <v>464.88781818181815</v>
      </c>
      <c r="O94" s="23">
        <f t="shared" si="28"/>
        <v>473.39186363636355</v>
      </c>
      <c r="P94" s="23">
        <f t="shared" si="28"/>
        <v>0</v>
      </c>
      <c r="Q94" s="23">
        <f t="shared" si="28"/>
        <v>0</v>
      </c>
      <c r="R94" s="23">
        <f t="shared" si="28"/>
        <v>0</v>
      </c>
      <c r="S94" s="23">
        <f t="shared" si="28"/>
        <v>0</v>
      </c>
      <c r="T94" s="23">
        <f t="shared" si="28"/>
        <v>0</v>
      </c>
      <c r="U94" s="23">
        <f t="shared" si="28"/>
        <v>0</v>
      </c>
      <c r="V94" s="23">
        <f t="shared" si="28"/>
        <v>0</v>
      </c>
      <c r="W94" s="23">
        <f t="shared" si="28"/>
        <v>0</v>
      </c>
      <c r="X94" s="23">
        <f t="shared" si="28"/>
        <v>0</v>
      </c>
      <c r="Y94" s="23">
        <f t="shared" si="28"/>
        <v>0</v>
      </c>
    </row>
    <row r="95" spans="2:27" hidden="1" outlineLevel="1" x14ac:dyDescent="0.2">
      <c r="B95" s="22" t="str">
        <f t="shared" si="25"/>
        <v>Controlled load usage charge</v>
      </c>
      <c r="C95" s="22"/>
      <c r="D95" s="22"/>
      <c r="E95" s="22"/>
      <c r="F95" s="22"/>
      <c r="G95" s="22"/>
      <c r="H95" s="22"/>
      <c r="I95" s="22"/>
      <c r="J95" s="38"/>
      <c r="K95" s="38"/>
      <c r="L95" s="38"/>
      <c r="M95" s="38">
        <f t="shared" ref="M95:Y95" si="29">M89*M$57/100</f>
        <v>82.95</v>
      </c>
      <c r="N95" s="38">
        <f t="shared" si="29"/>
        <v>82.95</v>
      </c>
      <c r="O95" s="38">
        <f t="shared" si="29"/>
        <v>86.86363636363636</v>
      </c>
      <c r="P95" s="38">
        <f t="shared" si="29"/>
        <v>88.137</v>
      </c>
      <c r="Q95" s="38">
        <f t="shared" si="29"/>
        <v>89.470500000000015</v>
      </c>
      <c r="R95" s="38">
        <f t="shared" si="29"/>
        <v>89.712000000000003</v>
      </c>
      <c r="S95" s="38">
        <f t="shared" si="29"/>
        <v>94.474800000000002</v>
      </c>
      <c r="T95" s="38">
        <f t="shared" si="29"/>
        <v>97.73190000000001</v>
      </c>
      <c r="U95" s="38">
        <f t="shared" si="29"/>
        <v>106.26</v>
      </c>
      <c r="V95" s="38">
        <f t="shared" si="29"/>
        <v>116.34</v>
      </c>
      <c r="W95" s="38">
        <f t="shared" si="29"/>
        <v>132.30000000000001</v>
      </c>
      <c r="X95" s="38">
        <f t="shared" si="29"/>
        <v>132.51</v>
      </c>
      <c r="Y95" s="38">
        <f t="shared" si="29"/>
        <v>152.88</v>
      </c>
    </row>
    <row r="96" spans="2:27" hidden="1" outlineLevel="1" x14ac:dyDescent="0.2">
      <c r="B96" s="22" t="str">
        <f t="shared" si="25"/>
        <v>Total bill excluding GST</v>
      </c>
      <c r="C96" s="22"/>
      <c r="D96" s="22"/>
      <c r="E96" s="22"/>
      <c r="F96" s="22"/>
      <c r="G96" s="22"/>
      <c r="H96" s="22"/>
      <c r="I96" s="22"/>
      <c r="J96" s="23"/>
      <c r="K96" s="23"/>
      <c r="L96" s="23"/>
      <c r="M96" s="23">
        <f t="shared" ref="M96:U96" si="30">SUM(M92:M95)</f>
        <v>606.18240000000014</v>
      </c>
      <c r="N96" s="23">
        <f t="shared" si="30"/>
        <v>611.86831818181815</v>
      </c>
      <c r="O96" s="23">
        <f t="shared" si="30"/>
        <v>679.56363636363631</v>
      </c>
      <c r="P96" s="23">
        <f t="shared" si="30"/>
        <v>707.98009999999999</v>
      </c>
      <c r="Q96" s="23">
        <f t="shared" si="30"/>
        <v>734.29289999999992</v>
      </c>
      <c r="R96" s="23">
        <f t="shared" si="30"/>
        <v>783.59500000000003</v>
      </c>
      <c r="S96" s="23">
        <f t="shared" si="30"/>
        <v>812.79209999999989</v>
      </c>
      <c r="T96" s="23">
        <f t="shared" si="30"/>
        <v>842.89020000000005</v>
      </c>
      <c r="U96" s="23">
        <f t="shared" si="30"/>
        <v>912.20212000000015</v>
      </c>
      <c r="V96" s="23">
        <f>SUM(V92:V95)</f>
        <v>985.95977500000004</v>
      </c>
      <c r="W96" s="23">
        <f>SUM(W92:W95)</f>
        <v>1188.2</v>
      </c>
      <c r="X96" s="23">
        <f>SUM(X92:X95)</f>
        <v>1264.48</v>
      </c>
      <c r="Y96" s="23">
        <f>SUM(Y92:Y95)</f>
        <v>1458.7725</v>
      </c>
    </row>
    <row r="97" spans="2:25" ht="13.5" collapsed="1" thickBot="1" x14ac:dyDescent="0.25">
      <c r="B97" s="22" t="str">
        <f t="shared" si="25"/>
        <v>Total bill including GST</v>
      </c>
      <c r="C97" s="22"/>
      <c r="D97" s="22"/>
      <c r="E97" s="22"/>
      <c r="F97" s="22"/>
      <c r="G97" s="22"/>
      <c r="H97" s="22"/>
      <c r="I97" s="22"/>
      <c r="J97" s="23"/>
      <c r="K97" s="23"/>
      <c r="L97" s="23"/>
      <c r="M97" s="58">
        <f>M96*(1+M$60)</f>
        <v>606.18240000000014</v>
      </c>
      <c r="N97" s="58">
        <f t="shared" ref="N97" si="31">N96*(1+N$60)</f>
        <v>673.05515000000003</v>
      </c>
      <c r="O97" s="58">
        <f>O96*(1+O$60)</f>
        <v>747.52</v>
      </c>
      <c r="P97" s="58">
        <f t="shared" ref="P97" si="32">P96*(1+P$60)</f>
        <v>778.77811000000008</v>
      </c>
      <c r="Q97" s="58">
        <f t="shared" ref="Q97" si="33">Q96*(1+Q$60)</f>
        <v>807.72218999999996</v>
      </c>
      <c r="R97" s="58">
        <f t="shared" ref="R97" si="34">R96*(1+R$60)</f>
        <v>861.95450000000005</v>
      </c>
      <c r="S97" s="58">
        <f t="shared" ref="S97" si="35">S96*(1+S$60)</f>
        <v>894.07130999999993</v>
      </c>
      <c r="T97" s="58">
        <f t="shared" ref="T97" si="36">T96*(1+T$60)</f>
        <v>927.1792200000001</v>
      </c>
      <c r="U97" s="58">
        <f t="shared" ref="U97" si="37">U96*(1+U$60)</f>
        <v>1003.4223320000002</v>
      </c>
      <c r="V97" s="58">
        <f t="shared" ref="V97" si="38">V96*(1+V$60)</f>
        <v>1084.5557525000002</v>
      </c>
      <c r="W97" s="58">
        <f t="shared" ref="W97" si="39">W96*(1+W$60)</f>
        <v>1307.0200000000002</v>
      </c>
      <c r="X97" s="58">
        <f t="shared" ref="X97" si="40">X96*(1+X$60)</f>
        <v>1390.9280000000001</v>
      </c>
      <c r="Y97" s="58">
        <f t="shared" ref="Y97" si="41">Y96*(1+Y$60)</f>
        <v>1604.6497500000003</v>
      </c>
    </row>
    <row r="98" spans="2:25" ht="14.25" thickTop="1" thickBot="1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</sheetData>
  <phoneticPr fontId="4" type="noConversion"/>
  <pageMargins left="0.75" right="0.75" top="1" bottom="1" header="0.5" footer="0.5"/>
  <pageSetup paperSize="66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Drop Down 57">
              <controlPr defaultSize="0" autoLine="0" autoPict="0">
                <anchor moveWithCells="1">
                  <from>
                    <xdr:col>0</xdr:col>
                    <xdr:colOff>180975</xdr:colOff>
                    <xdr:row>52</xdr:row>
                    <xdr:rowOff>38100</xdr:rowOff>
                  </from>
                  <to>
                    <xdr:col>6</xdr:col>
                    <xdr:colOff>285750</xdr:colOff>
                    <xdr:row>53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7"/>
  <sheetViews>
    <sheetView showGridLines="0" tabSelected="1" workbookViewId="0">
      <selection activeCell="L11" sqref="L11"/>
    </sheetView>
  </sheetViews>
  <sheetFormatPr defaultRowHeight="12.75" x14ac:dyDescent="0.2"/>
  <cols>
    <col min="5" max="5" width="11" customWidth="1"/>
    <col min="6" max="7" width="18" customWidth="1"/>
    <col min="8" max="8" width="17.85546875" customWidth="1"/>
  </cols>
  <sheetData>
    <row r="2" spans="2:8" x14ac:dyDescent="0.2">
      <c r="B2" s="1" t="s">
        <v>76</v>
      </c>
    </row>
    <row r="4" spans="2:8" ht="13.5" thickBot="1" x14ac:dyDescent="0.25">
      <c r="B4" s="104" t="s">
        <v>60</v>
      </c>
      <c r="C4" s="105"/>
      <c r="D4" s="105"/>
      <c r="E4" s="105"/>
      <c r="F4" s="105"/>
      <c r="G4" s="105"/>
      <c r="H4" s="105"/>
    </row>
    <row r="5" spans="2:8" ht="69.75" customHeight="1" thickBot="1" x14ac:dyDescent="0.25">
      <c r="B5" s="106" t="s">
        <v>61</v>
      </c>
      <c r="C5" s="107"/>
      <c r="D5" s="108" t="s">
        <v>62</v>
      </c>
      <c r="E5" s="107"/>
      <c r="F5" s="109"/>
      <c r="G5" s="66" t="s">
        <v>79</v>
      </c>
      <c r="H5" s="67" t="s">
        <v>80</v>
      </c>
    </row>
    <row r="6" spans="2:8" ht="13.5" thickBot="1" x14ac:dyDescent="0.25">
      <c r="B6" s="110"/>
      <c r="C6" s="113" t="s">
        <v>63</v>
      </c>
      <c r="D6" s="115"/>
      <c r="E6" s="113" t="s">
        <v>63</v>
      </c>
      <c r="F6" s="68" t="s">
        <v>64</v>
      </c>
      <c r="G6" s="73">
        <v>5814.5796298650303</v>
      </c>
      <c r="H6" s="74"/>
    </row>
    <row r="7" spans="2:8" x14ac:dyDescent="0.2">
      <c r="B7" s="111"/>
      <c r="C7" s="105"/>
      <c r="D7" s="105"/>
      <c r="E7" s="105"/>
      <c r="F7" s="69" t="s">
        <v>65</v>
      </c>
      <c r="G7" s="75">
        <v>449.13943848126212</v>
      </c>
      <c r="H7" s="76"/>
    </row>
    <row r="8" spans="2:8" x14ac:dyDescent="0.2">
      <c r="B8" s="111"/>
      <c r="C8" s="105"/>
      <c r="D8" s="105"/>
      <c r="E8" s="105"/>
      <c r="F8" s="69" t="s">
        <v>66</v>
      </c>
      <c r="G8" s="75">
        <v>3332.1694193012158</v>
      </c>
      <c r="H8" s="76"/>
    </row>
    <row r="9" spans="2:8" x14ac:dyDescent="0.2">
      <c r="B9" s="111"/>
      <c r="C9" s="105"/>
      <c r="D9" s="105"/>
      <c r="E9" s="114"/>
      <c r="F9" s="70" t="s">
        <v>67</v>
      </c>
      <c r="G9" s="77">
        <v>5176</v>
      </c>
      <c r="H9" s="78"/>
    </row>
    <row r="10" spans="2:8" x14ac:dyDescent="0.2">
      <c r="B10" s="111"/>
      <c r="C10" s="105"/>
      <c r="D10" s="105"/>
      <c r="E10" s="116" t="s">
        <v>68</v>
      </c>
      <c r="F10" s="71" t="s">
        <v>64</v>
      </c>
      <c r="G10" s="79">
        <v>9242.5549842040327</v>
      </c>
      <c r="H10" s="80">
        <v>2710.5300484065851</v>
      </c>
    </row>
    <row r="11" spans="2:8" x14ac:dyDescent="0.2">
      <c r="B11" s="111"/>
      <c r="C11" s="105"/>
      <c r="D11" s="105"/>
      <c r="E11" s="105"/>
      <c r="F11" s="69" t="s">
        <v>65</v>
      </c>
      <c r="G11" s="75">
        <v>662.87299782354717</v>
      </c>
      <c r="H11" s="81">
        <v>662.87299782354717</v>
      </c>
    </row>
    <row r="12" spans="2:8" x14ac:dyDescent="0.2">
      <c r="B12" s="111"/>
      <c r="C12" s="105"/>
      <c r="D12" s="105"/>
      <c r="E12" s="105"/>
      <c r="F12" s="69" t="s">
        <v>66</v>
      </c>
      <c r="G12" s="75">
        <v>4672.7292765088632</v>
      </c>
      <c r="H12" s="81">
        <v>1380.9572858726965</v>
      </c>
    </row>
    <row r="13" spans="2:8" x14ac:dyDescent="0.2">
      <c r="B13" s="111"/>
      <c r="C13" s="105"/>
      <c r="D13" s="105"/>
      <c r="E13" s="114"/>
      <c r="F13" s="70" t="s">
        <v>67</v>
      </c>
      <c r="G13" s="86">
        <v>8472.9868908498629</v>
      </c>
      <c r="H13" s="87">
        <v>2542.7691960546449</v>
      </c>
    </row>
    <row r="14" spans="2:8" x14ac:dyDescent="0.2">
      <c r="B14" s="111"/>
      <c r="C14" s="105"/>
      <c r="D14" s="105"/>
      <c r="E14" s="116" t="s">
        <v>69</v>
      </c>
      <c r="F14" s="71" t="s">
        <v>64</v>
      </c>
      <c r="G14" s="79">
        <v>7858.0030893604726</v>
      </c>
      <c r="H14" s="80">
        <v>2710.5300484065851</v>
      </c>
    </row>
    <row r="15" spans="2:8" x14ac:dyDescent="0.2">
      <c r="B15" s="111"/>
      <c r="C15" s="105"/>
      <c r="D15" s="105"/>
      <c r="E15" s="105"/>
      <c r="F15" s="69" t="s">
        <v>65</v>
      </c>
      <c r="G15" s="75">
        <v>1112.0124363048099</v>
      </c>
      <c r="H15" s="81">
        <v>662.87299782354717</v>
      </c>
    </row>
    <row r="16" spans="2:8" x14ac:dyDescent="0.2">
      <c r="B16" s="111"/>
      <c r="C16" s="105"/>
      <c r="D16" s="105"/>
      <c r="E16" s="105"/>
      <c r="F16" s="69" t="s">
        <v>66</v>
      </c>
      <c r="G16" s="75">
        <v>4507.5525245403005</v>
      </c>
      <c r="H16" s="81">
        <v>1380.9572858726965</v>
      </c>
    </row>
    <row r="17" spans="2:8" x14ac:dyDescent="0.2">
      <c r="B17" s="111"/>
      <c r="C17" s="114"/>
      <c r="D17" s="114"/>
      <c r="E17" s="114"/>
      <c r="F17" s="70" t="s">
        <v>67</v>
      </c>
      <c r="G17" s="77">
        <v>7029.5467880583528</v>
      </c>
      <c r="H17" s="82">
        <v>2542.7691960546449</v>
      </c>
    </row>
    <row r="18" spans="2:8" ht="13.5" thickBot="1" x14ac:dyDescent="0.25">
      <c r="B18" s="111"/>
      <c r="C18" s="117" t="s">
        <v>70</v>
      </c>
      <c r="D18" s="119"/>
      <c r="E18" s="116" t="s">
        <v>63</v>
      </c>
      <c r="F18" s="71" t="s">
        <v>64</v>
      </c>
      <c r="G18" s="79">
        <v>5950.3776300552227</v>
      </c>
      <c r="H18" s="83"/>
    </row>
    <row r="19" spans="2:8" x14ac:dyDescent="0.2">
      <c r="B19" s="111"/>
      <c r="C19" s="105"/>
      <c r="D19" s="105"/>
      <c r="E19" s="105"/>
      <c r="F19" s="69" t="s">
        <v>65</v>
      </c>
      <c r="G19" s="75">
        <v>876.43308463125652</v>
      </c>
      <c r="H19" s="76"/>
    </row>
    <row r="20" spans="2:8" x14ac:dyDescent="0.2">
      <c r="B20" s="111"/>
      <c r="C20" s="105"/>
      <c r="D20" s="105"/>
      <c r="E20" s="105"/>
      <c r="F20" s="69" t="s">
        <v>66</v>
      </c>
      <c r="G20" s="75">
        <v>4038.1118538960682</v>
      </c>
      <c r="H20" s="76"/>
    </row>
    <row r="21" spans="2:8" x14ac:dyDescent="0.2">
      <c r="B21" s="111"/>
      <c r="C21" s="105"/>
      <c r="D21" s="105"/>
      <c r="E21" s="114"/>
      <c r="F21" s="70" t="s">
        <v>67</v>
      </c>
      <c r="G21" s="86">
        <v>4979.5480209972557</v>
      </c>
      <c r="H21" s="78"/>
    </row>
    <row r="22" spans="2:8" x14ac:dyDescent="0.2">
      <c r="B22" s="111"/>
      <c r="C22" s="105"/>
      <c r="D22" s="105"/>
      <c r="E22" s="116" t="s">
        <v>68</v>
      </c>
      <c r="F22" s="71" t="s">
        <v>64</v>
      </c>
      <c r="G22" s="79">
        <v>9255.3273934290501</v>
      </c>
      <c r="H22" s="80">
        <v>2563.8977167610283</v>
      </c>
    </row>
    <row r="23" spans="2:8" x14ac:dyDescent="0.2">
      <c r="B23" s="111"/>
      <c r="C23" s="105"/>
      <c r="D23" s="105"/>
      <c r="E23" s="105"/>
      <c r="F23" s="69" t="s">
        <v>65</v>
      </c>
      <c r="G23" s="75">
        <v>203.55470626563701</v>
      </c>
      <c r="H23" s="81">
        <v>203.55470626563701</v>
      </c>
    </row>
    <row r="24" spans="2:8" x14ac:dyDescent="0.2">
      <c r="B24" s="111"/>
      <c r="C24" s="105"/>
      <c r="D24" s="105"/>
      <c r="E24" s="105"/>
      <c r="F24" s="69" t="s">
        <v>66</v>
      </c>
      <c r="G24" s="75">
        <v>5045.3883988107164</v>
      </c>
      <c r="H24" s="81">
        <v>1682.3556078034219</v>
      </c>
    </row>
    <row r="25" spans="2:8" x14ac:dyDescent="0.2">
      <c r="B25" s="111"/>
      <c r="C25" s="105"/>
      <c r="D25" s="105"/>
      <c r="E25" s="114"/>
      <c r="F25" s="70" t="s">
        <v>67</v>
      </c>
      <c r="G25" s="88">
        <v>8236.1249736827776</v>
      </c>
      <c r="H25" s="89">
        <v>2331.1131844097404</v>
      </c>
    </row>
    <row r="26" spans="2:8" ht="13.5" thickBot="1" x14ac:dyDescent="0.25">
      <c r="B26" s="111"/>
      <c r="C26" s="105"/>
      <c r="D26" s="105"/>
      <c r="E26" s="117" t="s">
        <v>69</v>
      </c>
      <c r="F26" s="71" t="s">
        <v>64</v>
      </c>
      <c r="G26" s="79">
        <v>6573.2902999730586</v>
      </c>
      <c r="H26" s="80">
        <v>2563.8977167610283</v>
      </c>
    </row>
    <row r="27" spans="2:8" x14ac:dyDescent="0.2">
      <c r="B27" s="111"/>
      <c r="C27" s="105"/>
      <c r="D27" s="105"/>
      <c r="E27" s="105"/>
      <c r="F27" s="69" t="s">
        <v>65</v>
      </c>
      <c r="G27" s="75">
        <v>1079.9877908968949</v>
      </c>
      <c r="H27" s="81">
        <v>203.55470626563701</v>
      </c>
    </row>
    <row r="28" spans="2:8" x14ac:dyDescent="0.2">
      <c r="B28" s="111"/>
      <c r="C28" s="105"/>
      <c r="D28" s="105"/>
      <c r="E28" s="105"/>
      <c r="F28" s="69" t="s">
        <v>66</v>
      </c>
      <c r="G28" s="75">
        <v>4436.3363975652337</v>
      </c>
      <c r="H28" s="81">
        <v>1682.3556078034219</v>
      </c>
    </row>
    <row r="29" spans="2:8" ht="13.5" thickBot="1" x14ac:dyDescent="0.25">
      <c r="B29" s="112"/>
      <c r="C29" s="118"/>
      <c r="D29" s="118"/>
      <c r="E29" s="118"/>
      <c r="F29" s="72" t="s">
        <v>67</v>
      </c>
      <c r="G29" s="84">
        <v>5542.7784244413142</v>
      </c>
      <c r="H29" s="85">
        <v>2331.1131844097404</v>
      </c>
    </row>
    <row r="34" spans="3:7" ht="13.5" thickBot="1" x14ac:dyDescent="0.25">
      <c r="C34" s="120" t="s">
        <v>60</v>
      </c>
      <c r="D34" s="121"/>
      <c r="E34" s="121"/>
      <c r="F34" s="121"/>
      <c r="G34" s="90"/>
    </row>
    <row r="35" spans="3:7" ht="48.75" thickBot="1" x14ac:dyDescent="0.25">
      <c r="C35" s="122" t="s">
        <v>61</v>
      </c>
      <c r="D35" s="123"/>
      <c r="E35" s="66" t="s">
        <v>79</v>
      </c>
      <c r="F35" s="67" t="s">
        <v>80</v>
      </c>
      <c r="G35" s="90"/>
    </row>
    <row r="36" spans="3:7" x14ac:dyDescent="0.2">
      <c r="C36" s="124" t="s">
        <v>63</v>
      </c>
      <c r="D36" s="91" t="s">
        <v>64</v>
      </c>
      <c r="E36" s="73">
        <v>7858.0030893604726</v>
      </c>
      <c r="F36" s="96">
        <v>2710.5300484065851</v>
      </c>
      <c r="G36" s="90"/>
    </row>
    <row r="37" spans="3:7" x14ac:dyDescent="0.2">
      <c r="C37" s="125"/>
      <c r="D37" s="92" t="s">
        <v>65</v>
      </c>
      <c r="E37" s="75">
        <v>1112.0124363048099</v>
      </c>
      <c r="F37" s="81">
        <v>662.87299782354717</v>
      </c>
      <c r="G37" s="90"/>
    </row>
    <row r="38" spans="3:7" ht="24" x14ac:dyDescent="0.2">
      <c r="C38" s="125"/>
      <c r="D38" s="92" t="s">
        <v>66</v>
      </c>
      <c r="E38" s="75">
        <v>4507.5525245403005</v>
      </c>
      <c r="F38" s="81">
        <v>1380.9572858726965</v>
      </c>
      <c r="G38" s="90"/>
    </row>
    <row r="39" spans="3:7" x14ac:dyDescent="0.2">
      <c r="C39" s="126"/>
      <c r="D39" s="93" t="s">
        <v>67</v>
      </c>
      <c r="E39" s="77">
        <v>7029.5467880583528</v>
      </c>
      <c r="F39" s="82">
        <v>2542.7691960546449</v>
      </c>
      <c r="G39" s="90"/>
    </row>
    <row r="40" spans="3:7" x14ac:dyDescent="0.2">
      <c r="C40" s="127" t="s">
        <v>70</v>
      </c>
      <c r="D40" s="94" t="s">
        <v>64</v>
      </c>
      <c r="E40" s="79">
        <v>6573.2902999730586</v>
      </c>
      <c r="F40" s="80">
        <v>2563.8977167610283</v>
      </c>
      <c r="G40" s="90"/>
    </row>
    <row r="41" spans="3:7" x14ac:dyDescent="0.2">
      <c r="C41" s="125"/>
      <c r="D41" s="92" t="s">
        <v>65</v>
      </c>
      <c r="E41" s="75">
        <v>1079.9877908968949</v>
      </c>
      <c r="F41" s="81">
        <v>203.55470626563701</v>
      </c>
      <c r="G41" s="90"/>
    </row>
    <row r="42" spans="3:7" ht="24" x14ac:dyDescent="0.2">
      <c r="C42" s="125"/>
      <c r="D42" s="92" t="s">
        <v>66</v>
      </c>
      <c r="E42" s="75">
        <v>4436.3363975652337</v>
      </c>
      <c r="F42" s="81">
        <v>1682.3556078034219</v>
      </c>
      <c r="G42" s="90"/>
    </row>
    <row r="43" spans="3:7" x14ac:dyDescent="0.2">
      <c r="C43" s="126"/>
      <c r="D43" s="93" t="s">
        <v>67</v>
      </c>
      <c r="E43" s="77">
        <v>5542.7784244413142</v>
      </c>
      <c r="F43" s="82">
        <v>2331.1131844097404</v>
      </c>
      <c r="G43" s="90"/>
    </row>
    <row r="44" spans="3:7" ht="13.5" thickBot="1" x14ac:dyDescent="0.25">
      <c r="C44" s="128" t="s">
        <v>69</v>
      </c>
      <c r="D44" s="94" t="s">
        <v>64</v>
      </c>
      <c r="E44" s="97">
        <v>7225.0313815432883</v>
      </c>
      <c r="F44" s="98">
        <v>2676.0808946499728</v>
      </c>
      <c r="G44" s="90"/>
    </row>
    <row r="45" spans="3:7" x14ac:dyDescent="0.2">
      <c r="C45" s="125"/>
      <c r="D45" s="92" t="s">
        <v>65</v>
      </c>
      <c r="E45" s="75">
        <v>2192.0002272017032</v>
      </c>
      <c r="F45" s="81">
        <v>866.42770408918545</v>
      </c>
      <c r="G45" s="90"/>
    </row>
    <row r="46" spans="3:7" ht="24" x14ac:dyDescent="0.2">
      <c r="C46" s="125"/>
      <c r="D46" s="92" t="s">
        <v>66</v>
      </c>
      <c r="E46" s="75">
        <v>4517.4997584409166</v>
      </c>
      <c r="F46" s="81">
        <v>1457.6704126827026</v>
      </c>
      <c r="G46" s="90"/>
    </row>
    <row r="47" spans="3:7" ht="13.5" thickBot="1" x14ac:dyDescent="0.25">
      <c r="C47" s="129"/>
      <c r="D47" s="95" t="s">
        <v>67</v>
      </c>
      <c r="E47" s="84">
        <v>6278.4953566480681</v>
      </c>
      <c r="F47" s="85">
        <v>2506.3649370370172</v>
      </c>
      <c r="G47" s="90"/>
    </row>
  </sheetData>
  <mergeCells count="19">
    <mergeCell ref="C34:F34"/>
    <mergeCell ref="C35:D35"/>
    <mergeCell ref="C36:C39"/>
    <mergeCell ref="C40:C43"/>
    <mergeCell ref="C44:C47"/>
    <mergeCell ref="B4:H4"/>
    <mergeCell ref="B5:C5"/>
    <mergeCell ref="D5:F5"/>
    <mergeCell ref="B6:B29"/>
    <mergeCell ref="C6:C17"/>
    <mergeCell ref="D6:D17"/>
    <mergeCell ref="E6:E9"/>
    <mergeCell ref="E10:E13"/>
    <mergeCell ref="E14:E17"/>
    <mergeCell ref="C18:C29"/>
    <mergeCell ref="D18:D29"/>
    <mergeCell ref="E18:E21"/>
    <mergeCell ref="E22:E25"/>
    <mergeCell ref="E26:E29"/>
  </mergeCells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indices</vt:lpstr>
      <vt:lpstr>Survey data</vt:lpstr>
      <vt:lpstr>Sheet3</vt:lpstr>
    </vt:vector>
  </TitlesOfParts>
  <Company>IPART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 Thompson</dc:creator>
  <cp:lastModifiedBy>John Smith</cp:lastModifiedBy>
  <cp:lastPrinted>2012-04-18T03:40:36Z</cp:lastPrinted>
  <dcterms:created xsi:type="dcterms:W3CDTF">2011-08-10T03:37:45Z</dcterms:created>
  <dcterms:modified xsi:type="dcterms:W3CDTF">2012-05-03T06:57:09Z</dcterms:modified>
</cp:coreProperties>
</file>