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nswgov-my.sharepoint.com/personal/bee_thompson_ipart_nsw_gov_au/Documents/Documents/Offline Records (CL)/Publication/"/>
    </mc:Choice>
  </mc:AlternateContent>
  <xr:revisionPtr revIDLastSave="19" documentId="8_{9BBD1F1C-58E4-44AF-9178-14B4559A9CEB}" xr6:coauthVersionLast="47" xr6:coauthVersionMax="47" xr10:uidLastSave="{09936EEF-C7B6-4B95-9646-DD04ED6458AB}"/>
  <bookViews>
    <workbookView xWindow="-120" yWindow="-120" windowWidth="29040" windowHeight="15840" activeTab="1" xr2:uid="{00000000-000D-0000-FFFF-FFFF00000000}"/>
  </bookViews>
  <sheets>
    <sheet name="Cover" sheetId="12" r:id="rId1"/>
    <sheet name="Agency inputs &amp; final output" sheetId="15" r:id="rId2"/>
    <sheet name="True up calculations" sheetId="18" r:id="rId3"/>
    <sheet name="CoD example calculation" sheetId="19" r:id="rId4"/>
  </sheets>
  <externalReferences>
    <externalReference r:id="rId5"/>
    <externalReference r:id="rId6"/>
  </externalReferences>
  <definedNames>
    <definedName name="debt_raise_cost">[1]Assumptions!$C$60</definedName>
    <definedName name="length_of_reg_period">'[1]WACC Calculator'!$C$26</definedName>
    <definedName name="No">'[2]Other QA scope'!$J$74:$J$75</definedName>
    <definedName name="_xlnm.Print_Area" localSheetId="0">Cover!$A$1:$D$29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6" i="15" l="1"/>
  <c r="B82" i="15"/>
  <c r="G51" i="15"/>
  <c r="H51" i="15" s="1"/>
  <c r="I51" i="15" s="1"/>
  <c r="J51" i="15" s="1"/>
  <c r="B8" i="15"/>
  <c r="K51" i="15" l="1"/>
  <c r="L51" i="15" s="1"/>
  <c r="M51" i="15" s="1"/>
  <c r="N51" i="15" s="1"/>
  <c r="O51" i="15" s="1"/>
  <c r="P51" i="15" s="1"/>
  <c r="G82" i="15"/>
  <c r="B4" i="19"/>
  <c r="B12" i="19"/>
  <c r="B67" i="19"/>
  <c r="B66" i="19"/>
  <c r="B65" i="19"/>
  <c r="B64" i="19"/>
  <c r="B60" i="19"/>
  <c r="E56" i="19"/>
  <c r="D56" i="19"/>
  <c r="E55" i="19"/>
  <c r="D55" i="19"/>
  <c r="E54" i="19"/>
  <c r="D54" i="19"/>
  <c r="E53" i="19"/>
  <c r="E57" i="19" s="1"/>
  <c r="D67" i="19" s="1"/>
  <c r="D53" i="19"/>
  <c r="D57" i="19" s="1"/>
  <c r="C67" i="19" s="1"/>
  <c r="E45" i="19"/>
  <c r="D45" i="19"/>
  <c r="E44" i="19"/>
  <c r="D44" i="19"/>
  <c r="E43" i="19"/>
  <c r="E46" i="19" s="1"/>
  <c r="D66" i="19" s="1"/>
  <c r="D43" i="19"/>
  <c r="D46" i="19" s="1"/>
  <c r="C66" i="19" s="1"/>
  <c r="E35" i="19"/>
  <c r="D35" i="19"/>
  <c r="E34" i="19"/>
  <c r="E36" i="19" s="1"/>
  <c r="D65" i="19" s="1"/>
  <c r="D34" i="19"/>
  <c r="D36" i="19" s="1"/>
  <c r="C65" i="19" s="1"/>
  <c r="E27" i="19"/>
  <c r="E28" i="19" s="1"/>
  <c r="D64" i="19" s="1"/>
  <c r="D27" i="19"/>
  <c r="D28" i="19" s="1"/>
  <c r="C64" i="19" s="1"/>
  <c r="B14" i="19"/>
  <c r="H67" i="19" l="1"/>
  <c r="I67" i="19" s="1"/>
  <c r="K67" i="19" s="1"/>
  <c r="E67" i="19"/>
  <c r="H65" i="19"/>
  <c r="I65" i="19" s="1"/>
  <c r="K65" i="19" s="1"/>
  <c r="E65" i="19"/>
  <c r="E66" i="19"/>
  <c r="H66" i="19"/>
  <c r="I66" i="19" s="1"/>
  <c r="K66" i="19" s="1"/>
  <c r="E64" i="19"/>
  <c r="H64" i="19"/>
  <c r="I64" i="19" s="1"/>
  <c r="K64" i="19" s="1"/>
  <c r="F64" i="19" l="1"/>
  <c r="G64" i="19" s="1"/>
  <c r="J64" i="19" s="1"/>
  <c r="L64" i="19" s="1"/>
  <c r="F67" i="19"/>
  <c r="G67" i="19" s="1"/>
  <c r="J67" i="19" s="1"/>
  <c r="L67" i="19" s="1"/>
  <c r="F66" i="19"/>
  <c r="G66" i="19" s="1"/>
  <c r="J66" i="19" s="1"/>
  <c r="L66" i="19" s="1"/>
  <c r="F65" i="19"/>
  <c r="G65" i="19" s="1"/>
  <c r="J65" i="19" s="1"/>
  <c r="L65" i="19" s="1"/>
  <c r="D38" i="15" l="1"/>
  <c r="G36" i="15" l="1"/>
  <c r="G38" i="15" s="1"/>
  <c r="D32" i="15" l="1"/>
  <c r="D33" i="15"/>
  <c r="D34" i="15"/>
  <c r="D35" i="15" l="1"/>
  <c r="D36" i="15"/>
  <c r="D31" i="15"/>
  <c r="B9" i="18" l="1"/>
  <c r="D60" i="18"/>
  <c r="D43" i="18"/>
  <c r="D26" i="18" l="1"/>
  <c r="B8" i="18"/>
  <c r="D77" i="18"/>
  <c r="D76" i="18"/>
  <c r="D75" i="18"/>
  <c r="D16" i="18"/>
  <c r="G49" i="18"/>
  <c r="M49" i="18" s="1"/>
  <c r="G50" i="18"/>
  <c r="G51" i="18"/>
  <c r="N51" i="18" s="1"/>
  <c r="G52" i="18"/>
  <c r="P52" i="18" s="1"/>
  <c r="G53" i="18"/>
  <c r="O53" i="18" s="1"/>
  <c r="G54" i="18"/>
  <c r="M54" i="18" s="1"/>
  <c r="G32" i="18"/>
  <c r="N32" i="18" s="1"/>
  <c r="G33" i="18"/>
  <c r="G34" i="18"/>
  <c r="O34" i="18" s="1"/>
  <c r="G35" i="18"/>
  <c r="M35" i="18" s="1"/>
  <c r="G36" i="18"/>
  <c r="P36" i="18" s="1"/>
  <c r="G37" i="18"/>
  <c r="N37" i="18" s="1"/>
  <c r="O50" i="18" l="1"/>
  <c r="O33" i="18"/>
  <c r="H54" i="18"/>
  <c r="J35" i="18"/>
  <c r="M32" i="18"/>
  <c r="N33" i="18"/>
  <c r="I32" i="18"/>
  <c r="J54" i="18"/>
  <c r="P37" i="18"/>
  <c r="I37" i="18"/>
  <c r="N50" i="18"/>
  <c r="J33" i="18"/>
  <c r="J53" i="18"/>
  <c r="K35" i="18"/>
  <c r="N35" i="18"/>
  <c r="I50" i="18"/>
  <c r="K54" i="18"/>
  <c r="N54" i="18"/>
  <c r="N52" i="18"/>
  <c r="K52" i="18"/>
  <c r="N53" i="18"/>
  <c r="K36" i="18"/>
  <c r="O35" i="18"/>
  <c r="I51" i="18"/>
  <c r="L50" i="18"/>
  <c r="O52" i="18"/>
  <c r="H50" i="18"/>
  <c r="H35" i="18"/>
  <c r="K37" i="18"/>
  <c r="O36" i="18"/>
  <c r="I52" i="18"/>
  <c r="L54" i="18"/>
  <c r="O54" i="18"/>
  <c r="M37" i="18"/>
  <c r="H33" i="18"/>
  <c r="L35" i="18"/>
  <c r="O37" i="18"/>
  <c r="J50" i="18"/>
  <c r="M50" i="18"/>
  <c r="P50" i="18"/>
  <c r="L37" i="18"/>
  <c r="P35" i="18"/>
  <c r="J52" i="18"/>
  <c r="M52" i="18"/>
  <c r="P54" i="18"/>
  <c r="N34" i="18"/>
  <c r="L49" i="18"/>
  <c r="P49" i="18"/>
  <c r="H32" i="18"/>
  <c r="I34" i="18"/>
  <c r="J36" i="18"/>
  <c r="L32" i="18"/>
  <c r="M34" i="18"/>
  <c r="N36" i="18"/>
  <c r="P32" i="18"/>
  <c r="H53" i="18"/>
  <c r="I53" i="18"/>
  <c r="K49" i="18"/>
  <c r="L51" i="18"/>
  <c r="M53" i="18"/>
  <c r="O49" i="18"/>
  <c r="P51" i="18"/>
  <c r="J34" i="18"/>
  <c r="H37" i="18"/>
  <c r="I35" i="18"/>
  <c r="J37" i="18"/>
  <c r="L33" i="18"/>
  <c r="P33" i="18"/>
  <c r="H52" i="18"/>
  <c r="I54" i="18"/>
  <c r="K50" i="18"/>
  <c r="L52" i="18"/>
  <c r="H49" i="18"/>
  <c r="M51" i="18"/>
  <c r="I33" i="18"/>
  <c r="M33" i="18"/>
  <c r="H36" i="18"/>
  <c r="I36" i="18"/>
  <c r="K32" i="18"/>
  <c r="L34" i="18"/>
  <c r="M36" i="18"/>
  <c r="O32" i="18"/>
  <c r="P34" i="18"/>
  <c r="H51" i="18"/>
  <c r="J49" i="18"/>
  <c r="K51" i="18"/>
  <c r="L53" i="18"/>
  <c r="N49" i="18"/>
  <c r="O51" i="18"/>
  <c r="P53" i="18"/>
  <c r="K33" i="18"/>
  <c r="H34" i="18"/>
  <c r="J32" i="18"/>
  <c r="K34" i="18"/>
  <c r="L36" i="18"/>
  <c r="I49" i="18"/>
  <c r="J51" i="18"/>
  <c r="K53" i="18"/>
  <c r="G8" i="18" l="1"/>
  <c r="B46" i="15" l="1"/>
  <c r="B5" i="19" s="1"/>
  <c r="B64" i="18"/>
  <c r="B6" i="18"/>
  <c r="B12" i="18" s="1"/>
  <c r="B15" i="18"/>
  <c r="D66" i="18"/>
  <c r="G9" i="18"/>
  <c r="B81" i="18"/>
  <c r="D83" i="18"/>
  <c r="G7" i="18"/>
  <c r="G6" i="18"/>
  <c r="D23" i="18"/>
  <c r="D13" i="18"/>
  <c r="B7" i="18"/>
  <c r="B21" i="18" s="1"/>
  <c r="D93" i="18"/>
  <c r="F9" i="15"/>
  <c r="F8" i="15"/>
  <c r="F7" i="15"/>
  <c r="F6" i="15"/>
  <c r="D48" i="15"/>
  <c r="B9" i="15"/>
  <c r="B77" i="15" s="1"/>
  <c r="B7" i="15"/>
  <c r="B24" i="15" s="1"/>
  <c r="G26" i="15"/>
  <c r="B6" i="15"/>
  <c r="B11" i="15" s="1"/>
  <c r="G93" i="18"/>
  <c r="H93" i="18" s="1"/>
  <c r="I93" i="18" s="1"/>
  <c r="J93" i="18" s="1"/>
  <c r="K93" i="18" s="1"/>
  <c r="L93" i="18" s="1"/>
  <c r="M93" i="18" s="1"/>
  <c r="N93" i="18" s="1"/>
  <c r="O93" i="18" s="1"/>
  <c r="P93" i="18" s="1"/>
  <c r="P94" i="18" s="1"/>
  <c r="B26" i="15" l="1"/>
  <c r="F15" i="15"/>
  <c r="G23" i="18"/>
  <c r="G66" i="18"/>
  <c r="G83" i="18"/>
  <c r="G13" i="18"/>
  <c r="M94" i="18"/>
  <c r="L94" i="18"/>
  <c r="G94" i="18"/>
  <c r="I94" i="18"/>
  <c r="K94" i="18"/>
  <c r="H94" i="18"/>
  <c r="J94" i="18"/>
  <c r="O94" i="18"/>
  <c r="N94" i="18"/>
  <c r="G48" i="15"/>
  <c r="F26" i="15"/>
  <c r="D83" i="15" s="1"/>
  <c r="H26" i="15"/>
  <c r="B48" i="15" l="1"/>
  <c r="B23" i="18"/>
  <c r="B83" i="18"/>
  <c r="B13" i="18"/>
  <c r="B66" i="18"/>
  <c r="F16" i="15"/>
  <c r="B78" i="15" s="1"/>
  <c r="H66" i="18"/>
  <c r="H23" i="18"/>
  <c r="H83" i="18"/>
  <c r="H13" i="18"/>
  <c r="I26" i="15"/>
  <c r="H48" i="15"/>
  <c r="G27" i="15" l="1"/>
  <c r="D81" i="15"/>
  <c r="G84" i="18"/>
  <c r="O84" i="18"/>
  <c r="H84" i="18"/>
  <c r="P84" i="18"/>
  <c r="M84" i="18"/>
  <c r="I84" i="18"/>
  <c r="N84" i="18"/>
  <c r="J84" i="18"/>
  <c r="L84" i="18"/>
  <c r="K84" i="18"/>
  <c r="D89" i="18"/>
  <c r="D91" i="18"/>
  <c r="D41" i="15"/>
  <c r="D86" i="18"/>
  <c r="D96" i="18"/>
  <c r="H27" i="15"/>
  <c r="M27" i="15"/>
  <c r="L27" i="15"/>
  <c r="N27" i="15"/>
  <c r="O27" i="15"/>
  <c r="K27" i="15"/>
  <c r="J27" i="15"/>
  <c r="P27" i="15"/>
  <c r="I27" i="15"/>
  <c r="I83" i="18"/>
  <c r="I13" i="18"/>
  <c r="I66" i="18"/>
  <c r="I23" i="18"/>
  <c r="J26" i="15"/>
  <c r="I48" i="15"/>
  <c r="J66" i="18" l="1"/>
  <c r="J23" i="18"/>
  <c r="J13" i="18"/>
  <c r="J83" i="18"/>
  <c r="K26" i="15"/>
  <c r="J48" i="15"/>
  <c r="K23" i="18" l="1"/>
  <c r="K13" i="18"/>
  <c r="K83" i="18"/>
  <c r="K66" i="18"/>
  <c r="L26" i="15"/>
  <c r="K48" i="15"/>
  <c r="L23" i="18" l="1"/>
  <c r="L83" i="18"/>
  <c r="L13" i="18"/>
  <c r="L66" i="18"/>
  <c r="M26" i="15"/>
  <c r="L48" i="15"/>
  <c r="M23" i="18" l="1"/>
  <c r="M83" i="18"/>
  <c r="M66" i="18"/>
  <c r="M13" i="18"/>
  <c r="N26" i="15"/>
  <c r="M48" i="15"/>
  <c r="N83" i="18" l="1"/>
  <c r="N66" i="18"/>
  <c r="N23" i="18"/>
  <c r="N13" i="18"/>
  <c r="O26" i="15"/>
  <c r="N48" i="15"/>
  <c r="O13" i="18" l="1"/>
  <c r="O83" i="18"/>
  <c r="O66" i="18"/>
  <c r="O23" i="18"/>
  <c r="P26" i="15"/>
  <c r="O48" i="15"/>
  <c r="P48" i="15" l="1"/>
  <c r="P66" i="18"/>
  <c r="P83" i="18"/>
  <c r="P13" i="18"/>
  <c r="P23" i="18"/>
  <c r="D71" i="18"/>
  <c r="D70" i="18"/>
  <c r="D69" i="18"/>
  <c r="D54" i="18"/>
  <c r="D52" i="18"/>
  <c r="D37" i="18"/>
  <c r="D35" i="18"/>
  <c r="D74" i="15"/>
  <c r="D72" i="15"/>
  <c r="D63" i="15"/>
  <c r="D59" i="18"/>
  <c r="D58" i="18"/>
  <c r="D57" i="18"/>
  <c r="D56" i="18"/>
  <c r="D55" i="18"/>
  <c r="D42" i="18"/>
  <c r="D41" i="18"/>
  <c r="D40" i="18"/>
  <c r="D39" i="18"/>
  <c r="D38" i="18"/>
  <c r="G30" i="18"/>
  <c r="G31" i="18"/>
  <c r="H31" i="18"/>
  <c r="I31" i="18"/>
  <c r="J31" i="18"/>
  <c r="K31" i="18"/>
  <c r="L31" i="18"/>
  <c r="M31" i="18"/>
  <c r="N31" i="18"/>
  <c r="O31" i="18"/>
  <c r="P31" i="18"/>
  <c r="G46" i="18"/>
  <c r="H46" i="18"/>
  <c r="I46" i="18"/>
  <c r="J46" i="18"/>
  <c r="K46" i="18"/>
  <c r="L46" i="18"/>
  <c r="M46" i="18"/>
  <c r="N46" i="18"/>
  <c r="O46" i="18"/>
  <c r="P46" i="18"/>
  <c r="G47" i="18"/>
  <c r="G48" i="18"/>
  <c r="H48" i="18"/>
  <c r="I48" i="18"/>
  <c r="J48" i="18"/>
  <c r="K48" i="18"/>
  <c r="L48" i="18"/>
  <c r="M48" i="18"/>
  <c r="N48" i="18"/>
  <c r="O48" i="18"/>
  <c r="P48" i="18"/>
  <c r="G29" i="18"/>
  <c r="H29" i="18"/>
  <c r="I29" i="18"/>
  <c r="J29" i="18"/>
  <c r="J38" i="18" s="1"/>
  <c r="K29" i="18"/>
  <c r="L29" i="18"/>
  <c r="M29" i="18"/>
  <c r="N29" i="18"/>
  <c r="O29" i="18"/>
  <c r="P29" i="18"/>
  <c r="D73" i="15"/>
  <c r="D71" i="15"/>
  <c r="D70" i="15"/>
  <c r="D69" i="15"/>
  <c r="D68" i="15"/>
  <c r="D67" i="15"/>
  <c r="D66" i="15"/>
  <c r="D62" i="15"/>
  <c r="D60" i="15"/>
  <c r="D59" i="15"/>
  <c r="D58" i="15"/>
  <c r="D57" i="15"/>
  <c r="D56" i="15"/>
  <c r="D55" i="15"/>
  <c r="D53" i="18"/>
  <c r="D51" i="18"/>
  <c r="D50" i="18"/>
  <c r="D49" i="18"/>
  <c r="D48" i="18"/>
  <c r="D47" i="18"/>
  <c r="D46" i="18"/>
  <c r="D30" i="18"/>
  <c r="D31" i="18"/>
  <c r="D32" i="18"/>
  <c r="D33" i="18"/>
  <c r="D34" i="18"/>
  <c r="D36" i="18"/>
  <c r="D29" i="18"/>
  <c r="D25" i="18"/>
  <c r="N47" i="18" l="1"/>
  <c r="I47" i="18"/>
  <c r="K47" i="18"/>
  <c r="L47" i="18"/>
  <c r="M47" i="18"/>
  <c r="O47" i="18"/>
  <c r="P47" i="18"/>
  <c r="H47" i="18"/>
  <c r="J47" i="18"/>
  <c r="M30" i="18"/>
  <c r="O30" i="18"/>
  <c r="P30" i="18"/>
  <c r="I30" i="18"/>
  <c r="N30" i="18"/>
  <c r="H30" i="18"/>
  <c r="J30" i="18"/>
  <c r="K30" i="18"/>
  <c r="L30" i="18"/>
  <c r="H40" i="18"/>
  <c r="H38" i="18"/>
  <c r="G38" i="18"/>
  <c r="G40" i="18"/>
  <c r="O38" i="18"/>
  <c r="L40" i="18"/>
  <c r="N40" i="18"/>
  <c r="M57" i="18"/>
  <c r="K40" i="18"/>
  <c r="O40" i="18"/>
  <c r="P40" i="18"/>
  <c r="L57" i="18"/>
  <c r="H57" i="18"/>
  <c r="M40" i="18"/>
  <c r="O57" i="18"/>
  <c r="G57" i="18"/>
  <c r="N57" i="18"/>
  <c r="J40" i="18"/>
  <c r="I40" i="18"/>
  <c r="J57" i="18"/>
  <c r="K57" i="18"/>
  <c r="P57" i="18"/>
  <c r="I57" i="18"/>
  <c r="G55" i="18"/>
  <c r="G43" i="18" l="1"/>
  <c r="P58" i="18"/>
  <c r="L58" i="18"/>
  <c r="M58" i="18"/>
  <c r="J58" i="18"/>
  <c r="G39" i="18"/>
  <c r="G58" i="18"/>
  <c r="G60" i="18"/>
  <c r="O58" i="18"/>
  <c r="K58" i="18"/>
  <c r="H39" i="18"/>
  <c r="I58" i="18"/>
  <c r="H58" i="18"/>
  <c r="O43" i="18"/>
  <c r="N58" i="18"/>
  <c r="H43" i="18"/>
  <c r="I41" i="18"/>
  <c r="L41" i="18"/>
  <c r="N41" i="18"/>
  <c r="M41" i="18"/>
  <c r="G41" i="18"/>
  <c r="P41" i="18"/>
  <c r="J41" i="18"/>
  <c r="O41" i="18"/>
  <c r="K41" i="18"/>
  <c r="H41" i="18"/>
  <c r="P55" i="18"/>
  <c r="P56" i="18" s="1"/>
  <c r="H55" i="18"/>
  <c r="H56" i="18" s="1"/>
  <c r="I38" i="18"/>
  <c r="O55" i="18"/>
  <c r="O56" i="18" s="1"/>
  <c r="L38" i="18"/>
  <c r="M55" i="18"/>
  <c r="M56" i="18" s="1"/>
  <c r="N38" i="18"/>
  <c r="J43" i="18"/>
  <c r="M38" i="18"/>
  <c r="K55" i="18"/>
  <c r="K56" i="18" s="1"/>
  <c r="N55" i="18"/>
  <c r="N56" i="18" s="1"/>
  <c r="J55" i="18"/>
  <c r="J56" i="18" s="1"/>
  <c r="P38" i="18"/>
  <c r="K38" i="18"/>
  <c r="K43" i="18" s="1"/>
  <c r="I55" i="18"/>
  <c r="I56" i="18" s="1"/>
  <c r="L55" i="18"/>
  <c r="L56" i="18" s="1"/>
  <c r="O39" i="18"/>
  <c r="G56" i="18"/>
  <c r="I59" i="18" l="1"/>
  <c r="L59" i="18"/>
  <c r="L77" i="18"/>
  <c r="J59" i="18"/>
  <c r="O59" i="18"/>
  <c r="M77" i="18"/>
  <c r="K59" i="18"/>
  <c r="P75" i="18"/>
  <c r="P59" i="18"/>
  <c r="O75" i="18"/>
  <c r="I75" i="18"/>
  <c r="N60" i="18"/>
  <c r="M75" i="18"/>
  <c r="K77" i="18"/>
  <c r="H60" i="18"/>
  <c r="L60" i="18"/>
  <c r="N77" i="18"/>
  <c r="O60" i="18"/>
  <c r="J39" i="18"/>
  <c r="J42" i="18" s="1"/>
  <c r="M60" i="18"/>
  <c r="K39" i="18"/>
  <c r="K42" i="18" s="1"/>
  <c r="P39" i="18"/>
  <c r="P42" i="18" s="1"/>
  <c r="G77" i="18"/>
  <c r="I60" i="18"/>
  <c r="K60" i="18"/>
  <c r="P60" i="18"/>
  <c r="N39" i="18"/>
  <c r="N42" i="18" s="1"/>
  <c r="M59" i="18"/>
  <c r="L39" i="18"/>
  <c r="L42" i="18" s="1"/>
  <c r="N59" i="18"/>
  <c r="I39" i="18"/>
  <c r="I42" i="18" s="1"/>
  <c r="J77" i="18"/>
  <c r="P43" i="18"/>
  <c r="M39" i="18"/>
  <c r="M42" i="18" s="1"/>
  <c r="L43" i="18"/>
  <c r="H77" i="18"/>
  <c r="G59" i="18"/>
  <c r="H59" i="18"/>
  <c r="I43" i="18"/>
  <c r="M43" i="18"/>
  <c r="J60" i="18"/>
  <c r="N43" i="18"/>
  <c r="I77" i="18"/>
  <c r="K75" i="18"/>
  <c r="J75" i="18"/>
  <c r="G75" i="18"/>
  <c r="N75" i="18"/>
  <c r="G42" i="18"/>
  <c r="L75" i="18"/>
  <c r="O42" i="18"/>
  <c r="O77" i="18"/>
  <c r="H75" i="18"/>
  <c r="P77" i="18"/>
  <c r="H42" i="18"/>
  <c r="L76" i="18" l="1"/>
  <c r="I71" i="18"/>
  <c r="O69" i="18"/>
  <c r="P76" i="18"/>
  <c r="M76" i="18"/>
  <c r="G71" i="18"/>
  <c r="O76" i="18"/>
  <c r="J76" i="18"/>
  <c r="I76" i="18"/>
  <c r="K69" i="18"/>
  <c r="K76" i="18"/>
  <c r="P69" i="18"/>
  <c r="K71" i="18"/>
  <c r="N76" i="18"/>
  <c r="N69" i="18"/>
  <c r="J71" i="18"/>
  <c r="J69" i="18"/>
  <c r="I69" i="18"/>
  <c r="I70" i="18" s="1"/>
  <c r="M69" i="18"/>
  <c r="M71" i="18"/>
  <c r="L69" i="18"/>
  <c r="L71" i="18"/>
  <c r="H71" i="18"/>
  <c r="H76" i="18"/>
  <c r="G76" i="18"/>
  <c r="G26" i="18" s="1"/>
  <c r="O71" i="18"/>
  <c r="G69" i="18"/>
  <c r="N71" i="18"/>
  <c r="P71" i="18"/>
  <c r="H69" i="18"/>
  <c r="O70" i="18" l="1"/>
  <c r="G70" i="18"/>
  <c r="P70" i="18"/>
  <c r="K70" i="18"/>
  <c r="L70" i="18"/>
  <c r="N70" i="18"/>
  <c r="J70" i="18"/>
  <c r="M70" i="18"/>
  <c r="H70" i="18"/>
  <c r="O26" i="18"/>
  <c r="J26" i="18"/>
  <c r="P26" i="18"/>
  <c r="I26" i="18"/>
  <c r="H26" i="18"/>
  <c r="N26" i="18"/>
  <c r="K26" i="18"/>
  <c r="L26" i="18"/>
  <c r="M26" i="18"/>
  <c r="D15" i="18"/>
  <c r="G72" i="18" l="1"/>
  <c r="G25" i="18"/>
  <c r="H25" i="18" s="1"/>
  <c r="M25" i="18" l="1"/>
  <c r="K25" i="18"/>
  <c r="N25" i="18"/>
  <c r="O25" i="18"/>
  <c r="L25" i="18"/>
  <c r="P25" i="18"/>
  <c r="I25" i="18"/>
  <c r="J25" i="18"/>
  <c r="B2" i="18"/>
  <c r="B2" i="15" l="1"/>
  <c r="H30" i="15" l="1"/>
  <c r="H38" i="15" s="1"/>
  <c r="I30" i="15" l="1"/>
  <c r="I36" i="15" l="1"/>
  <c r="J30" i="15" s="1"/>
  <c r="J36" i="15" l="1"/>
  <c r="J38" i="15" s="1"/>
  <c r="I38" i="15"/>
  <c r="K30" i="15" l="1"/>
  <c r="K36" i="15" s="1"/>
  <c r="K38" i="15" s="1"/>
  <c r="L30" i="15" l="1"/>
  <c r="L36" i="15" s="1"/>
  <c r="L38" i="15" s="1"/>
  <c r="M30" i="15" l="1"/>
  <c r="M36" i="15" s="1"/>
  <c r="M38" i="15" s="1"/>
  <c r="N30" i="15" l="1"/>
  <c r="N36" i="15" s="1"/>
  <c r="N38" i="15" s="1"/>
  <c r="O30" i="15" l="1"/>
  <c r="O36" i="15" s="1"/>
  <c r="O38" i="15" s="1"/>
  <c r="P30" i="15" l="1"/>
  <c r="P36" i="15" s="1"/>
  <c r="P38" i="15" s="1"/>
  <c r="G41" i="15" s="1"/>
  <c r="H41" i="15" s="1"/>
  <c r="G15" i="18"/>
  <c r="G16" i="18" s="1"/>
  <c r="G89" i="18" s="1"/>
  <c r="I41" i="15" l="1"/>
  <c r="H15" i="18"/>
  <c r="H16" i="18" s="1"/>
  <c r="G86" i="18"/>
  <c r="H89" i="18" l="1"/>
  <c r="H86" i="18"/>
  <c r="I15" i="18"/>
  <c r="I16" i="18" s="1"/>
  <c r="I86" i="18" s="1"/>
  <c r="J41" i="15"/>
  <c r="J15" i="18" s="1"/>
  <c r="J16" i="18" s="1"/>
  <c r="G91" i="18"/>
  <c r="G96" i="18" s="1"/>
  <c r="H91" i="18" l="1"/>
  <c r="H96" i="18" s="1"/>
  <c r="K41" i="15"/>
  <c r="K15" i="18" s="1"/>
  <c r="K16" i="18" s="1"/>
  <c r="I89" i="18"/>
  <c r="J89" i="18"/>
  <c r="J86" i="18"/>
  <c r="I91" i="18" l="1"/>
  <c r="I96" i="18" s="1"/>
  <c r="L41" i="15"/>
  <c r="L15" i="18" s="1"/>
  <c r="L16" i="18" s="1"/>
  <c r="L89" i="18" s="1"/>
  <c r="K89" i="18"/>
  <c r="K86" i="18"/>
  <c r="J91" i="18"/>
  <c r="J96" i="18" s="1"/>
  <c r="M41" i="15" l="1"/>
  <c r="M15" i="18" s="1"/>
  <c r="M16" i="18" s="1"/>
  <c r="M86" i="18" s="1"/>
  <c r="L86" i="18"/>
  <c r="L91" i="18" s="1"/>
  <c r="L96" i="18" s="1"/>
  <c r="K91" i="18"/>
  <c r="K96" i="18" s="1"/>
  <c r="M89" i="18" l="1"/>
  <c r="M91" i="18" s="1"/>
  <c r="M96" i="18" s="1"/>
  <c r="N41" i="15"/>
  <c r="O41" i="15" l="1"/>
  <c r="O15" i="18" s="1"/>
  <c r="O16" i="18" s="1"/>
  <c r="N15" i="18"/>
  <c r="N16" i="18" s="1"/>
  <c r="P41" i="15" l="1"/>
  <c r="P15" i="18" s="1"/>
  <c r="P16" i="18" s="1"/>
  <c r="N89" i="18"/>
  <c r="N86" i="18"/>
  <c r="O89" i="18"/>
  <c r="O86" i="18"/>
  <c r="P89" i="18" l="1"/>
  <c r="P86" i="18"/>
  <c r="O91" i="18"/>
  <c r="O96" i="18" s="1"/>
  <c r="N91" i="18"/>
  <c r="N96" i="18" s="1"/>
  <c r="P91" i="18" l="1"/>
  <c r="P96" i="18" s="1"/>
  <c r="G81" i="15" s="1"/>
  <c r="G8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 Truong Vu</author>
    <author>Bee Thompson</author>
    <author>Edward Jenkins</author>
  </authors>
  <commentList>
    <comment ref="G30" authorId="0" shapeId="0" xr:uid="{57DEFE77-0236-4F09-A197-65322265720D}">
      <text>
        <r>
          <rPr>
            <b/>
            <sz val="9"/>
            <color indexed="81"/>
            <rFont val="Tahoma"/>
            <family val="2"/>
          </rPr>
          <t>Son Truong Vu:</t>
        </r>
        <r>
          <rPr>
            <sz val="9"/>
            <color indexed="81"/>
            <rFont val="Tahoma"/>
            <family val="2"/>
          </rPr>
          <t xml:space="preserve">
See tables D7, D8 and D9 of 2019 Final Report</t>
        </r>
      </text>
    </comment>
    <comment ref="B35" authorId="1" shapeId="0" xr:uid="{47449BC7-D23D-4CD4-9CE3-999E8707D9B5}">
      <text>
        <r>
          <rPr>
            <b/>
            <sz val="9"/>
            <color indexed="81"/>
            <rFont val="Tahoma"/>
            <family val="2"/>
          </rPr>
          <t>IPART:</t>
        </r>
        <r>
          <rPr>
            <sz val="9"/>
            <color indexed="81"/>
            <rFont val="Tahoma"/>
            <family val="2"/>
          </rPr>
          <t xml:space="preserve">
We forecast the RAB in real (Year0) dollars. Indexation for the RAB used to set prices is therefore $0 </t>
        </r>
      </text>
    </comment>
    <comment ref="B57" authorId="2" shapeId="0" xr:uid="{00000000-0006-0000-0500-000002000000}">
      <text>
        <r>
          <rPr>
            <b/>
            <sz val="9"/>
            <color indexed="81"/>
            <rFont val="Tahoma"/>
            <family val="2"/>
          </rPr>
          <t>Edward Jenkins:</t>
        </r>
        <r>
          <rPr>
            <sz val="9"/>
            <color indexed="81"/>
            <rFont val="Tahoma"/>
            <family val="2"/>
          </rPr>
          <t xml:space="preserve">
This is including debt raising cost allowance of 12.5 basis points.  See page 24 of our 2018 WACC method final report for more information.</t>
        </r>
      </text>
    </comment>
    <comment ref="B68" authorId="2" shapeId="0" xr:uid="{00000000-0006-0000-0500-000003000000}">
      <text>
        <r>
          <rPr>
            <b/>
            <sz val="9"/>
            <color indexed="81"/>
            <rFont val="Tahoma"/>
            <family val="2"/>
          </rPr>
          <t>Edward Jenkins:</t>
        </r>
        <r>
          <rPr>
            <sz val="9"/>
            <color indexed="81"/>
            <rFont val="Tahoma"/>
            <family val="2"/>
          </rPr>
          <t xml:space="preserve">
This is including debt raising cost allowance of 12.5 basis points.  See page 24 of our 2018 WACC method final report for more information.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Edward Jenkins</author>
  </authors>
  <commentList>
    <comment ref="B96" authorId="0" shapeId="0" xr:uid="{00000000-0006-0000-0600-000001000000}">
      <text>
        <r>
          <rPr>
            <b/>
            <sz val="9"/>
            <color indexed="81"/>
            <rFont val="Tahoma"/>
            <family val="2"/>
          </rPr>
          <t>Edward Jenkins:</t>
        </r>
        <r>
          <rPr>
            <sz val="9"/>
            <color indexed="81"/>
            <rFont val="Tahoma"/>
            <family val="2"/>
          </rPr>
          <t xml:space="preserve">
This will show a value of zero for all years outside of the length of determination period selected in Table 1.1 on Agency inputs and final output worksheet.</t>
        </r>
      </text>
    </comment>
  </commentList>
</comments>
</file>

<file path=xl/sharedStrings.xml><?xml version="1.0" encoding="utf-8"?>
<sst xmlns="http://schemas.openxmlformats.org/spreadsheetml/2006/main" count="210" uniqueCount="140">
  <si>
    <t>Key outputs</t>
  </si>
  <si>
    <t>%</t>
  </si>
  <si>
    <t>Date</t>
  </si>
  <si>
    <t>MODELLER:</t>
  </si>
  <si>
    <t>email</t>
  </si>
  <si>
    <t>WHAT IS THE PURPOSE OF MODEL?</t>
  </si>
  <si>
    <t>This model uses standard IPART colour coding:</t>
  </si>
  <si>
    <t>Blue cells indicate inputs</t>
  </si>
  <si>
    <t>Blue font indicates IPART hard-coded values used that should not be changed</t>
  </si>
  <si>
    <t>Pink font indicates calculation checks</t>
  </si>
  <si>
    <t>Red indicates assumptions made in calculations</t>
  </si>
  <si>
    <t>DO NOT DELETE</t>
  </si>
  <si>
    <t>Red double line means formula changes across row</t>
  </si>
  <si>
    <t>Start of regulatory period</t>
  </si>
  <si>
    <t>Length of regulatory period</t>
  </si>
  <si>
    <t>True-up Calculator</t>
  </si>
  <si>
    <t>Edward Jenkins</t>
  </si>
  <si>
    <t>Edward_jenkins@ipart.nsw.gov.au</t>
  </si>
  <si>
    <t>Note: This table calculates the value of the regulatory true-up.</t>
  </si>
  <si>
    <t>Note: This worksheet contains the agency inputs and true-up output.</t>
  </si>
  <si>
    <t>Note: Input agency information in this table.</t>
  </si>
  <si>
    <t>$'000</t>
  </si>
  <si>
    <t>years</t>
  </si>
  <si>
    <t>Units</t>
  </si>
  <si>
    <t>Note: This worksheet contains the calculations for the True-up.</t>
  </si>
  <si>
    <t xml:space="preserve">HOW DOES THE MODEL WORK? </t>
  </si>
  <si>
    <t>Determined post-tax real WACC</t>
  </si>
  <si>
    <t>Post-tax real WACC</t>
  </si>
  <si>
    <t>Nominal risk free rate</t>
  </si>
  <si>
    <t>Inflation</t>
  </si>
  <si>
    <t>Implied Debt Margin</t>
  </si>
  <si>
    <t>MRP</t>
  </si>
  <si>
    <t>Debt funding</t>
  </si>
  <si>
    <t>Equity Funding</t>
  </si>
  <si>
    <t>Gamma</t>
  </si>
  <si>
    <t>Corporate tax rate</t>
  </si>
  <si>
    <t>Equity Beta</t>
  </si>
  <si>
    <t>Current Data</t>
  </si>
  <si>
    <t>Long Term averages</t>
  </si>
  <si>
    <t>Cost of equity (nominal post-tax)</t>
  </si>
  <si>
    <t>Cost of equity (real-post tax)</t>
  </si>
  <si>
    <t>Cost of debt (nominal pre-tax)</t>
  </si>
  <si>
    <t>Cost of debt (real pre-tax)</t>
  </si>
  <si>
    <t>Mid-point</t>
  </si>
  <si>
    <t>Lower</t>
  </si>
  <si>
    <t>Upper</t>
  </si>
  <si>
    <t>#</t>
  </si>
  <si>
    <t>Determined Values</t>
  </si>
  <si>
    <t>Re-calculated values</t>
  </si>
  <si>
    <t>Value of difference in PV terms</t>
  </si>
  <si>
    <t>Years left in determination</t>
  </si>
  <si>
    <t>Tables</t>
  </si>
  <si>
    <t>Row</t>
  </si>
  <si>
    <t>Is this year within the determination</t>
  </si>
  <si>
    <t>1=yes</t>
  </si>
  <si>
    <t xml:space="preserve">COLOUR CODE </t>
  </si>
  <si>
    <t>Note: This table contains the lower, upper and mid-point estimates of the WACC as calculated throughout the determination period.</t>
  </si>
  <si>
    <t xml:space="preserve">  NB: the sum of these values is the value of the regulatory true-up.</t>
  </si>
  <si>
    <t>Dollar denomination of model</t>
  </si>
  <si>
    <t>$FY</t>
  </si>
  <si>
    <t>All financial inputs must be in real $</t>
  </si>
  <si>
    <t>Total outstanding debt</t>
  </si>
  <si>
    <t>Post-tax real WACC estimates</t>
  </si>
  <si>
    <t>Determined real cost of debt</t>
  </si>
  <si>
    <t>Nominal vanilla WACC</t>
  </si>
  <si>
    <t>Value of True-up (real)</t>
  </si>
  <si>
    <t>check=0</t>
  </si>
  <si>
    <t>Note: WACC parameters column G should be those that go into making the determined WACC for the review.</t>
  </si>
  <si>
    <t>Opening RAB</t>
  </si>
  <si>
    <t xml:space="preserve">  disposals </t>
  </si>
  <si>
    <t xml:space="preserve">  depreciation</t>
  </si>
  <si>
    <t>Closing RAB</t>
  </si>
  <si>
    <t>$ million</t>
  </si>
  <si>
    <t xml:space="preserve">  capital expenditure</t>
  </si>
  <si>
    <t xml:space="preserve">  cash capital contributions </t>
  </si>
  <si>
    <t>Note: This table calculates the WACC for each year of the determination.  Our WACC method is set out in: IPART, Review of our WACC method - Final Report, February 2018.</t>
  </si>
  <si>
    <t xml:space="preserve">Return on debt </t>
  </si>
  <si>
    <t>Average value of RAB in each year of the det period</t>
  </si>
  <si>
    <t xml:space="preserve">Note: These values can be found in the 'Scenario', 'Report tables' or RAB  worksheet of the review building block model used for the current determination period. Do not update the values with actual capex etc. </t>
  </si>
  <si>
    <t>Average RAB over determination period for calculation of average debt</t>
  </si>
  <si>
    <t xml:space="preserve">  indexation = 0</t>
  </si>
  <si>
    <t>Note: The true-up is based on the average value of the agency's debt over the determination period.  We use the average debt whether the true-up amount is paid annually or at the end of the determination period.</t>
  </si>
  <si>
    <t>Return on debt difference</t>
  </si>
  <si>
    <t>WORKED EXAMPLE OF ESTIMATING THE COST OF DEBT DURING THE TRANSITION TO THE TRAILING AVERAGE</t>
  </si>
  <si>
    <t>The values for the risk free rate and debt margin during the transition to the trailing average are not available in our public WACC model.</t>
  </si>
  <si>
    <t>Our public model is designed to estimate the start of the transition and a completed transition to the trailing average only.</t>
  </si>
  <si>
    <t>Our Example</t>
  </si>
  <si>
    <t>In this example we will assume that the regulatory period was 4 years in length with an initial WACC sample date of March 2019.</t>
  </si>
  <si>
    <t>Tranche</t>
  </si>
  <si>
    <t>Month of sample</t>
  </si>
  <si>
    <t>risk free rate</t>
  </si>
  <si>
    <t>Debt margin</t>
  </si>
  <si>
    <t>Tranche +3</t>
  </si>
  <si>
    <t>Tranche +2</t>
  </si>
  <si>
    <t>Tranche +1</t>
  </si>
  <si>
    <t>Tranche 0</t>
  </si>
  <si>
    <t>Allowance for debt raising costs</t>
  </si>
  <si>
    <t>In year 1 of the transition (that is, the first year of the regulatory period) the trailing average has a 100% weighting on tranche zero.</t>
  </si>
  <si>
    <t>Weight</t>
  </si>
  <si>
    <t>Risk free rate</t>
  </si>
  <si>
    <t>Weighted average</t>
  </si>
  <si>
    <t>In year 2 of the transition (that is, the second year of the regulatory period) the trailing average has a 75% weighting on tranche zero and a 25% weighting on tranche 1.</t>
  </si>
  <si>
    <t>Tranche 1</t>
  </si>
  <si>
    <t>In year 3 of the transition (that is, the third year of the regulatory period) the trailing average has a 50% weighting on tranche zero and a 25% weighting on tranches 1 and 2 respectively.</t>
  </si>
  <si>
    <t>Tranche 2</t>
  </si>
  <si>
    <t>In year 4 of the transition (that is, the fourth year of the regulatory period) the trailing average has an equal 25% weighting on Tranches 0, 1, 2 and 3.  This is because the transition is now complete.</t>
  </si>
  <si>
    <t>Tranche 3</t>
  </si>
  <si>
    <t>Note: This table takes the raw risk free rate and cost of debt values and applies IPART's annualisation calculation to them.  Our annualisation approach can be found in Box 4.1 of page 41 of our 2018 WACC method report.</t>
  </si>
  <si>
    <t xml:space="preserve">Rfr </t>
  </si>
  <si>
    <t>Debt Margin</t>
  </si>
  <si>
    <t>Cod (un-annualised)</t>
  </si>
  <si>
    <t>Annualisation adjustment factor</t>
  </si>
  <si>
    <t>Cod (annualised)</t>
  </si>
  <si>
    <t>Rfr annualisation adjustment factor</t>
  </si>
  <si>
    <t>Rfr (annualised)</t>
  </si>
  <si>
    <t>Cod (annualised, 1dp)</t>
  </si>
  <si>
    <t>Rfr (annualised 1dp)</t>
  </si>
  <si>
    <t>Debt margin (annualised, 1dp)</t>
  </si>
  <si>
    <t>Note: this is the rfr + the debt margin</t>
  </si>
  <si>
    <t>Note:  Formula 4 in box 4.1 of our 2018 method final report</t>
  </si>
  <si>
    <t>Note: this is the un-annualised value + the annualisation adjustment factor + debt raising costs</t>
  </si>
  <si>
    <t>Note: this is the un-annualised value + the annualisation adjustment factor.</t>
  </si>
  <si>
    <t>Note: this is the CoD rounded to one decimal place.</t>
  </si>
  <si>
    <t>Note: this is the Rfr rounded to one decimal place.</t>
  </si>
  <si>
    <t>Note: this is the Debt margin rounded to one decimal place.</t>
  </si>
  <si>
    <t>Year 4 of the transition to the trailing average</t>
  </si>
  <si>
    <t>Year 3 of the transition to the trailing average</t>
  </si>
  <si>
    <t>Year 2 of the transition to the trailing average</t>
  </si>
  <si>
    <t>Year 1 of the transition to the trailing average</t>
  </si>
  <si>
    <t xml:space="preserve">The 'CoD' example calculation' shows a worked example of how to calculate the current cost of debt during the transition to the trailing average.  </t>
  </si>
  <si>
    <t xml:space="preserve">Average value of assets over determination period </t>
  </si>
  <si>
    <t>This model estimates the value of a businesses true-up at the end of its regulatory period due to annual updating of the cost of debt.</t>
  </si>
  <si>
    <t>The user enters the agency-specific regulatory period parameters, asset (RAB) values and WACC parameters, in the "Agency inputs &amp; final output" worksheet, Tables 1.1 to 1.3. The final True-up value is shown in Table 1.4 of that worksheet. The model currently has example numbers in Table 1.1, Table 1.2 and Table 1.3.  These are for guidance only and should be replaced with the agency-appropriate inputs.  The true-up value is calculated in the "True up calculations" worksheet. The user will not need to do anything in this worksheet.</t>
  </si>
  <si>
    <t>Regulatory Asset Base (RAB) values</t>
  </si>
  <si>
    <t>RAB inflation (actual to June, the forecast)</t>
  </si>
  <si>
    <t>Please use the inflation rates provided in the Submission information package (SIP)</t>
  </si>
  <si>
    <t>Index of inflation</t>
  </si>
  <si>
    <t>Please note that True-up value is also indexed to the correct dollar denomination for the new determination.(i.e., to the dollars of the last year of the current determination period).</t>
  </si>
  <si>
    <t xml:space="preserve">Value of True-up (indexed) - </t>
  </si>
  <si>
    <t>Use this value as the input for the next determination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</si>
</sst>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0_);_(* \(#,##0.00\);_(* &quot;-&quot;_);_(@_)"/>
    <numFmt numFmtId="165" formatCode="0.0%"/>
    <numFmt numFmtId="166" formatCode="#,##0.0"/>
    <numFmt numFmtId="167" formatCode="_(* #,##0.0_);_(* \(#,##0.0\);_(* &quot;-&quot;??_);_(@_)"/>
    <numFmt numFmtId="168" formatCode="[$-C09]dd\-mmmm\-yyyy;@"/>
    <numFmt numFmtId="169" formatCode="yyyy"/>
    <numFmt numFmtId="170" formatCode="_-* #,##0_-;\-* #,##0_-;_-* &quot;-&quot;??_-;_-@_-"/>
    <numFmt numFmtId="171" formatCode="0.000%"/>
    <numFmt numFmtId="172" formatCode="[$-409]mmm/yy;@"/>
    <numFmt numFmtId="173" formatCode="0.0000%"/>
    <numFmt numFmtId="174" formatCode="#,##0.000"/>
  </numFmts>
  <fonts count="28" x14ac:knownFonts="1">
    <font>
      <sz val="9"/>
      <name val="Arial"/>
      <family val="2"/>
    </font>
    <font>
      <sz val="11"/>
      <color theme="1"/>
      <name val="Book Antiqua"/>
      <family val="2"/>
      <scheme val="minor"/>
    </font>
    <font>
      <sz val="9"/>
      <name val="Arial"/>
      <family val="2"/>
    </font>
    <font>
      <sz val="9"/>
      <color indexed="14"/>
      <name val="Arial"/>
      <family val="2"/>
    </font>
    <font>
      <sz val="9"/>
      <color indexed="10"/>
      <name val="Arial"/>
      <family val="2"/>
    </font>
    <font>
      <sz val="9"/>
      <color indexed="12"/>
      <name val="Arial"/>
      <family val="2"/>
    </font>
    <font>
      <b/>
      <sz val="9"/>
      <color indexed="9"/>
      <name val="Arial"/>
      <family val="2"/>
    </font>
    <font>
      <b/>
      <sz val="9"/>
      <color indexed="57"/>
      <name val="Arial"/>
      <family val="2"/>
    </font>
    <font>
      <b/>
      <sz val="10"/>
      <name val="Arial"/>
      <family val="2"/>
    </font>
    <font>
      <sz val="11"/>
      <name val="Arial"/>
      <family val="2"/>
    </font>
    <font>
      <b/>
      <sz val="12"/>
      <name val="Arial"/>
      <family val="2"/>
    </font>
    <font>
      <b/>
      <sz val="9"/>
      <name val="Arial"/>
      <family val="2"/>
    </font>
    <font>
      <u/>
      <sz val="9"/>
      <color theme="10"/>
      <name val="Arial"/>
      <family val="2"/>
    </font>
    <font>
      <b/>
      <sz val="11"/>
      <name val="Arial"/>
      <family val="2"/>
    </font>
    <font>
      <b/>
      <sz val="9"/>
      <color rgb="FFFF0000"/>
      <name val="Arial"/>
      <family val="2"/>
    </font>
    <font>
      <sz val="10"/>
      <color indexed="9"/>
      <name val="Arial"/>
      <family val="2"/>
    </font>
    <font>
      <b/>
      <sz val="12"/>
      <color indexed="12"/>
      <name val="Arial"/>
      <family val="2"/>
    </font>
    <font>
      <i/>
      <sz val="9"/>
      <name val="Arial"/>
      <family val="2"/>
    </font>
    <font>
      <sz val="8"/>
      <color indexed="14"/>
      <name val="Arial"/>
      <family val="2"/>
    </font>
    <font>
      <sz val="9"/>
      <color theme="0" tint="-0.14999847407452621"/>
      <name val="Arial"/>
      <family val="2"/>
    </font>
    <font>
      <b/>
      <i/>
      <sz val="9"/>
      <name val="Arial"/>
      <family val="2"/>
    </font>
    <font>
      <sz val="9"/>
      <color indexed="81"/>
      <name val="Tahoma"/>
      <family val="2"/>
    </font>
    <font>
      <b/>
      <sz val="9"/>
      <color indexed="81"/>
      <name val="Tahoma"/>
      <family val="2"/>
    </font>
    <font>
      <i/>
      <sz val="8.5"/>
      <name val="Arial"/>
      <family val="2"/>
    </font>
    <font>
      <sz val="8"/>
      <color theme="0" tint="-0.14999847407452621"/>
      <name val="Book Antiqua"/>
      <family val="2"/>
      <scheme val="minor"/>
    </font>
    <font>
      <b/>
      <sz val="11"/>
      <color theme="1"/>
      <name val="Arial"/>
      <family val="2"/>
    </font>
    <font>
      <b/>
      <sz val="14"/>
      <color theme="1"/>
      <name val="Arial"/>
      <family val="2"/>
    </font>
    <font>
      <i/>
      <sz val="8"/>
      <name val="Arial"/>
      <family val="2"/>
    </font>
  </fonts>
  <fills count="11">
    <fill>
      <patternFill patternType="none"/>
    </fill>
    <fill>
      <patternFill patternType="gray125"/>
    </fill>
    <fill>
      <patternFill patternType="lightGray">
        <fgColor indexed="13"/>
      </patternFill>
    </fill>
    <fill>
      <patternFill patternType="solid">
        <fgColor indexed="41"/>
        <bgColor indexed="64"/>
      </patternFill>
    </fill>
    <fill>
      <patternFill patternType="solid">
        <fgColor indexed="44"/>
        <bgColor indexed="64"/>
      </patternFill>
    </fill>
    <fill>
      <patternFill patternType="solid">
        <fgColor indexed="18"/>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99CCFF"/>
        <bgColor indexed="64"/>
      </patternFill>
    </fill>
    <fill>
      <patternFill patternType="solid">
        <fgColor theme="0" tint="-4.9989318521683403E-2"/>
        <bgColor indexed="64"/>
      </patternFill>
    </fill>
  </fills>
  <borders count="20">
    <border>
      <left/>
      <right/>
      <top/>
      <bottom/>
      <diagonal/>
    </border>
    <border>
      <left/>
      <right/>
      <top/>
      <bottom style="thin">
        <color indexed="64"/>
      </bottom>
      <diagonal/>
    </border>
    <border>
      <left/>
      <right/>
      <top style="thin">
        <color indexed="64"/>
      </top>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10"/>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rgb="FFFF0000"/>
      </right>
      <top style="thin">
        <color indexed="64"/>
      </top>
      <bottom/>
      <diagonal/>
    </border>
    <border>
      <left style="double">
        <color rgb="FFFF0000"/>
      </left>
      <right/>
      <top style="thin">
        <color indexed="64"/>
      </top>
      <bottom/>
      <diagonal/>
    </border>
    <border>
      <left/>
      <right style="double">
        <color theme="8"/>
      </right>
      <top/>
      <bottom/>
      <diagonal/>
    </border>
    <border>
      <left/>
      <right style="double">
        <color rgb="FFFF0000"/>
      </right>
      <top/>
      <bottom/>
      <diagonal/>
    </border>
    <border>
      <left/>
      <right/>
      <top style="thin">
        <color indexed="64"/>
      </top>
      <bottom style="thin">
        <color indexed="64"/>
      </bottom>
      <diagonal/>
    </border>
    <border>
      <left/>
      <right/>
      <top style="thin">
        <color indexed="64"/>
      </top>
      <bottom style="hair">
        <color indexed="64"/>
      </bottom>
      <diagonal/>
    </border>
    <border>
      <left/>
      <right style="double">
        <color rgb="FFFF0000"/>
      </right>
      <top style="thin">
        <color indexed="64"/>
      </top>
      <bottom style="thin">
        <color indexed="64"/>
      </bottom>
      <diagonal/>
    </border>
  </borders>
  <cellStyleXfs count="22">
    <xf numFmtId="0" fontId="0" fillId="0" borderId="0"/>
    <xf numFmtId="43" fontId="2" fillId="0" borderId="0" applyFont="0" applyFill="0" applyBorder="0" applyAlignment="0" applyProtection="0"/>
    <xf numFmtId="41" fontId="2" fillId="0" borderId="0" applyFont="0" applyFill="0" applyBorder="0" applyAlignment="0" applyProtection="0"/>
    <xf numFmtId="0" fontId="2" fillId="0" borderId="16" applyNumberFormat="0" applyFont="0" applyFill="0" applyAlignment="0" applyProtection="0"/>
    <xf numFmtId="164" fontId="18" fillId="0" borderId="0" applyNumberFormat="0" applyFill="0" applyBorder="0" applyAlignment="0">
      <alignment horizontal="left"/>
    </xf>
    <xf numFmtId="0" fontId="4" fillId="0" borderId="0" applyNumberFormat="0" applyFill="0" applyBorder="0" applyAlignment="0"/>
    <xf numFmtId="4" fontId="2" fillId="4" borderId="0" applyBorder="0" applyAlignment="0">
      <alignment horizontal="right"/>
      <protection locked="0"/>
    </xf>
    <xf numFmtId="165" fontId="2" fillId="4" borderId="0" applyBorder="0" applyAlignment="0">
      <alignment horizontal="right"/>
      <protection locked="0"/>
    </xf>
    <xf numFmtId="3" fontId="5" fillId="0" borderId="0" applyNumberFormat="0" applyFill="0" applyBorder="0" applyAlignment="0" applyProtection="0">
      <protection locked="0"/>
    </xf>
    <xf numFmtId="41" fontId="6" fillId="5" borderId="0" applyNumberFormat="0" applyBorder="0" applyAlignment="0"/>
    <xf numFmtId="0" fontId="7" fillId="0" borderId="0" applyNumberFormat="0" applyFill="0" applyBorder="0" applyAlignment="0" applyProtection="0"/>
    <xf numFmtId="0" fontId="12" fillId="0" borderId="0" applyNumberFormat="0" applyFill="0" applyBorder="0" applyAlignment="0" applyProtection="0"/>
    <xf numFmtId="166" fontId="2" fillId="2" borderId="0" applyBorder="0" applyAlignment="0">
      <alignment horizontal="right"/>
      <protection locked="0"/>
    </xf>
    <xf numFmtId="165" fontId="2" fillId="3" borderId="0" applyBorder="0" applyAlignment="0">
      <protection locked="0"/>
    </xf>
    <xf numFmtId="0" fontId="14" fillId="6" borderId="0" applyNumberFormat="0" applyBorder="0" applyAlignment="0" applyProtection="0"/>
    <xf numFmtId="165" fontId="2" fillId="2" borderId="0" applyBorder="0" applyAlignment="0">
      <alignment horizontal="left"/>
      <protection locked="0"/>
    </xf>
    <xf numFmtId="166" fontId="2" fillId="3" borderId="1" applyBorder="0" applyAlignment="0">
      <alignment horizontal="right"/>
      <protection locked="0"/>
    </xf>
    <xf numFmtId="9" fontId="15" fillId="0" borderId="0" applyFont="0" applyBorder="0" applyAlignment="0" applyProtection="0"/>
    <xf numFmtId="9" fontId="15" fillId="0" borderId="0" applyFont="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133">
    <xf numFmtId="0" fontId="0" fillId="0" borderId="0" xfId="0"/>
    <xf numFmtId="4" fontId="2" fillId="4" borderId="0" xfId="6" applyBorder="1" applyAlignment="1">
      <protection locked="0"/>
    </xf>
    <xf numFmtId="0" fontId="0" fillId="0" borderId="0" xfId="0" applyAlignment="1">
      <alignment wrapText="1"/>
    </xf>
    <xf numFmtId="0" fontId="10" fillId="0" borderId="0" xfId="0" applyFont="1"/>
    <xf numFmtId="0" fontId="16" fillId="0" borderId="0" xfId="8" applyNumberFormat="1" applyFont="1" applyFill="1" applyAlignment="1" applyProtection="1"/>
    <xf numFmtId="0" fontId="9" fillId="0" borderId="0" xfId="0" applyFont="1" applyAlignment="1">
      <alignment horizontal="left" vertical="top"/>
    </xf>
    <xf numFmtId="0" fontId="0" fillId="0" borderId="0" xfId="0" applyAlignment="1">
      <alignment horizontal="left" vertical="top"/>
    </xf>
    <xf numFmtId="0" fontId="11" fillId="0" borderId="0" xfId="0" applyFont="1"/>
    <xf numFmtId="0" fontId="0" fillId="0" borderId="3" xfId="0" applyBorder="1"/>
    <xf numFmtId="0" fontId="13" fillId="7" borderId="0" xfId="0" applyFont="1" applyFill="1"/>
    <xf numFmtId="0" fontId="0" fillId="7" borderId="0" xfId="0" applyFill="1"/>
    <xf numFmtId="0" fontId="0" fillId="0" borderId="0" xfId="0" applyAlignment="1">
      <alignment horizontal="center" vertical="top"/>
    </xf>
    <xf numFmtId="0" fontId="9" fillId="7" borderId="0" xfId="0" applyFont="1" applyFill="1"/>
    <xf numFmtId="0" fontId="0" fillId="0" borderId="0" xfId="0" applyAlignment="1">
      <alignment horizontal="left"/>
    </xf>
    <xf numFmtId="4" fontId="0" fillId="4" borderId="0" xfId="6" applyFont="1" applyBorder="1" applyAlignment="1">
      <alignment horizontal="left"/>
      <protection locked="0"/>
    </xf>
    <xf numFmtId="167" fontId="5" fillId="0" borderId="0" xfId="1" applyNumberFormat="1" applyFont="1" applyFill="1" applyBorder="1" applyAlignment="1">
      <alignment horizontal="left"/>
    </xf>
    <xf numFmtId="167" fontId="6" fillId="5" borderId="0" xfId="9" applyNumberFormat="1" applyBorder="1" applyAlignment="1">
      <alignment horizontal="left"/>
    </xf>
    <xf numFmtId="167" fontId="3" fillId="0" borderId="0" xfId="4" applyNumberFormat="1" applyFont="1" applyFill="1" applyBorder="1" applyAlignment="1">
      <alignment horizontal="left"/>
    </xf>
    <xf numFmtId="167" fontId="3" fillId="0" borderId="0" xfId="1" applyNumberFormat="1" applyFont="1" applyFill="1" applyBorder="1" applyAlignment="1">
      <alignment horizontal="left"/>
    </xf>
    <xf numFmtId="167" fontId="4" fillId="0" borderId="0" xfId="5" applyNumberFormat="1" applyFill="1" applyBorder="1" applyAlignment="1">
      <alignment horizontal="left"/>
    </xf>
    <xf numFmtId="167" fontId="4" fillId="0" borderId="0" xfId="1" applyNumberFormat="1" applyFont="1" applyFill="1" applyBorder="1" applyAlignment="1">
      <alignment horizontal="left"/>
    </xf>
    <xf numFmtId="167" fontId="0" fillId="0" borderId="6" xfId="1" applyNumberFormat="1" applyFont="1" applyBorder="1" applyAlignment="1">
      <alignment horizontal="left"/>
    </xf>
    <xf numFmtId="167" fontId="0" fillId="0" borderId="0" xfId="1" applyNumberFormat="1" applyFont="1" applyBorder="1" applyAlignment="1">
      <alignment horizontal="left"/>
    </xf>
    <xf numFmtId="167" fontId="5" fillId="0" borderId="0" xfId="8" applyNumberFormat="1" applyFill="1" applyBorder="1" applyAlignment="1" applyProtection="1">
      <alignment horizontal="left"/>
    </xf>
    <xf numFmtId="0" fontId="0" fillId="0" borderId="16" xfId="3" applyFont="1" applyFill="1" applyAlignment="1"/>
    <xf numFmtId="0" fontId="13" fillId="0" borderId="0" xfId="0" applyFont="1"/>
    <xf numFmtId="0" fontId="17" fillId="0" borderId="0" xfId="0" applyFont="1"/>
    <xf numFmtId="0" fontId="0" fillId="0" borderId="1" xfId="0" applyBorder="1"/>
    <xf numFmtId="0" fontId="12" fillId="0" borderId="3" xfId="11" applyBorder="1" applyAlignment="1"/>
    <xf numFmtId="0" fontId="0" fillId="0" borderId="2" xfId="0" applyBorder="1"/>
    <xf numFmtId="0" fontId="0" fillId="0" borderId="8" xfId="0" applyBorder="1"/>
    <xf numFmtId="0" fontId="0" fillId="0" borderId="9" xfId="0" applyBorder="1"/>
    <xf numFmtId="165" fontId="2" fillId="4" borderId="0" xfId="7" applyBorder="1" applyAlignment="1">
      <protection locked="0"/>
    </xf>
    <xf numFmtId="165" fontId="0" fillId="4" borderId="0" xfId="7" applyFont="1" applyBorder="1" applyAlignment="1">
      <protection locked="0"/>
    </xf>
    <xf numFmtId="0" fontId="0" fillId="0" borderId="10" xfId="0" applyBorder="1"/>
    <xf numFmtId="0" fontId="0" fillId="0" borderId="11" xfId="0" applyBorder="1"/>
    <xf numFmtId="0" fontId="0" fillId="0" borderId="12" xfId="0" applyBorder="1"/>
    <xf numFmtId="0" fontId="0" fillId="0" borderId="8" xfId="0" applyBorder="1" applyAlignment="1">
      <alignment wrapText="1"/>
    </xf>
    <xf numFmtId="10" fontId="0" fillId="0" borderId="0" xfId="0" applyNumberFormat="1"/>
    <xf numFmtId="3" fontId="0" fillId="0" borderId="0" xfId="0" applyNumberFormat="1"/>
    <xf numFmtId="165" fontId="0" fillId="0" borderId="0" xfId="0" applyNumberFormat="1"/>
    <xf numFmtId="166" fontId="0" fillId="0" borderId="0" xfId="0" applyNumberFormat="1"/>
    <xf numFmtId="0" fontId="17" fillId="0" borderId="9" xfId="0" applyFont="1" applyBorder="1"/>
    <xf numFmtId="0" fontId="17" fillId="0" borderId="7" xfId="0" applyFont="1" applyBorder="1"/>
    <xf numFmtId="0" fontId="5" fillId="0" borderId="0" xfId="8" applyNumberFormat="1" applyAlignment="1" applyProtection="1">
      <alignment horizontal="center"/>
    </xf>
    <xf numFmtId="4" fontId="6" fillId="5" borderId="0" xfId="9" applyNumberFormat="1" applyBorder="1"/>
    <xf numFmtId="0" fontId="17" fillId="0" borderId="2" xfId="0" applyFont="1" applyBorder="1"/>
    <xf numFmtId="0" fontId="5" fillId="0" borderId="0" xfId="8" applyNumberFormat="1" applyBorder="1" applyProtection="1"/>
    <xf numFmtId="168" fontId="2" fillId="4" borderId="0" xfId="6" applyNumberFormat="1" applyBorder="1" applyAlignment="1">
      <protection locked="0"/>
    </xf>
    <xf numFmtId="0" fontId="11" fillId="0" borderId="2" xfId="0" applyFont="1" applyBorder="1"/>
    <xf numFmtId="3" fontId="2" fillId="4" borderId="0" xfId="6" applyNumberFormat="1" applyBorder="1" applyAlignment="1">
      <protection locked="0"/>
    </xf>
    <xf numFmtId="165" fontId="0" fillId="0" borderId="15" xfId="19" applyNumberFormat="1" applyFont="1" applyBorder="1"/>
    <xf numFmtId="0" fontId="11" fillId="0" borderId="9" xfId="0" applyFont="1" applyBorder="1"/>
    <xf numFmtId="4" fontId="0" fillId="0" borderId="0" xfId="0" applyNumberFormat="1"/>
    <xf numFmtId="0" fontId="19" fillId="0" borderId="0" xfId="0" applyFont="1"/>
    <xf numFmtId="0" fontId="11" fillId="0" borderId="7" xfId="0" applyFont="1" applyBorder="1"/>
    <xf numFmtId="0" fontId="20" fillId="0" borderId="2" xfId="0" applyFont="1" applyBorder="1"/>
    <xf numFmtId="169" fontId="11" fillId="0" borderId="13" xfId="3" applyNumberFormat="1" applyFont="1" applyBorder="1" applyAlignment="1">
      <alignment wrapText="1"/>
    </xf>
    <xf numFmtId="169" fontId="11" fillId="0" borderId="2" xfId="0" applyNumberFormat="1" applyFont="1" applyBorder="1" applyAlignment="1">
      <alignment wrapText="1"/>
    </xf>
    <xf numFmtId="169" fontId="11" fillId="0" borderId="14" xfId="0" applyNumberFormat="1" applyFont="1" applyBorder="1" applyAlignment="1">
      <alignment wrapText="1"/>
    </xf>
    <xf numFmtId="0" fontId="0" fillId="0" borderId="0" xfId="0" applyAlignment="1">
      <alignment horizontal="right"/>
    </xf>
    <xf numFmtId="0" fontId="11" fillId="0" borderId="8" xfId="0" applyFont="1" applyBorder="1"/>
    <xf numFmtId="0" fontId="11" fillId="0" borderId="1" xfId="0" applyFont="1" applyBorder="1"/>
    <xf numFmtId="0" fontId="11" fillId="0" borderId="1" xfId="0" applyFont="1" applyBorder="1" applyAlignment="1">
      <alignment horizontal="right"/>
    </xf>
    <xf numFmtId="14" fontId="0" fillId="0" borderId="0" xfId="0" applyNumberFormat="1"/>
    <xf numFmtId="169" fontId="11" fillId="0" borderId="7" xfId="0" applyNumberFormat="1" applyFont="1" applyBorder="1"/>
    <xf numFmtId="169" fontId="11" fillId="0" borderId="2" xfId="0" applyNumberFormat="1" applyFont="1" applyBorder="1"/>
    <xf numFmtId="0" fontId="18" fillId="0" borderId="9" xfId="4" applyNumberFormat="1" applyBorder="1" applyAlignment="1"/>
    <xf numFmtId="0" fontId="18" fillId="0" borderId="0" xfId="4" applyNumberFormat="1" applyBorder="1" applyAlignment="1"/>
    <xf numFmtId="10" fontId="18" fillId="0" borderId="0" xfId="4" applyNumberFormat="1" applyBorder="1" applyAlignment="1"/>
    <xf numFmtId="165" fontId="0" fillId="8" borderId="0" xfId="7" applyFont="1" applyFill="1" applyBorder="1" applyAlignment="1">
      <protection locked="0"/>
    </xf>
    <xf numFmtId="4" fontId="2" fillId="8" borderId="0" xfId="6" applyFill="1" applyBorder="1" applyAlignment="1">
      <protection locked="0"/>
    </xf>
    <xf numFmtId="0" fontId="8" fillId="0" borderId="9" xfId="0" applyFont="1" applyBorder="1"/>
    <xf numFmtId="0" fontId="17" fillId="0" borderId="0" xfId="0" applyFont="1" applyAlignment="1">
      <alignment horizontal="right"/>
    </xf>
    <xf numFmtId="0" fontId="0" fillId="0" borderId="0" xfId="6" applyNumberFormat="1" applyFont="1" applyFill="1" applyBorder="1" applyAlignment="1">
      <alignment horizontal="right"/>
      <protection locked="0"/>
    </xf>
    <xf numFmtId="169" fontId="0" fillId="0" borderId="0" xfId="0" applyNumberFormat="1"/>
    <xf numFmtId="165" fontId="0" fillId="0" borderId="0" xfId="19" applyNumberFormat="1" applyFont="1" applyBorder="1"/>
    <xf numFmtId="2" fontId="0" fillId="0" borderId="15" xfId="19" applyNumberFormat="1" applyFont="1" applyBorder="1"/>
    <xf numFmtId="0" fontId="5" fillId="0" borderId="5" xfId="8" applyNumberFormat="1" applyBorder="1" applyProtection="1"/>
    <xf numFmtId="3" fontId="0" fillId="0" borderId="0" xfId="0" applyNumberFormat="1" applyAlignment="1">
      <alignment horizontal="right"/>
    </xf>
    <xf numFmtId="3" fontId="0" fillId="4" borderId="0" xfId="6" applyNumberFormat="1" applyFont="1" applyBorder="1" applyAlignment="1">
      <protection locked="0"/>
    </xf>
    <xf numFmtId="170" fontId="2" fillId="4" borderId="16" xfId="1" applyNumberFormat="1" applyFill="1" applyBorder="1" applyAlignment="1" applyProtection="1">
      <protection locked="0"/>
    </xf>
    <xf numFmtId="170" fontId="0" fillId="0" borderId="0" xfId="0" applyNumberFormat="1"/>
    <xf numFmtId="170" fontId="0" fillId="0" borderId="0" xfId="0" applyNumberFormat="1" applyAlignment="1">
      <alignment horizontal="right"/>
    </xf>
    <xf numFmtId="3" fontId="0" fillId="0" borderId="16" xfId="3" applyNumberFormat="1" applyFont="1" applyAlignment="1">
      <alignment horizontal="right"/>
    </xf>
    <xf numFmtId="0" fontId="5" fillId="0" borderId="4" xfId="8" applyNumberFormat="1" applyFill="1" applyBorder="1" applyProtection="1"/>
    <xf numFmtId="0" fontId="17" fillId="0" borderId="3" xfId="0" applyFont="1" applyBorder="1" applyAlignment="1">
      <alignment horizontal="right"/>
    </xf>
    <xf numFmtId="171" fontId="0" fillId="0" borderId="0" xfId="19" applyNumberFormat="1" applyFont="1"/>
    <xf numFmtId="3" fontId="5" fillId="0" borderId="0" xfId="8" applyNumberFormat="1" applyFill="1" applyBorder="1" applyAlignment="1" applyProtection="1">
      <alignment horizontal="right"/>
    </xf>
    <xf numFmtId="3" fontId="0" fillId="0" borderId="17" xfId="0" applyNumberFormat="1" applyBorder="1" applyAlignment="1">
      <alignment horizontal="right"/>
    </xf>
    <xf numFmtId="0" fontId="23" fillId="0" borderId="0" xfId="0" applyFont="1"/>
    <xf numFmtId="0" fontId="23" fillId="0" borderId="9" xfId="0" applyFont="1" applyBorder="1"/>
    <xf numFmtId="169" fontId="11" fillId="0" borderId="18" xfId="0" applyNumberFormat="1" applyFont="1" applyBorder="1" applyAlignment="1">
      <alignment wrapText="1"/>
    </xf>
    <xf numFmtId="0" fontId="0" fillId="0" borderId="3" xfId="0" applyBorder="1" applyAlignment="1">
      <alignment horizontal="right"/>
    </xf>
    <xf numFmtId="169" fontId="11" fillId="0" borderId="18" xfId="0" applyNumberFormat="1" applyFont="1" applyBorder="1"/>
    <xf numFmtId="0" fontId="0" fillId="0" borderId="0" xfId="0" applyAlignment="1">
      <alignment horizontal="left" vertical="top" wrapText="1"/>
    </xf>
    <xf numFmtId="0" fontId="5" fillId="0" borderId="0" xfId="8" applyNumberFormat="1" applyAlignment="1" applyProtection="1">
      <alignment horizontal="left" vertical="top"/>
    </xf>
    <xf numFmtId="0" fontId="2" fillId="0" borderId="0" xfId="8" applyNumberFormat="1" applyFont="1" applyFill="1" applyBorder="1" applyProtection="1"/>
    <xf numFmtId="0" fontId="5" fillId="0" borderId="0" xfId="8" applyNumberFormat="1" applyFill="1" applyBorder="1" applyProtection="1"/>
    <xf numFmtId="0" fontId="5" fillId="0" borderId="0" xfId="8" applyNumberFormat="1" applyFill="1" applyBorder="1" applyAlignment="1" applyProtection="1">
      <alignment wrapText="1"/>
    </xf>
    <xf numFmtId="171" fontId="5" fillId="0" borderId="0" xfId="8" applyNumberFormat="1" applyFill="1" applyBorder="1" applyProtection="1"/>
    <xf numFmtId="9" fontId="0" fillId="0" borderId="1" xfId="21" applyFont="1" applyBorder="1"/>
    <xf numFmtId="9" fontId="0" fillId="0" borderId="0" xfId="21" applyFont="1"/>
    <xf numFmtId="0" fontId="24" fillId="0" borderId="0" xfId="0" applyFont="1" applyAlignment="1">
      <alignment horizontal="left"/>
    </xf>
    <xf numFmtId="172" fontId="2" fillId="9" borderId="0" xfId="0" applyNumberFormat="1" applyFont="1" applyFill="1"/>
    <xf numFmtId="10" fontId="2" fillId="9" borderId="0" xfId="0" applyNumberFormat="1" applyFont="1" applyFill="1"/>
    <xf numFmtId="0" fontId="0" fillId="10" borderId="0" xfId="0" applyFill="1"/>
    <xf numFmtId="10" fontId="0" fillId="0" borderId="1" xfId="0" applyNumberFormat="1" applyBorder="1"/>
    <xf numFmtId="0" fontId="2" fillId="0" borderId="0" xfId="0" applyFont="1"/>
    <xf numFmtId="172" fontId="17" fillId="0" borderId="0" xfId="0" applyNumberFormat="1" applyFont="1"/>
    <xf numFmtId="0" fontId="2" fillId="0" borderId="7" xfId="0" applyFont="1" applyBorder="1"/>
    <xf numFmtId="0" fontId="11" fillId="0" borderId="2" xfId="0" applyFont="1" applyBorder="1" applyAlignment="1">
      <alignment wrapText="1"/>
    </xf>
    <xf numFmtId="0" fontId="2" fillId="0" borderId="8" xfId="0" applyFont="1" applyBorder="1"/>
    <xf numFmtId="172" fontId="2" fillId="0" borderId="9" xfId="0" applyNumberFormat="1" applyFont="1" applyBorder="1" applyAlignment="1">
      <alignment wrapText="1"/>
    </xf>
    <xf numFmtId="0" fontId="17" fillId="0" borderId="0" xfId="0" applyFont="1" applyAlignment="1">
      <alignment wrapText="1"/>
    </xf>
    <xf numFmtId="0" fontId="2" fillId="0" borderId="10" xfId="0" applyFont="1" applyBorder="1" applyAlignment="1">
      <alignment wrapText="1"/>
    </xf>
    <xf numFmtId="172" fontId="2" fillId="0" borderId="9" xfId="0" applyNumberFormat="1" applyFont="1" applyBorder="1"/>
    <xf numFmtId="10" fontId="2" fillId="0" borderId="0" xfId="0" applyNumberFormat="1" applyFont="1"/>
    <xf numFmtId="173" fontId="2" fillId="0" borderId="0" xfId="0" applyNumberFormat="1" applyFont="1"/>
    <xf numFmtId="0" fontId="2" fillId="0" borderId="10" xfId="0" applyFont="1" applyBorder="1"/>
    <xf numFmtId="172" fontId="2" fillId="0" borderId="11" xfId="0" applyNumberFormat="1" applyFont="1" applyBorder="1"/>
    <xf numFmtId="0" fontId="2" fillId="0" borderId="1" xfId="0" applyFont="1" applyBorder="1"/>
    <xf numFmtId="0" fontId="2" fillId="0" borderId="12" xfId="0" applyFont="1" applyBorder="1"/>
    <xf numFmtId="0" fontId="25" fillId="0" borderId="0" xfId="0" applyFont="1"/>
    <xf numFmtId="0" fontId="26" fillId="0" borderId="0" xfId="0" applyFont="1"/>
    <xf numFmtId="0" fontId="25" fillId="10" borderId="0" xfId="0" applyFont="1" applyFill="1"/>
    <xf numFmtId="10" fontId="6" fillId="5" borderId="0" xfId="9" applyNumberFormat="1"/>
    <xf numFmtId="0" fontId="27" fillId="0" borderId="9" xfId="0" applyFont="1" applyBorder="1"/>
    <xf numFmtId="165" fontId="0" fillId="4" borderId="0" xfId="7" applyFont="1" applyAlignment="1">
      <protection locked="0"/>
    </xf>
    <xf numFmtId="174" fontId="0" fillId="0" borderId="0" xfId="0" applyNumberFormat="1"/>
    <xf numFmtId="0" fontId="27" fillId="0" borderId="10" xfId="0" applyFont="1" applyBorder="1"/>
    <xf numFmtId="0" fontId="0" fillId="0" borderId="0" xfId="0" applyAlignment="1">
      <alignment horizontal="left" vertical="top" wrapText="1"/>
    </xf>
    <xf numFmtId="3" fontId="0" fillId="0" borderId="19" xfId="0" applyNumberFormat="1" applyBorder="1" applyAlignment="1">
      <alignment horizontal="right"/>
    </xf>
  </cellXfs>
  <cellStyles count="22">
    <cellStyle name="Change in Formula" xfId="3" xr:uid="{00000000-0005-0000-0000-000000000000}"/>
    <cellStyle name="Comma" xfId="1" builtinId="3" customBuiltin="1"/>
    <cellStyle name="Comma [0]" xfId="2" builtinId="6" customBuiltin="1"/>
    <cellStyle name="Error checks" xfId="4" xr:uid="{00000000-0005-0000-0000-000003000000}"/>
    <cellStyle name="Error Warning" xfId="5" xr:uid="{00000000-0005-0000-0000-000004000000}"/>
    <cellStyle name="Hyperlink" xfId="11" builtinId="8"/>
    <cellStyle name="Info/Default #" xfId="16" xr:uid="{00000000-0005-0000-0000-000006000000}"/>
    <cellStyle name="Info/default %" xfId="13" xr:uid="{00000000-0005-0000-0000-000007000000}"/>
    <cellStyle name="Info/import #" xfId="12" xr:uid="{00000000-0005-0000-0000-000008000000}"/>
    <cellStyle name="Info/import %" xfId="15" xr:uid="{00000000-0005-0000-0000-000009000000}"/>
    <cellStyle name="Input #" xfId="6" xr:uid="{00000000-0005-0000-0000-00000A000000}"/>
    <cellStyle name="Input %" xfId="7" xr:uid="{00000000-0005-0000-0000-00000B000000}"/>
    <cellStyle name="Input2" xfId="8" xr:uid="{00000000-0005-0000-0000-00000C000000}"/>
    <cellStyle name="Key Outputs" xfId="9" xr:uid="{00000000-0005-0000-0000-00000D000000}"/>
    <cellStyle name="Links from other files (green) style" xfId="10" xr:uid="{00000000-0005-0000-0000-00000E000000}"/>
    <cellStyle name="Normal" xfId="0" builtinId="0" customBuiltin="1"/>
    <cellStyle name="Normal 2" xfId="20" xr:uid="{F05F779F-C81A-4FB0-AF19-B6D842801BA9}"/>
    <cellStyle name="Percent" xfId="19" builtinId="5"/>
    <cellStyle name="Percent 2" xfId="17" xr:uid="{00000000-0005-0000-0000-000011000000}"/>
    <cellStyle name="Percent 2 2" xfId="18" xr:uid="{00000000-0005-0000-0000-000012000000}"/>
    <cellStyle name="Percent 3" xfId="21" xr:uid="{FDC7E671-F1CF-4266-8921-6371E5C07A90}"/>
    <cellStyle name="QA" xfId="14" xr:uid="{00000000-0005-0000-0000-000013000000}"/>
  </cellStyles>
  <dxfs count="0"/>
  <tableStyles count="0" defaultTableStyle="TableStyleMedium2" defaultPivotStyle="PivotStyleLight16"/>
  <colors>
    <mruColors>
      <color rgb="FFFFFFCC"/>
      <color rgb="FF8FB8FB"/>
      <color rgb="FF6EA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partnsw.sharepoint.com/Offline/1%20-%20WACC/WACC%20model%20-%20Sydney%20water%20issu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PART%20model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s"/>
      <sheetName val="Cover"/>
      <sheetName val="Journal"/>
      <sheetName val="Inputs&gt;&gt;"/>
      <sheetName val="Daily data (7-day)"/>
      <sheetName val="Daily data (5-day)"/>
      <sheetName val="daily data (other)"/>
      <sheetName val="Monthly data"/>
      <sheetName val="Other data"/>
      <sheetName val="Assumptions"/>
      <sheetName val="Output&gt;&gt;"/>
      <sheetName val="WACC Calculator"/>
      <sheetName val="LG Discount Rate"/>
      <sheetName val="Trailing average"/>
      <sheetName val="WACC calculations&gt;&gt;"/>
      <sheetName val="Rfr"/>
      <sheetName val="Debt Margin"/>
      <sheetName val="Cost of Debt"/>
      <sheetName val="Inflation"/>
      <sheetName val="MRP "/>
      <sheetName val="MRP calcs&gt;&gt;"/>
      <sheetName val="Damodaran"/>
      <sheetName val="BoE 2002"/>
      <sheetName val="BoE 2010"/>
      <sheetName val="Mkt indicator"/>
      <sheetName val="Detailed outputs&gt;&gt;"/>
      <sheetName val="WACC Parameters"/>
      <sheetName val="WACC (real)"/>
      <sheetName val="WACC (nominal)"/>
      <sheetName val="Export Sheet"/>
      <sheetName val="Other calcs &gt;&gt;"/>
      <sheetName val="Daily data Adj"/>
      <sheetName val="Data annualisation"/>
      <sheetName val="Debt Margin (L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60">
          <cell r="C60">
            <v>12.5</v>
          </cell>
        </row>
      </sheetData>
      <sheetData sheetId="10" refreshError="1"/>
      <sheetData sheetId="11">
        <row r="26">
          <cell r="C26">
            <v>4</v>
          </cell>
        </row>
      </sheetData>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s"/>
      <sheetName val="Building block QA scope"/>
      <sheetName val="Other QA scope"/>
      <sheetName val="QA log"/>
      <sheetName val="Journal"/>
      <sheetName val="Cover"/>
      <sheetName val="Sheet1"/>
      <sheetName val="Sheet2"/>
      <sheetName val="Sheet3"/>
    </sheetNames>
    <sheetDataSet>
      <sheetData sheetId="0" refreshError="1"/>
      <sheetData sheetId="1" refreshError="1"/>
      <sheetData sheetId="2">
        <row r="74">
          <cell r="J74" t="str">
            <v>Yes</v>
          </cell>
        </row>
        <row r="75">
          <cell r="J75" t="str">
            <v xml:space="preserve">No </v>
          </cell>
        </row>
      </sheetData>
      <sheetData sheetId="3" refreshError="1"/>
      <sheetData sheetId="4" refreshError="1"/>
      <sheetData sheetId="5"/>
      <sheetData sheetId="6" refreshError="1"/>
      <sheetData sheetId="7" refreshError="1"/>
      <sheetData sheetId="8" refreshError="1"/>
    </sheetDataSet>
  </externalBook>
</externalLink>
</file>

<file path=xl/theme/theme1.xml><?xml version="1.0" encoding="utf-8"?>
<a:theme xmlns:a="http://schemas.openxmlformats.org/drawingml/2006/main" name="iPart">
  <a:themeElements>
    <a:clrScheme name="iPart">
      <a:dk1>
        <a:srgbClr val="212122"/>
      </a:dk1>
      <a:lt1>
        <a:sysClr val="window" lastClr="FFFFFF"/>
      </a:lt1>
      <a:dk2>
        <a:srgbClr val="007BC4"/>
      </a:dk2>
      <a:lt2>
        <a:srgbClr val="A0A09A"/>
      </a:lt2>
      <a:accent1>
        <a:srgbClr val="194787"/>
      </a:accent1>
      <a:accent2>
        <a:srgbClr val="00AEEF"/>
      </a:accent2>
      <a:accent3>
        <a:srgbClr val="48B749"/>
      </a:accent3>
      <a:accent4>
        <a:srgbClr val="F78D1E"/>
      </a:accent4>
      <a:accent5>
        <a:srgbClr val="CC1F26"/>
      </a:accent5>
      <a:accent6>
        <a:srgbClr val="8E4399"/>
      </a:accent6>
      <a:hlink>
        <a:srgbClr val="0000FF"/>
      </a:hlink>
      <a:folHlink>
        <a:srgbClr val="800080"/>
      </a:folHlink>
    </a:clrScheme>
    <a:fontScheme name="iPart">
      <a:majorFont>
        <a:latin typeface="Book Antiqua"/>
        <a:ea typeface=""/>
        <a:cs typeface=""/>
      </a:majorFont>
      <a:minorFont>
        <a:latin typeface="Book Antiqu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iPart" id="{5B29015D-EA79-45B6-9D51-0920F8122064}" vid="{EB9EA9A6-3ABD-45FF-A322-72402604B089}"/>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dward_jenkins@ipart.nsw.gov.au"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31"/>
  <sheetViews>
    <sheetView showGridLines="0" zoomScaleNormal="100" workbookViewId="0"/>
  </sheetViews>
  <sheetFormatPr defaultColWidth="9.140625" defaultRowHeight="12" x14ac:dyDescent="0.2"/>
  <cols>
    <col min="1" max="1" width="2.85546875" customWidth="1"/>
    <col min="2" max="2" width="5" customWidth="1"/>
    <col min="3" max="3" width="7.140625" customWidth="1"/>
    <col min="4" max="4" width="139.7109375" customWidth="1"/>
  </cols>
  <sheetData>
    <row r="3" spans="2:8" ht="15.75" x14ac:dyDescent="0.25">
      <c r="B3" s="3" t="s">
        <v>15</v>
      </c>
      <c r="C3" s="3"/>
      <c r="D3" s="4"/>
    </row>
    <row r="4" spans="2:8" ht="15.75" customHeight="1" x14ac:dyDescent="0.2">
      <c r="B4" s="5"/>
      <c r="C4" s="5"/>
      <c r="D4" s="5"/>
      <c r="E4" s="6"/>
      <c r="F4" s="6"/>
      <c r="G4" s="6"/>
      <c r="H4" s="6"/>
    </row>
    <row r="5" spans="2:8" ht="15.75" customHeight="1" x14ac:dyDescent="0.2">
      <c r="B5" s="5"/>
      <c r="C5" s="5"/>
      <c r="D5" s="5"/>
      <c r="E5" s="6"/>
      <c r="F5" s="6"/>
      <c r="G5" s="6"/>
      <c r="H5" s="6"/>
    </row>
    <row r="6" spans="2:8" x14ac:dyDescent="0.2">
      <c r="B6" s="7" t="s">
        <v>3</v>
      </c>
      <c r="C6" s="7"/>
      <c r="D6" s="8" t="s">
        <v>16</v>
      </c>
      <c r="E6" s="6"/>
      <c r="F6" s="6"/>
      <c r="G6" s="6"/>
      <c r="H6" s="6"/>
    </row>
    <row r="7" spans="2:8" x14ac:dyDescent="0.2">
      <c r="B7" t="s">
        <v>4</v>
      </c>
      <c r="D7" s="28" t="s">
        <v>17</v>
      </c>
      <c r="E7" s="6"/>
      <c r="F7" s="6"/>
      <c r="G7" s="6"/>
      <c r="H7" s="6"/>
    </row>
    <row r="9" spans="2:8" ht="15.75" customHeight="1" x14ac:dyDescent="0.2">
      <c r="B9" s="5"/>
      <c r="C9" s="5"/>
      <c r="D9" s="5"/>
      <c r="E9" s="6"/>
      <c r="F9" s="6"/>
      <c r="G9" s="6"/>
      <c r="H9" s="6"/>
    </row>
    <row r="11" spans="2:8" ht="15" x14ac:dyDescent="0.25">
      <c r="B11" s="9" t="s">
        <v>5</v>
      </c>
      <c r="C11" s="9"/>
      <c r="D11" s="10"/>
    </row>
    <row r="13" spans="2:8" ht="15" customHeight="1" x14ac:dyDescent="0.2">
      <c r="B13" s="6" t="s">
        <v>131</v>
      </c>
      <c r="C13" s="6"/>
      <c r="D13" s="6"/>
      <c r="E13" s="6"/>
      <c r="F13" s="6"/>
      <c r="G13" s="6"/>
      <c r="H13" s="6"/>
    </row>
    <row r="14" spans="2:8" ht="15" customHeight="1" x14ac:dyDescent="0.2">
      <c r="B14" s="6"/>
      <c r="C14" s="11"/>
      <c r="D14" s="6"/>
      <c r="E14" s="6"/>
      <c r="F14" s="6"/>
      <c r="G14" s="6"/>
      <c r="H14" s="6"/>
    </row>
    <row r="15" spans="2:8" ht="15" customHeight="1" x14ac:dyDescent="0.25">
      <c r="B15" s="9" t="s">
        <v>25</v>
      </c>
      <c r="C15" s="9"/>
      <c r="D15" s="12"/>
      <c r="E15" s="6"/>
      <c r="F15" s="6"/>
      <c r="G15" s="6"/>
      <c r="H15" s="6"/>
    </row>
    <row r="16" spans="2:8" ht="15" customHeight="1" x14ac:dyDescent="0.2">
      <c r="B16" s="11"/>
      <c r="C16" s="11"/>
      <c r="D16" s="6"/>
      <c r="E16" s="6"/>
      <c r="F16" s="6"/>
      <c r="G16" s="6"/>
      <c r="H16" s="6"/>
    </row>
    <row r="17" spans="1:8" ht="22.5" customHeight="1" x14ac:dyDescent="0.2">
      <c r="B17" s="131" t="s">
        <v>132</v>
      </c>
      <c r="C17" s="131"/>
      <c r="D17" s="131"/>
      <c r="E17" s="6"/>
      <c r="F17" s="6"/>
      <c r="G17" s="6"/>
      <c r="H17" s="6"/>
    </row>
    <row r="18" spans="1:8" ht="18" customHeight="1" x14ac:dyDescent="0.2">
      <c r="B18" s="131"/>
      <c r="C18" s="131"/>
      <c r="D18" s="131"/>
      <c r="E18" s="6"/>
      <c r="F18" s="6"/>
      <c r="G18" s="6"/>
      <c r="H18" s="6"/>
    </row>
    <row r="19" spans="1:8" ht="18" customHeight="1" x14ac:dyDescent="0.2">
      <c r="B19" s="6" t="s">
        <v>137</v>
      </c>
      <c r="C19" s="95"/>
      <c r="D19" s="95"/>
      <c r="E19" s="6"/>
      <c r="F19" s="6"/>
      <c r="G19" s="6"/>
      <c r="H19" s="6"/>
    </row>
    <row r="20" spans="1:8" ht="12.75" customHeight="1" x14ac:dyDescent="0.2">
      <c r="B20" s="6" t="s">
        <v>129</v>
      </c>
      <c r="C20" s="95"/>
      <c r="D20" s="95"/>
      <c r="E20" s="6"/>
      <c r="F20" s="6"/>
      <c r="G20" s="6"/>
      <c r="H20" s="6"/>
    </row>
    <row r="21" spans="1:8" ht="15" customHeight="1" x14ac:dyDescent="0.2">
      <c r="B21" s="11"/>
      <c r="C21" s="11"/>
      <c r="D21" s="6"/>
      <c r="E21" s="6"/>
      <c r="F21" s="6"/>
      <c r="G21" s="6"/>
      <c r="H21" s="6"/>
    </row>
    <row r="22" spans="1:8" ht="15" customHeight="1" x14ac:dyDescent="0.25">
      <c r="B22" s="9" t="s">
        <v>55</v>
      </c>
      <c r="C22" s="9"/>
      <c r="D22" s="12"/>
      <c r="E22" s="6"/>
      <c r="F22" s="6"/>
      <c r="G22" s="6"/>
      <c r="H22" s="6"/>
    </row>
    <row r="23" spans="1:8" ht="15" customHeight="1" x14ac:dyDescent="0.2">
      <c r="B23" s="13" t="s">
        <v>6</v>
      </c>
      <c r="C23" s="13"/>
      <c r="D23" s="6"/>
      <c r="E23" s="6"/>
      <c r="F23" s="6"/>
      <c r="G23" s="6"/>
      <c r="H23" s="6"/>
    </row>
    <row r="24" spans="1:8" ht="15" customHeight="1" x14ac:dyDescent="0.2">
      <c r="B24" s="14" t="s">
        <v>7</v>
      </c>
      <c r="C24" s="14"/>
      <c r="D24" s="14"/>
      <c r="E24" s="6"/>
      <c r="F24" s="6"/>
      <c r="G24" s="6"/>
      <c r="H24" s="6"/>
    </row>
    <row r="25" spans="1:8" ht="15" customHeight="1" x14ac:dyDescent="0.2">
      <c r="B25" s="23" t="s">
        <v>8</v>
      </c>
      <c r="C25" s="15"/>
      <c r="D25" s="15"/>
      <c r="E25" s="6"/>
      <c r="F25" s="6"/>
      <c r="G25" s="6"/>
      <c r="H25" s="6"/>
    </row>
    <row r="26" spans="1:8" ht="15" customHeight="1" x14ac:dyDescent="0.2">
      <c r="B26" s="16" t="s">
        <v>0</v>
      </c>
      <c r="C26" s="16"/>
      <c r="D26" s="16"/>
      <c r="E26" s="6"/>
      <c r="F26" s="6"/>
      <c r="G26" s="6"/>
      <c r="H26" s="6"/>
    </row>
    <row r="27" spans="1:8" ht="15" customHeight="1" x14ac:dyDescent="0.2">
      <c r="B27" s="17" t="s">
        <v>9</v>
      </c>
      <c r="C27" s="17"/>
      <c r="D27" s="18"/>
      <c r="E27" s="6"/>
      <c r="F27" s="6"/>
      <c r="G27" s="6"/>
      <c r="H27" s="6"/>
    </row>
    <row r="28" spans="1:8" ht="15" customHeight="1" x14ac:dyDescent="0.2">
      <c r="B28" s="19" t="s">
        <v>10</v>
      </c>
      <c r="C28" s="19"/>
      <c r="D28" s="20"/>
      <c r="E28" s="6"/>
      <c r="F28" s="6"/>
      <c r="G28" s="6"/>
      <c r="H28" s="6"/>
    </row>
    <row r="29" spans="1:8" ht="15" customHeight="1" x14ac:dyDescent="0.2">
      <c r="A29" s="24"/>
      <c r="B29" s="21" t="s">
        <v>12</v>
      </c>
      <c r="C29" s="22"/>
      <c r="D29" s="22"/>
      <c r="E29" s="6"/>
      <c r="F29" s="6"/>
      <c r="G29" s="6"/>
      <c r="H29" s="6"/>
    </row>
    <row r="30" spans="1:8" ht="15" customHeight="1" x14ac:dyDescent="0.2">
      <c r="B30" s="11"/>
      <c r="C30" s="11"/>
      <c r="D30" s="6"/>
      <c r="E30" s="6"/>
      <c r="F30" s="6"/>
      <c r="G30" s="6"/>
      <c r="H30" s="6"/>
    </row>
    <row r="31" spans="1:8" x14ac:dyDescent="0.2">
      <c r="B31" s="11"/>
      <c r="C31" s="11"/>
      <c r="D31" s="6"/>
      <c r="E31" s="6"/>
      <c r="F31" s="6"/>
      <c r="G31" s="6"/>
      <c r="H31" s="6"/>
    </row>
  </sheetData>
  <mergeCells count="1">
    <mergeCell ref="B17:D18"/>
  </mergeCells>
  <hyperlinks>
    <hyperlink ref="D7" r:id="rId1" xr:uid="{00000000-0004-0000-0400-000000000000}"/>
  </hyperlinks>
  <pageMargins left="0.7" right="0.7" top="0.75" bottom="0.75" header="0.3" footer="0.3"/>
  <pageSetup paperSize="9" scale="94" orientation="landscape" horizontalDpi="200" verticalDpi="20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89"/>
  <sheetViews>
    <sheetView showGridLines="0" tabSelected="1" zoomScaleNormal="100" workbookViewId="0">
      <selection activeCell="K3" sqref="K3"/>
    </sheetView>
  </sheetViews>
  <sheetFormatPr defaultRowHeight="12" x14ac:dyDescent="0.2"/>
  <cols>
    <col min="1" max="1" width="3.7109375" customWidth="1"/>
    <col min="2" max="3" width="22.5703125" customWidth="1"/>
    <col min="4" max="5" width="7.7109375" customWidth="1"/>
    <col min="6" max="6" width="15.140625" customWidth="1"/>
    <col min="7" max="7" width="14.140625" customWidth="1"/>
    <col min="8" max="11" width="12.42578125" bestFit="1" customWidth="1"/>
    <col min="12" max="16" width="10.7109375" customWidth="1"/>
    <col min="20" max="20" width="20.140625" customWidth="1"/>
    <col min="22" max="22" width="8.85546875" customWidth="1"/>
  </cols>
  <sheetData>
    <row r="1" spans="1:7" x14ac:dyDescent="0.2">
      <c r="A1" s="44">
        <v>1</v>
      </c>
    </row>
    <row r="2" spans="1:7" ht="15.75" x14ac:dyDescent="0.25">
      <c r="B2" s="3" t="str">
        <f>$A$1&amp;" - AGENCY INPUTS &amp; FINAL OUTPUT"</f>
        <v>1 - AGENCY INPUTS &amp; FINAL OUTPUT</v>
      </c>
      <c r="C2" s="25"/>
    </row>
    <row r="3" spans="1:7" x14ac:dyDescent="0.2">
      <c r="B3" s="26" t="s">
        <v>19</v>
      </c>
      <c r="C3" s="26"/>
    </row>
    <row r="5" spans="1:7" x14ac:dyDescent="0.2">
      <c r="B5" s="62" t="s">
        <v>51</v>
      </c>
      <c r="C5" s="27"/>
      <c r="D5" s="27"/>
      <c r="E5" s="27"/>
      <c r="F5" s="63" t="s">
        <v>52</v>
      </c>
    </row>
    <row r="6" spans="1:7" x14ac:dyDescent="0.2">
      <c r="A6" s="54">
        <v>1</v>
      </c>
      <c r="B6" t="str">
        <f>"Table "&amp;$A$1&amp;"."&amp;A6&amp;" - Regulatory period inputs"</f>
        <v>Table 1.1 - Regulatory period inputs</v>
      </c>
      <c r="F6">
        <f>ROW(B11)</f>
        <v>11</v>
      </c>
    </row>
    <row r="7" spans="1:7" x14ac:dyDescent="0.2">
      <c r="A7" s="54">
        <v>2</v>
      </c>
      <c r="B7" t="str">
        <f>"Table "&amp;$A$1&amp;"."&amp;A7&amp;" - Asset inputs"</f>
        <v>Table 1.2 - Asset inputs</v>
      </c>
      <c r="F7">
        <f>ROW(B24)</f>
        <v>24</v>
      </c>
    </row>
    <row r="8" spans="1:7" x14ac:dyDescent="0.2">
      <c r="A8" s="54">
        <v>3</v>
      </c>
      <c r="B8" t="str">
        <f>"Table "&amp;$A$1&amp;"."&amp;A8&amp;" - WACC parameter inputs and RAB inflation"</f>
        <v>Table 1.3 - WACC parameter inputs and RAB inflation</v>
      </c>
      <c r="F8">
        <f>ROW(B46)</f>
        <v>46</v>
      </c>
    </row>
    <row r="9" spans="1:7" x14ac:dyDescent="0.2">
      <c r="A9" s="54">
        <v>4</v>
      </c>
      <c r="B9" s="27" t="str">
        <f>"Table "&amp;$A$1&amp;"."&amp;A9&amp;" - Outputs"</f>
        <v>Table 1.4 - Outputs</v>
      </c>
      <c r="C9" s="27"/>
      <c r="D9" s="27"/>
      <c r="E9" s="27"/>
      <c r="F9" s="27">
        <f>ROW(B77)</f>
        <v>77</v>
      </c>
    </row>
    <row r="11" spans="1:7" ht="18" customHeight="1" x14ac:dyDescent="0.25">
      <c r="B11" s="25" t="str">
        <f>B6</f>
        <v>Table 1.1 - Regulatory period inputs</v>
      </c>
      <c r="C11" s="7"/>
    </row>
    <row r="12" spans="1:7" x14ac:dyDescent="0.2">
      <c r="B12" s="90" t="s">
        <v>20</v>
      </c>
      <c r="C12" s="26"/>
    </row>
    <row r="13" spans="1:7" x14ac:dyDescent="0.2">
      <c r="B13" s="43"/>
      <c r="C13" s="46"/>
      <c r="D13" s="29"/>
      <c r="E13" s="49"/>
      <c r="F13" s="29"/>
      <c r="G13" s="30"/>
    </row>
    <row r="14" spans="1:7" x14ac:dyDescent="0.2">
      <c r="B14" s="31" t="s">
        <v>13</v>
      </c>
      <c r="D14" t="s">
        <v>2</v>
      </c>
      <c r="F14" s="48">
        <v>43647</v>
      </c>
      <c r="G14" s="34"/>
    </row>
    <row r="15" spans="1:7" x14ac:dyDescent="0.2">
      <c r="B15" s="31" t="s">
        <v>58</v>
      </c>
      <c r="D15" t="s">
        <v>59</v>
      </c>
      <c r="F15" s="74" t="str">
        <f>TEXT(DATE(YEAR(G26)-2,MONTH(G26),DAY(G26)),"YYYY")&amp;"-"&amp;RIGHT(TEXT(DATE(YEAR(G26)-1,MONTH(G26),DAY(G26)),"YYYY"),2)</f>
        <v>2018-19</v>
      </c>
      <c r="G15" s="34"/>
    </row>
    <row r="16" spans="1:7" x14ac:dyDescent="0.2">
      <c r="B16" s="31" t="s">
        <v>60</v>
      </c>
      <c r="F16" s="73" t="str">
        <f>"$"&amp;F15</f>
        <v>$2018-19</v>
      </c>
      <c r="G16" s="34"/>
    </row>
    <row r="17" spans="2:20" x14ac:dyDescent="0.2">
      <c r="B17" s="31"/>
      <c r="G17" s="34"/>
    </row>
    <row r="18" spans="2:20" x14ac:dyDescent="0.2">
      <c r="B18" s="31" t="s">
        <v>14</v>
      </c>
      <c r="D18" t="s">
        <v>22</v>
      </c>
      <c r="F18" s="50">
        <v>4</v>
      </c>
      <c r="G18" s="34"/>
    </row>
    <row r="19" spans="2:20" x14ac:dyDescent="0.2">
      <c r="B19" s="31"/>
      <c r="G19" s="34"/>
    </row>
    <row r="20" spans="2:20" x14ac:dyDescent="0.2">
      <c r="B20" s="31" t="s">
        <v>26</v>
      </c>
      <c r="D20" s="47" t="s">
        <v>1</v>
      </c>
      <c r="F20" s="32">
        <v>0.04</v>
      </c>
      <c r="G20" s="34"/>
      <c r="H20" s="26"/>
    </row>
    <row r="21" spans="2:20" x14ac:dyDescent="0.2">
      <c r="B21" s="35"/>
      <c r="C21" s="27"/>
      <c r="D21" s="27"/>
      <c r="E21" s="27"/>
      <c r="F21" s="27"/>
      <c r="G21" s="36"/>
    </row>
    <row r="24" spans="2:20" ht="15.75" customHeight="1" x14ac:dyDescent="0.25">
      <c r="B24" s="25" t="str">
        <f>B7</f>
        <v>Table 1.2 - Asset inputs</v>
      </c>
      <c r="G24" s="75"/>
    </row>
    <row r="25" spans="2:20" x14ac:dyDescent="0.2">
      <c r="B25" s="90" t="s">
        <v>78</v>
      </c>
    </row>
    <row r="26" spans="2:20" x14ac:dyDescent="0.2">
      <c r="B26" s="55" t="str">
        <f>"Year ending "&amp;TEXT(G26,"dd mmm")</f>
        <v>Year ending 30 Jun</v>
      </c>
      <c r="C26" s="56"/>
      <c r="D26" s="49" t="s">
        <v>23</v>
      </c>
      <c r="E26" s="49"/>
      <c r="F26" s="57">
        <f>DATE(YEAR(G26)-1,MONTH(G26),DAY(G26))</f>
        <v>43646</v>
      </c>
      <c r="G26" s="58">
        <f>DATE(YEAR('Agency inputs &amp; final output'!F14),MONTH('Agency inputs &amp; final output'!F14)+12,DAY('Agency inputs &amp; final output'!F14)-1)</f>
        <v>44012</v>
      </c>
      <c r="H26" s="59">
        <f>DATE(YEAR(G26)+1,MONTH(G26),DAY(G26))</f>
        <v>44377</v>
      </c>
      <c r="I26" s="58">
        <f t="shared" ref="I26:P26" si="0">DATE(YEAR(H26)+1,MONTH(H26),DAY(H26))</f>
        <v>44742</v>
      </c>
      <c r="J26" s="58">
        <f t="shared" si="0"/>
        <v>45107</v>
      </c>
      <c r="K26" s="58">
        <f t="shared" si="0"/>
        <v>45473</v>
      </c>
      <c r="L26" s="58">
        <f t="shared" si="0"/>
        <v>45838</v>
      </c>
      <c r="M26" s="58">
        <f t="shared" si="0"/>
        <v>46203</v>
      </c>
      <c r="N26" s="58">
        <f t="shared" si="0"/>
        <v>46568</v>
      </c>
      <c r="O26" s="58">
        <f t="shared" si="0"/>
        <v>46934</v>
      </c>
      <c r="P26" s="58">
        <f t="shared" si="0"/>
        <v>47299</v>
      </c>
      <c r="Q26" s="30"/>
    </row>
    <row r="27" spans="2:20" x14ac:dyDescent="0.2">
      <c r="B27" s="52"/>
      <c r="C27" s="7"/>
      <c r="F27" s="73"/>
      <c r="G27" s="86" t="str">
        <f>$F$16</f>
        <v>$2018-19</v>
      </c>
      <c r="H27" s="86" t="str">
        <f t="shared" ref="H27:P27" si="1">$F$16</f>
        <v>$2018-19</v>
      </c>
      <c r="I27" s="86" t="str">
        <f t="shared" si="1"/>
        <v>$2018-19</v>
      </c>
      <c r="J27" s="86" t="str">
        <f t="shared" si="1"/>
        <v>$2018-19</v>
      </c>
      <c r="K27" s="86" t="str">
        <f t="shared" si="1"/>
        <v>$2018-19</v>
      </c>
      <c r="L27" s="86" t="str">
        <f t="shared" si="1"/>
        <v>$2018-19</v>
      </c>
      <c r="M27" s="86" t="str">
        <f t="shared" si="1"/>
        <v>$2018-19</v>
      </c>
      <c r="N27" s="86" t="str">
        <f t="shared" si="1"/>
        <v>$2018-19</v>
      </c>
      <c r="O27" s="86" t="str">
        <f t="shared" si="1"/>
        <v>$2018-19</v>
      </c>
      <c r="P27" s="86" t="str">
        <f t="shared" si="1"/>
        <v>$2018-19</v>
      </c>
      <c r="Q27" s="34"/>
    </row>
    <row r="28" spans="2:20" x14ac:dyDescent="0.2">
      <c r="B28" s="52"/>
      <c r="C28" s="7"/>
      <c r="F28" s="73"/>
      <c r="G28" s="73"/>
      <c r="H28" s="73"/>
      <c r="I28" s="73"/>
      <c r="J28" s="73"/>
      <c r="K28" s="73"/>
      <c r="L28" s="73"/>
      <c r="M28" s="73"/>
      <c r="N28" s="73"/>
      <c r="O28" s="73"/>
      <c r="P28" s="73"/>
      <c r="Q28" s="34"/>
    </row>
    <row r="29" spans="2:20" x14ac:dyDescent="0.2">
      <c r="B29" s="52" t="s">
        <v>133</v>
      </c>
      <c r="C29" s="7"/>
      <c r="F29" s="60"/>
      <c r="G29" s="60"/>
      <c r="H29" s="60"/>
      <c r="I29" s="60"/>
      <c r="J29" s="60"/>
      <c r="K29" s="60"/>
      <c r="L29" s="60"/>
      <c r="M29" s="60"/>
      <c r="N29" s="60"/>
      <c r="O29" s="60"/>
      <c r="Q29" s="34"/>
      <c r="T29" t="s">
        <v>11</v>
      </c>
    </row>
    <row r="30" spans="2:20" x14ac:dyDescent="0.2">
      <c r="B30" s="31" t="s">
        <v>68</v>
      </c>
      <c r="C30" s="7"/>
      <c r="D30" s="50" t="s">
        <v>21</v>
      </c>
      <c r="F30" s="60"/>
      <c r="G30" s="81">
        <v>80000</v>
      </c>
      <c r="H30" s="79">
        <f>G36</f>
        <v>90000</v>
      </c>
      <c r="I30" s="79">
        <f t="shared" ref="I30:P30" si="2">H36</f>
        <v>100000</v>
      </c>
      <c r="J30" s="79">
        <f t="shared" si="2"/>
        <v>110000</v>
      </c>
      <c r="K30" s="79">
        <f t="shared" si="2"/>
        <v>120000</v>
      </c>
      <c r="L30" s="79" t="str">
        <f t="shared" si="2"/>
        <v>.</v>
      </c>
      <c r="M30" s="79" t="str">
        <f t="shared" si="2"/>
        <v>.</v>
      </c>
      <c r="N30" s="79" t="str">
        <f t="shared" si="2"/>
        <v>.</v>
      </c>
      <c r="O30" s="79" t="str">
        <f t="shared" si="2"/>
        <v>.</v>
      </c>
      <c r="P30" s="79" t="str">
        <f t="shared" si="2"/>
        <v>.</v>
      </c>
      <c r="Q30" s="34"/>
      <c r="T30" s="85" t="s">
        <v>21</v>
      </c>
    </row>
    <row r="31" spans="2:20" x14ac:dyDescent="0.2">
      <c r="B31" s="31" t="s">
        <v>73</v>
      </c>
      <c r="C31" s="7"/>
      <c r="D31" t="str">
        <f>$D$30</f>
        <v>$'000</v>
      </c>
      <c r="F31" s="60"/>
      <c r="G31" s="80">
        <v>10000</v>
      </c>
      <c r="H31" s="80">
        <v>10000</v>
      </c>
      <c r="I31" s="80">
        <v>10000</v>
      </c>
      <c r="J31" s="80">
        <v>10000</v>
      </c>
      <c r="K31" s="50"/>
      <c r="L31" s="50"/>
      <c r="M31" s="50"/>
      <c r="N31" s="50"/>
      <c r="O31" s="50"/>
      <c r="P31" s="50"/>
      <c r="Q31" s="34"/>
      <c r="T31" s="78" t="s">
        <v>72</v>
      </c>
    </row>
    <row r="32" spans="2:20" x14ac:dyDescent="0.2">
      <c r="B32" s="31" t="s">
        <v>74</v>
      </c>
      <c r="C32" s="7"/>
      <c r="D32" t="str">
        <f t="shared" ref="D32:D34" si="3">$D$30</f>
        <v>$'000</v>
      </c>
      <c r="F32" s="60"/>
      <c r="G32" s="50">
        <v>0</v>
      </c>
      <c r="H32" s="50">
        <v>0</v>
      </c>
      <c r="I32" s="50">
        <v>0</v>
      </c>
      <c r="J32" s="50">
        <v>0</v>
      </c>
      <c r="K32" s="50"/>
      <c r="L32" s="50"/>
      <c r="M32" s="50"/>
      <c r="N32" s="50"/>
      <c r="O32" s="50"/>
      <c r="P32" s="50"/>
      <c r="Q32" s="34"/>
      <c r="T32" s="47"/>
    </row>
    <row r="33" spans="2:17" x14ac:dyDescent="0.2">
      <c r="B33" s="31" t="s">
        <v>69</v>
      </c>
      <c r="C33" s="7"/>
      <c r="D33" t="str">
        <f t="shared" si="3"/>
        <v>$'000</v>
      </c>
      <c r="F33" s="60"/>
      <c r="G33" s="50">
        <v>0</v>
      </c>
      <c r="H33" s="50">
        <v>0</v>
      </c>
      <c r="I33" s="50">
        <v>0</v>
      </c>
      <c r="J33" s="50">
        <v>0</v>
      </c>
      <c r="K33" s="50"/>
      <c r="L33" s="50"/>
      <c r="M33" s="50"/>
      <c r="N33" s="50"/>
      <c r="O33" s="50"/>
      <c r="P33" s="50"/>
      <c r="Q33" s="34"/>
    </row>
    <row r="34" spans="2:17" x14ac:dyDescent="0.2">
      <c r="B34" s="31" t="s">
        <v>70</v>
      </c>
      <c r="C34" s="7"/>
      <c r="D34" t="str">
        <f t="shared" si="3"/>
        <v>$'000</v>
      </c>
      <c r="F34" s="60"/>
      <c r="G34" s="50">
        <v>0</v>
      </c>
      <c r="H34" s="50">
        <v>0</v>
      </c>
      <c r="I34" s="50">
        <v>0</v>
      </c>
      <c r="J34" s="50">
        <v>0</v>
      </c>
      <c r="K34" s="50"/>
      <c r="L34" s="50"/>
      <c r="M34" s="50"/>
      <c r="N34" s="50"/>
      <c r="O34" s="50"/>
      <c r="P34" s="50"/>
      <c r="Q34" s="34"/>
    </row>
    <row r="35" spans="2:17" x14ac:dyDescent="0.2">
      <c r="B35" s="31" t="s">
        <v>80</v>
      </c>
      <c r="C35" s="7"/>
      <c r="D35" t="str">
        <f>$D$30</f>
        <v>$'000</v>
      </c>
      <c r="F35" s="60"/>
      <c r="G35" s="88">
        <v>0</v>
      </c>
      <c r="H35" s="88">
        <v>0</v>
      </c>
      <c r="I35" s="88">
        <v>0</v>
      </c>
      <c r="J35" s="88">
        <v>0</v>
      </c>
      <c r="K35" s="88">
        <v>0</v>
      </c>
      <c r="L35" s="88">
        <v>0</v>
      </c>
      <c r="M35" s="88">
        <v>0</v>
      </c>
      <c r="N35" s="88">
        <v>0</v>
      </c>
      <c r="O35" s="88">
        <v>0</v>
      </c>
      <c r="P35" s="88">
        <v>0</v>
      </c>
      <c r="Q35" s="34"/>
    </row>
    <row r="36" spans="2:17" x14ac:dyDescent="0.2">
      <c r="B36" s="31" t="s">
        <v>71</v>
      </c>
      <c r="C36" s="7"/>
      <c r="D36" t="str">
        <f>$D$30</f>
        <v>$'000</v>
      </c>
      <c r="F36" s="60"/>
      <c r="G36" s="132">
        <f>IF(SUM(G31:G35)=0,".",G30+G31-G32-G33-G34+G35)</f>
        <v>90000</v>
      </c>
      <c r="H36" s="89">
        <f>IF(COUNT($G36:G36)+1&gt;$F$18,".",H30+H31-H33-H34+H35)</f>
        <v>100000</v>
      </c>
      <c r="I36" s="89">
        <f>IF(COUNT($G36:H36)+1&gt;$F$18,".",I30+I31-I33-I34+I35)</f>
        <v>110000</v>
      </c>
      <c r="J36" s="89">
        <f>IF(COUNT($G36:I36)+1&gt;$F$18,".",J30+J31-J33-J34+J35)</f>
        <v>120000</v>
      </c>
      <c r="K36" s="89" t="str">
        <f>IF(COUNT($G36:J36)+1&gt;$F$18,".",K30+K31-K33-K34+K35)</f>
        <v>.</v>
      </c>
      <c r="L36" s="89" t="str">
        <f>IF(COUNT($G36:K36)+1&gt;$F$18,".",L30+L31-L33-L34+L35)</f>
        <v>.</v>
      </c>
      <c r="M36" s="89" t="str">
        <f>IF(COUNT($G36:L36)+1&gt;$F$18,".",M30+M31-M33-M34+M35)</f>
        <v>.</v>
      </c>
      <c r="N36" s="89" t="str">
        <f>IF(COUNT($G36:M36)+1&gt;$F$18,".",N30+N31-N33-N34+N35)</f>
        <v>.</v>
      </c>
      <c r="O36" s="89" t="str">
        <f>IF(COUNT($G36:N36)+1&gt;$F$18,".",O30+O31-O33-O34+O35)</f>
        <v>.</v>
      </c>
      <c r="P36" s="89" t="str">
        <f>IF(COUNT($G36:O36)+1&gt;$F$18,".",P30+P31-P33-P34+P35)</f>
        <v>.</v>
      </c>
      <c r="Q36" s="34"/>
    </row>
    <row r="37" spans="2:17" x14ac:dyDescent="0.2">
      <c r="B37" s="52"/>
      <c r="C37" s="7"/>
      <c r="F37" s="60"/>
      <c r="G37" s="60"/>
      <c r="H37" s="60"/>
      <c r="I37" s="60"/>
      <c r="J37" s="60"/>
      <c r="K37" s="60"/>
      <c r="L37" s="60"/>
      <c r="M37" s="60"/>
      <c r="N37" s="60"/>
      <c r="O37" s="60"/>
      <c r="Q37" s="34"/>
    </row>
    <row r="38" spans="2:17" x14ac:dyDescent="0.2">
      <c r="B38" s="31" t="s">
        <v>77</v>
      </c>
      <c r="C38" s="7"/>
      <c r="D38" t="str">
        <f>$D$30</f>
        <v>$'000</v>
      </c>
      <c r="F38" s="83"/>
      <c r="G38" s="83">
        <f>IF(G36=".",".",AVERAGE(G30,G36))</f>
        <v>85000</v>
      </c>
      <c r="H38" s="83">
        <f>IF(H36=".",".",AVERAGE(H30,H36))</f>
        <v>95000</v>
      </c>
      <c r="I38" s="83">
        <f t="shared" ref="I38:P38" si="4">IF(I36=".",".",AVERAGE(I30,I36))</f>
        <v>105000</v>
      </c>
      <c r="J38" s="83">
        <f t="shared" si="4"/>
        <v>115000</v>
      </c>
      <c r="K38" s="83" t="str">
        <f t="shared" si="4"/>
        <v>.</v>
      </c>
      <c r="L38" s="83" t="str">
        <f t="shared" si="4"/>
        <v>.</v>
      </c>
      <c r="M38" s="83" t="str">
        <f t="shared" si="4"/>
        <v>.</v>
      </c>
      <c r="N38" s="83" t="str">
        <f t="shared" si="4"/>
        <v>.</v>
      </c>
      <c r="O38" s="83" t="str">
        <f t="shared" si="4"/>
        <v>.</v>
      </c>
      <c r="P38" s="83" t="str">
        <f t="shared" si="4"/>
        <v>.</v>
      </c>
      <c r="Q38" s="34"/>
    </row>
    <row r="39" spans="2:17" x14ac:dyDescent="0.2">
      <c r="B39" s="52"/>
      <c r="C39" s="7"/>
      <c r="F39" s="60"/>
      <c r="G39" s="83"/>
      <c r="H39" s="83"/>
      <c r="I39" s="83"/>
      <c r="J39" s="83"/>
      <c r="K39" s="83"/>
      <c r="L39" s="83"/>
      <c r="M39" s="83"/>
      <c r="N39" s="83"/>
      <c r="O39" s="83"/>
      <c r="P39" s="83"/>
      <c r="Q39" s="34"/>
    </row>
    <row r="40" spans="2:17" x14ac:dyDescent="0.2">
      <c r="B40" s="52" t="s">
        <v>79</v>
      </c>
      <c r="Q40" s="34"/>
    </row>
    <row r="41" spans="2:17" x14ac:dyDescent="0.2">
      <c r="B41" s="31" t="s">
        <v>130</v>
      </c>
      <c r="D41" t="str">
        <f>$D$30</f>
        <v>$'000</v>
      </c>
      <c r="F41" s="39"/>
      <c r="G41" s="84">
        <f>AVERAGE(G38:P38)</f>
        <v>100000</v>
      </c>
      <c r="H41" s="79">
        <f>IF(COUNT($G41:G41)&lt;$F$18,$G41,".")</f>
        <v>100000</v>
      </c>
      <c r="I41" s="79">
        <f>IF(COUNT($G41:H41)&lt;$F$18,$G41,".")</f>
        <v>100000</v>
      </c>
      <c r="J41" s="79">
        <f>IF(COUNT($G41:I41)&lt;$F$18,$G41,".")</f>
        <v>100000</v>
      </c>
      <c r="K41" s="79" t="str">
        <f>IF(COUNT($G41:J41)&lt;$F$18,$G41,".")</f>
        <v>.</v>
      </c>
      <c r="L41" s="79" t="str">
        <f>IF(COUNT($G41:K41)&lt;$F$18,$G41,".")</f>
        <v>.</v>
      </c>
      <c r="M41" s="79" t="str">
        <f>IF(COUNT($G41:L41)&lt;$F$18,$G41,".")</f>
        <v>.</v>
      </c>
      <c r="N41" s="79" t="str">
        <f>IF(COUNT($G41:M41)&lt;$F$18,$G41,".")</f>
        <v>.</v>
      </c>
      <c r="O41" s="79" t="str">
        <f>IF(COUNT($G41:N41)&lt;$F$18,$G41,".")</f>
        <v>.</v>
      </c>
      <c r="P41" s="79" t="str">
        <f>IF(COUNT($G41:O41)&lt;$F$18,$G41,".")</f>
        <v>.</v>
      </c>
      <c r="Q41" s="34"/>
    </row>
    <row r="42" spans="2:17" ht="15" customHeight="1" x14ac:dyDescent="0.2">
      <c r="B42" s="91" t="s">
        <v>81</v>
      </c>
      <c r="F42" s="39"/>
      <c r="G42" s="79"/>
      <c r="H42" s="79"/>
      <c r="I42" s="79"/>
      <c r="J42" s="79"/>
      <c r="K42" s="79"/>
      <c r="L42" s="79"/>
      <c r="M42" s="79"/>
      <c r="N42" s="79"/>
      <c r="O42" s="79"/>
      <c r="P42" s="79"/>
      <c r="Q42" s="34"/>
    </row>
    <row r="43" spans="2:17" x14ac:dyDescent="0.2">
      <c r="B43" s="35"/>
      <c r="C43" s="27"/>
      <c r="D43" s="27"/>
      <c r="E43" s="27"/>
      <c r="F43" s="27"/>
      <c r="G43" s="27"/>
      <c r="H43" s="27"/>
      <c r="I43" s="27"/>
      <c r="J43" s="27"/>
      <c r="K43" s="27"/>
      <c r="L43" s="27"/>
      <c r="M43" s="27"/>
      <c r="N43" s="27"/>
      <c r="O43" s="27"/>
      <c r="P43" s="27"/>
      <c r="Q43" s="36"/>
    </row>
    <row r="44" spans="2:17" x14ac:dyDescent="0.2">
      <c r="G44" s="82"/>
    </row>
    <row r="45" spans="2:17" x14ac:dyDescent="0.2">
      <c r="G45" s="82"/>
    </row>
    <row r="46" spans="2:17" ht="16.5" customHeight="1" x14ac:dyDescent="0.25">
      <c r="B46" s="25" t="str">
        <f>B8</f>
        <v>Table 1.3 - WACC parameter inputs and RAB inflation</v>
      </c>
    </row>
    <row r="47" spans="2:17" x14ac:dyDescent="0.2">
      <c r="B47" s="90" t="s">
        <v>67</v>
      </c>
    </row>
    <row r="48" spans="2:17" s="7" customFormat="1" x14ac:dyDescent="0.2">
      <c r="B48" s="55" t="str">
        <f>B$26</f>
        <v>Year ending 30 Jun</v>
      </c>
      <c r="C48" s="49"/>
      <c r="D48" s="49" t="str">
        <f>D$26</f>
        <v>Units</v>
      </c>
      <c r="E48" s="49"/>
      <c r="F48" s="58"/>
      <c r="G48" s="92">
        <f t="shared" ref="G48:P48" si="5">G$26</f>
        <v>44012</v>
      </c>
      <c r="H48" s="92">
        <f t="shared" si="5"/>
        <v>44377</v>
      </c>
      <c r="I48" s="92">
        <f t="shared" si="5"/>
        <v>44742</v>
      </c>
      <c r="J48" s="92">
        <f t="shared" si="5"/>
        <v>45107</v>
      </c>
      <c r="K48" s="92">
        <f t="shared" si="5"/>
        <v>45473</v>
      </c>
      <c r="L48" s="92">
        <f t="shared" si="5"/>
        <v>45838</v>
      </c>
      <c r="M48" s="92">
        <f t="shared" si="5"/>
        <v>46203</v>
      </c>
      <c r="N48" s="92">
        <f t="shared" si="5"/>
        <v>46568</v>
      </c>
      <c r="O48" s="92">
        <f t="shared" si="5"/>
        <v>46934</v>
      </c>
      <c r="P48" s="92">
        <f t="shared" si="5"/>
        <v>47299</v>
      </c>
      <c r="Q48" s="61"/>
    </row>
    <row r="49" spans="2:17" x14ac:dyDescent="0.2">
      <c r="B49" s="31"/>
      <c r="Q49" s="34"/>
    </row>
    <row r="50" spans="2:17" x14ac:dyDescent="0.2">
      <c r="B50" s="31" t="s">
        <v>134</v>
      </c>
      <c r="D50" t="s">
        <v>1</v>
      </c>
      <c r="G50" s="128">
        <v>-3.0000000000000001E-3</v>
      </c>
      <c r="H50" s="128">
        <v>3.7999999999999999E-2</v>
      </c>
      <c r="I50" s="128">
        <v>6.0999999999999999E-2</v>
      </c>
      <c r="J50" s="128">
        <v>0.06</v>
      </c>
      <c r="K50" s="128">
        <v>2.5000000000000001E-2</v>
      </c>
      <c r="L50" s="128">
        <v>2.5000000000000001E-2</v>
      </c>
      <c r="M50" s="128">
        <v>2.5000000000000001E-2</v>
      </c>
      <c r="N50" s="128">
        <v>2.5000000000000001E-2</v>
      </c>
      <c r="O50" s="128">
        <v>2.5000000000000001E-2</v>
      </c>
      <c r="P50" s="128">
        <v>2.5000000000000001E-2</v>
      </c>
      <c r="Q50" s="34"/>
    </row>
    <row r="51" spans="2:17" x14ac:dyDescent="0.2">
      <c r="B51" s="31" t="s">
        <v>136</v>
      </c>
      <c r="F51" s="47">
        <v>1</v>
      </c>
      <c r="G51" s="129">
        <f t="shared" ref="G51:P51" si="6">F51*(1+G50)</f>
        <v>0.997</v>
      </c>
      <c r="H51" s="129">
        <f t="shared" si="6"/>
        <v>1.034886</v>
      </c>
      <c r="I51" s="129">
        <f t="shared" si="6"/>
        <v>1.0980140459999999</v>
      </c>
      <c r="J51" s="129">
        <f t="shared" si="6"/>
        <v>1.1638948887599998</v>
      </c>
      <c r="K51" s="129">
        <f t="shared" si="6"/>
        <v>1.1929922609789998</v>
      </c>
      <c r="L51" s="129">
        <f t="shared" si="6"/>
        <v>1.2228170675034746</v>
      </c>
      <c r="M51" s="129">
        <f t="shared" si="6"/>
        <v>1.2533874941910614</v>
      </c>
      <c r="N51" s="129">
        <f t="shared" si="6"/>
        <v>1.2847221815458378</v>
      </c>
      <c r="O51" s="129">
        <f t="shared" si="6"/>
        <v>1.3168402360844838</v>
      </c>
      <c r="P51" s="129">
        <f t="shared" si="6"/>
        <v>1.3497612419865956</v>
      </c>
      <c r="Q51" s="34"/>
    </row>
    <row r="52" spans="2:17" x14ac:dyDescent="0.2">
      <c r="B52" s="127" t="s">
        <v>135</v>
      </c>
      <c r="Q52" s="34"/>
    </row>
    <row r="53" spans="2:17" x14ac:dyDescent="0.2">
      <c r="B53" s="31"/>
      <c r="Q53" s="34"/>
    </row>
    <row r="54" spans="2:17" x14ac:dyDescent="0.2">
      <c r="B54" s="52" t="s">
        <v>37</v>
      </c>
      <c r="C54" s="7"/>
      <c r="Q54" s="34"/>
    </row>
    <row r="55" spans="2:17" x14ac:dyDescent="0.2">
      <c r="B55" s="31" t="s">
        <v>28</v>
      </c>
      <c r="D55" t="str">
        <f>'Agency inputs &amp; final output'!$D$20</f>
        <v>%</v>
      </c>
      <c r="G55" s="33">
        <v>2.0400000000000001E-2</v>
      </c>
      <c r="H55" s="33">
        <v>0.02</v>
      </c>
      <c r="I55" s="33">
        <v>0.02</v>
      </c>
      <c r="J55" s="33">
        <v>1.9E-2</v>
      </c>
      <c r="K55" s="33"/>
      <c r="L55" s="33"/>
      <c r="M55" s="33"/>
      <c r="N55" s="33"/>
      <c r="O55" s="33"/>
      <c r="P55" s="33"/>
      <c r="Q55" s="34"/>
    </row>
    <row r="56" spans="2:17" x14ac:dyDescent="0.2">
      <c r="B56" s="31" t="s">
        <v>29</v>
      </c>
      <c r="D56" t="str">
        <f>'Agency inputs &amp; final output'!$D$20</f>
        <v>%</v>
      </c>
      <c r="G56" s="33">
        <v>2.3E-2</v>
      </c>
      <c r="H56" s="70"/>
      <c r="I56" s="70"/>
      <c r="J56" s="70"/>
      <c r="K56" s="70"/>
      <c r="L56" s="70"/>
      <c r="M56" s="70"/>
      <c r="N56" s="70"/>
      <c r="O56" s="70"/>
      <c r="P56" s="70"/>
      <c r="Q56" s="34"/>
    </row>
    <row r="57" spans="2:17" x14ac:dyDescent="0.2">
      <c r="B57" s="31" t="s">
        <v>30</v>
      </c>
      <c r="D57" t="str">
        <f>'Agency inputs &amp; final output'!$D$20</f>
        <v>%</v>
      </c>
      <c r="G57" s="33">
        <v>2.4E-2</v>
      </c>
      <c r="H57" s="33">
        <v>2.4E-2</v>
      </c>
      <c r="I57" s="33">
        <v>2.3E-2</v>
      </c>
      <c r="J57" s="33">
        <v>2.1999999999999999E-2</v>
      </c>
      <c r="K57" s="33"/>
      <c r="L57" s="33"/>
      <c r="M57" s="33"/>
      <c r="N57" s="33"/>
      <c r="O57" s="33"/>
      <c r="P57" s="33"/>
      <c r="Q57" s="34"/>
    </row>
    <row r="58" spans="2:17" x14ac:dyDescent="0.2">
      <c r="B58" s="31" t="s">
        <v>31</v>
      </c>
      <c r="D58" t="str">
        <f>'Agency inputs &amp; final output'!$D$20</f>
        <v>%</v>
      </c>
      <c r="G58" s="33">
        <v>8.6999999999999994E-2</v>
      </c>
      <c r="H58" s="70"/>
      <c r="I58" s="70"/>
      <c r="J58" s="70"/>
      <c r="K58" s="70"/>
      <c r="L58" s="70"/>
      <c r="M58" s="70"/>
      <c r="N58" s="70"/>
      <c r="O58" s="70"/>
      <c r="P58" s="70"/>
      <c r="Q58" s="34"/>
    </row>
    <row r="59" spans="2:17" x14ac:dyDescent="0.2">
      <c r="B59" s="31" t="s">
        <v>32</v>
      </c>
      <c r="D59" t="str">
        <f>'Agency inputs &amp; final output'!$D$20</f>
        <v>%</v>
      </c>
      <c r="G59" s="33">
        <v>0.6</v>
      </c>
      <c r="H59" s="70"/>
      <c r="I59" s="70"/>
      <c r="J59" s="70"/>
      <c r="K59" s="70"/>
      <c r="L59" s="70"/>
      <c r="M59" s="70"/>
      <c r="N59" s="70"/>
      <c r="O59" s="70"/>
      <c r="P59" s="70"/>
      <c r="Q59" s="34"/>
    </row>
    <row r="60" spans="2:17" x14ac:dyDescent="0.2">
      <c r="B60" s="31" t="s">
        <v>33</v>
      </c>
      <c r="D60" t="str">
        <f>'Agency inputs &amp; final output'!$D$20</f>
        <v>%</v>
      </c>
      <c r="G60" s="33">
        <v>0.4</v>
      </c>
      <c r="H60" s="70"/>
      <c r="I60" s="70"/>
      <c r="J60" s="70"/>
      <c r="K60" s="70"/>
      <c r="L60" s="70"/>
      <c r="M60" s="70"/>
      <c r="N60" s="70"/>
      <c r="O60" s="70"/>
      <c r="P60" s="70"/>
      <c r="Q60" s="34"/>
    </row>
    <row r="61" spans="2:17" x14ac:dyDescent="0.2">
      <c r="B61" s="31" t="s">
        <v>34</v>
      </c>
      <c r="D61" s="47" t="s">
        <v>46</v>
      </c>
      <c r="G61" s="1">
        <v>0.25</v>
      </c>
      <c r="H61" s="71"/>
      <c r="I61" s="71"/>
      <c r="J61" s="71"/>
      <c r="K61" s="71"/>
      <c r="L61" s="71"/>
      <c r="M61" s="71"/>
      <c r="N61" s="71"/>
      <c r="O61" s="71"/>
      <c r="P61" s="71"/>
      <c r="Q61" s="34"/>
    </row>
    <row r="62" spans="2:17" x14ac:dyDescent="0.2">
      <c r="B62" s="31" t="s">
        <v>35</v>
      </c>
      <c r="D62" t="str">
        <f>'Agency inputs &amp; final output'!$D$20</f>
        <v>%</v>
      </c>
      <c r="G62" s="33">
        <v>0.3</v>
      </c>
      <c r="H62" s="70"/>
      <c r="I62" s="70"/>
      <c r="J62" s="70"/>
      <c r="K62" s="70"/>
      <c r="L62" s="70"/>
      <c r="M62" s="70"/>
      <c r="N62" s="70"/>
      <c r="O62" s="70"/>
      <c r="P62" s="70"/>
      <c r="Q62" s="34"/>
    </row>
    <row r="63" spans="2:17" x14ac:dyDescent="0.2">
      <c r="B63" s="31" t="s">
        <v>36</v>
      </c>
      <c r="D63" t="str">
        <f>$D$61</f>
        <v>#</v>
      </c>
      <c r="G63" s="1">
        <v>0.7</v>
      </c>
      <c r="H63" s="71"/>
      <c r="I63" s="71"/>
      <c r="J63" s="71"/>
      <c r="K63" s="71"/>
      <c r="L63" s="71"/>
      <c r="M63" s="71"/>
      <c r="N63" s="71"/>
      <c r="O63" s="71"/>
      <c r="P63" s="71"/>
      <c r="Q63" s="34"/>
    </row>
    <row r="64" spans="2:17" x14ac:dyDescent="0.2">
      <c r="B64" s="31"/>
      <c r="Q64" s="34"/>
    </row>
    <row r="65" spans="2:17" x14ac:dyDescent="0.2">
      <c r="B65" s="52" t="s">
        <v>38</v>
      </c>
      <c r="C65" s="7"/>
      <c r="Q65" s="34"/>
    </row>
    <row r="66" spans="2:17" x14ac:dyDescent="0.2">
      <c r="B66" s="31" t="s">
        <v>28</v>
      </c>
      <c r="D66" t="str">
        <f>'Agency inputs &amp; final output'!$D$20</f>
        <v>%</v>
      </c>
      <c r="G66" s="33">
        <v>3.5999999999999997E-2</v>
      </c>
      <c r="H66" s="33">
        <v>3.1E-2</v>
      </c>
      <c r="I66" s="33">
        <v>2.7E-2</v>
      </c>
      <c r="J66" s="33">
        <v>0.02</v>
      </c>
      <c r="K66" s="33"/>
      <c r="L66" s="33"/>
      <c r="M66" s="33"/>
      <c r="N66" s="33"/>
      <c r="O66" s="33"/>
      <c r="P66" s="33"/>
      <c r="Q66" s="34"/>
    </row>
    <row r="67" spans="2:17" x14ac:dyDescent="0.2">
      <c r="B67" s="31" t="s">
        <v>29</v>
      </c>
      <c r="D67" t="str">
        <f>'Agency inputs &amp; final output'!$D$20</f>
        <v>%</v>
      </c>
      <c r="G67" s="33">
        <v>2.3E-2</v>
      </c>
      <c r="H67" s="70"/>
      <c r="I67" s="70"/>
      <c r="J67" s="70"/>
      <c r="K67" s="70"/>
      <c r="L67" s="70"/>
      <c r="M67" s="70"/>
      <c r="N67" s="70"/>
      <c r="O67" s="70"/>
      <c r="P67" s="70"/>
      <c r="Q67" s="34"/>
    </row>
    <row r="68" spans="2:17" x14ac:dyDescent="0.2">
      <c r="B68" s="31" t="s">
        <v>30</v>
      </c>
      <c r="D68" t="str">
        <f>'Agency inputs &amp; final output'!$D$20</f>
        <v>%</v>
      </c>
      <c r="G68" s="33">
        <v>2.5999999999999999E-2</v>
      </c>
      <c r="H68" s="33">
        <v>2.5999999999999999E-2</v>
      </c>
      <c r="I68" s="33">
        <v>2.5000000000000001E-2</v>
      </c>
      <c r="J68" s="33">
        <v>0.02</v>
      </c>
      <c r="K68" s="33"/>
      <c r="L68" s="33"/>
      <c r="M68" s="33"/>
      <c r="N68" s="33"/>
      <c r="O68" s="33"/>
      <c r="P68" s="33"/>
      <c r="Q68" s="34"/>
    </row>
    <row r="69" spans="2:17" x14ac:dyDescent="0.2">
      <c r="B69" s="31" t="s">
        <v>31</v>
      </c>
      <c r="D69" t="str">
        <f>'Agency inputs &amp; final output'!$D$20</f>
        <v>%</v>
      </c>
      <c r="G69" s="33">
        <v>0.06</v>
      </c>
      <c r="H69" s="70"/>
      <c r="I69" s="70"/>
      <c r="J69" s="70"/>
      <c r="K69" s="70"/>
      <c r="L69" s="70"/>
      <c r="M69" s="70"/>
      <c r="N69" s="70"/>
      <c r="O69" s="70"/>
      <c r="P69" s="70"/>
      <c r="Q69" s="34"/>
    </row>
    <row r="70" spans="2:17" x14ac:dyDescent="0.2">
      <c r="B70" s="31" t="s">
        <v>32</v>
      </c>
      <c r="D70" t="str">
        <f>'Agency inputs &amp; final output'!$D$20</f>
        <v>%</v>
      </c>
      <c r="G70" s="33">
        <v>0.6</v>
      </c>
      <c r="H70" s="70"/>
      <c r="I70" s="70"/>
      <c r="J70" s="70"/>
      <c r="K70" s="70"/>
      <c r="L70" s="70"/>
      <c r="M70" s="70"/>
      <c r="N70" s="70"/>
      <c r="O70" s="70"/>
      <c r="P70" s="70"/>
      <c r="Q70" s="34"/>
    </row>
    <row r="71" spans="2:17" x14ac:dyDescent="0.2">
      <c r="B71" s="31" t="s">
        <v>33</v>
      </c>
      <c r="D71" t="str">
        <f>'Agency inputs &amp; final output'!$D$20</f>
        <v>%</v>
      </c>
      <c r="G71" s="33">
        <v>0.4</v>
      </c>
      <c r="H71" s="70"/>
      <c r="I71" s="70"/>
      <c r="J71" s="70"/>
      <c r="K71" s="70"/>
      <c r="L71" s="70"/>
      <c r="M71" s="70"/>
      <c r="N71" s="70"/>
      <c r="O71" s="70"/>
      <c r="P71" s="70"/>
      <c r="Q71" s="34"/>
    </row>
    <row r="72" spans="2:17" x14ac:dyDescent="0.2">
      <c r="B72" s="31" t="s">
        <v>34</v>
      </c>
      <c r="D72" t="str">
        <f>$D$61</f>
        <v>#</v>
      </c>
      <c r="G72" s="1">
        <v>0.25</v>
      </c>
      <c r="H72" s="71"/>
      <c r="I72" s="71"/>
      <c r="J72" s="71"/>
      <c r="K72" s="71"/>
      <c r="L72" s="71"/>
      <c r="M72" s="71"/>
      <c r="N72" s="71"/>
      <c r="O72" s="71"/>
      <c r="P72" s="71"/>
      <c r="Q72" s="34"/>
    </row>
    <row r="73" spans="2:17" x14ac:dyDescent="0.2">
      <c r="B73" s="31" t="s">
        <v>35</v>
      </c>
      <c r="D73" t="str">
        <f>'Agency inputs &amp; final output'!$D$20</f>
        <v>%</v>
      </c>
      <c r="G73" s="33">
        <v>0.3</v>
      </c>
      <c r="H73" s="70"/>
      <c r="I73" s="70"/>
      <c r="J73" s="70"/>
      <c r="K73" s="70"/>
      <c r="L73" s="70"/>
      <c r="M73" s="70"/>
      <c r="N73" s="70"/>
      <c r="O73" s="70"/>
      <c r="P73" s="70"/>
      <c r="Q73" s="34"/>
    </row>
    <row r="74" spans="2:17" x14ac:dyDescent="0.2">
      <c r="B74" s="31" t="s">
        <v>36</v>
      </c>
      <c r="D74" t="str">
        <f>$D$61</f>
        <v>#</v>
      </c>
      <c r="G74" s="1">
        <v>0.7</v>
      </c>
      <c r="H74" s="71"/>
      <c r="I74" s="71"/>
      <c r="J74" s="71"/>
      <c r="K74" s="71"/>
      <c r="L74" s="71"/>
      <c r="M74" s="71"/>
      <c r="N74" s="71"/>
      <c r="O74" s="71"/>
      <c r="P74" s="71"/>
      <c r="Q74" s="34"/>
    </row>
    <row r="75" spans="2:17" x14ac:dyDescent="0.2">
      <c r="B75" s="35"/>
      <c r="C75" s="27"/>
      <c r="D75" s="27"/>
      <c r="E75" s="27"/>
      <c r="F75" s="27"/>
      <c r="G75" s="27"/>
      <c r="H75" s="27"/>
      <c r="I75" s="27"/>
      <c r="J75" s="27"/>
      <c r="K75" s="27"/>
      <c r="L75" s="27"/>
      <c r="M75" s="27"/>
      <c r="N75" s="27"/>
      <c r="O75" s="27"/>
      <c r="P75" s="27"/>
      <c r="Q75" s="36"/>
    </row>
    <row r="77" spans="2:17" ht="17.25" customHeight="1" x14ac:dyDescent="0.25">
      <c r="B77" s="25" t="str">
        <f>B9</f>
        <v>Table 1.4 - Outputs</v>
      </c>
      <c r="C77" s="7"/>
    </row>
    <row r="78" spans="2:17" x14ac:dyDescent="0.2">
      <c r="B78" s="90" t="str">
        <f>"Note: The model calculates the value of the regulatory true-up in "&amp;F16&amp;". It then indexes this number to the correct dollar denomination for the new determination."</f>
        <v>Note: The model calculates the value of the regulatory true-up in $2018-19. It then indexes this number to the correct dollar denomination for the new determination.</v>
      </c>
      <c r="C78" s="26"/>
      <c r="G78" s="26"/>
    </row>
    <row r="79" spans="2:17" x14ac:dyDescent="0.2">
      <c r="B79" s="43"/>
      <c r="C79" s="46"/>
      <c r="D79" s="29"/>
      <c r="E79" s="29"/>
      <c r="F79" s="29"/>
      <c r="G79" s="29"/>
      <c r="H79" s="30"/>
    </row>
    <row r="80" spans="2:17" x14ac:dyDescent="0.2">
      <c r="B80" s="42"/>
      <c r="C80" s="26"/>
      <c r="G80" s="73"/>
      <c r="H80" s="34"/>
    </row>
    <row r="81" spans="2:8" x14ac:dyDescent="0.2">
      <c r="B81" s="31" t="s">
        <v>65</v>
      </c>
      <c r="D81" t="str">
        <f>$D$30&amp;", "&amp;$F$16</f>
        <v>$'000, $2018-19</v>
      </c>
      <c r="G81" s="45">
        <f>SUM('True up calculations'!G96:P96)</f>
        <v>-1403.05152</v>
      </c>
      <c r="H81" s="34"/>
    </row>
    <row r="82" spans="2:8" x14ac:dyDescent="0.2">
      <c r="B82" s="31" t="str">
        <f>B51</f>
        <v>Index of inflation</v>
      </c>
      <c r="G82" s="129">
        <f ca="1">OFFSET(F51,0,$F$18)</f>
        <v>1.1638948887599998</v>
      </c>
      <c r="H82" s="34"/>
    </row>
    <row r="83" spans="2:8" x14ac:dyDescent="0.2">
      <c r="B83" s="31" t="s">
        <v>138</v>
      </c>
      <c r="D83" t="str">
        <f>$D$30&amp;", "&amp;"$"&amp;TEXT(DATE(YEAR(F26)+F18-1,MONTH(F26),DAY(F26)),"YYYY")&amp;"-"&amp;RIGHT(TEXT(DATE(YEAR(F26)+F18,MONTH(F26),DAY(F26)),"YYYY"),2)</f>
        <v>$'000, $2022-23</v>
      </c>
      <c r="G83" s="45">
        <f ca="1">G81*G82</f>
        <v>-1633.0044927949486</v>
      </c>
      <c r="H83" s="130" t="s">
        <v>139</v>
      </c>
    </row>
    <row r="84" spans="2:8" x14ac:dyDescent="0.2">
      <c r="B84" s="35"/>
      <c r="C84" s="27"/>
      <c r="D84" s="27"/>
      <c r="E84" s="27"/>
      <c r="F84" s="27"/>
      <c r="G84" s="27"/>
      <c r="H84" s="36"/>
    </row>
    <row r="86" spans="2:8" x14ac:dyDescent="0.2">
      <c r="G86" s="87"/>
    </row>
    <row r="87" spans="2:8" x14ac:dyDescent="0.2">
      <c r="B87" s="7"/>
      <c r="C87" s="7"/>
    </row>
    <row r="89" spans="2:8" x14ac:dyDescent="0.2">
      <c r="G89" s="87"/>
    </row>
  </sheetData>
  <dataValidations disablePrompts="1" count="1">
    <dataValidation type="list" allowBlank="1" showInputMessage="1" showErrorMessage="1" sqref="D30" xr:uid="{00000000-0002-0000-0500-000000000000}">
      <formula1>$T$30:$T$31</formula1>
    </dataValidation>
  </dataValidations>
  <pageMargins left="0.7" right="0.7" top="0.75" bottom="0.75" header="0.3" footer="0.3"/>
  <pageSetup orientation="portrait" horizontalDpi="200" verticalDpi="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98"/>
  <sheetViews>
    <sheetView showGridLines="0" zoomScaleNormal="100" workbookViewId="0"/>
  </sheetViews>
  <sheetFormatPr defaultRowHeight="12" x14ac:dyDescent="0.2"/>
  <cols>
    <col min="1" max="2" width="2.42578125" customWidth="1"/>
    <col min="3" max="3" width="31.42578125" customWidth="1"/>
    <col min="4" max="4" width="10.140625" customWidth="1"/>
    <col min="5" max="5" width="8.7109375" customWidth="1"/>
    <col min="6" max="16" width="12.7109375" customWidth="1"/>
    <col min="17" max="17" width="5.7109375" customWidth="1"/>
  </cols>
  <sheetData>
    <row r="1" spans="1:17" x14ac:dyDescent="0.2">
      <c r="A1" s="44">
        <v>2</v>
      </c>
    </row>
    <row r="2" spans="1:17" ht="15.75" x14ac:dyDescent="0.25">
      <c r="B2" s="3" t="str">
        <f>$A$1&amp;" - TRUE-UP CALCULATIONS"</f>
        <v>2 - TRUE-UP CALCULATIONS</v>
      </c>
      <c r="C2" s="25"/>
      <c r="D2" s="25"/>
      <c r="E2" s="25"/>
    </row>
    <row r="3" spans="1:17" x14ac:dyDescent="0.2">
      <c r="B3" s="26" t="s">
        <v>24</v>
      </c>
      <c r="C3" s="26"/>
      <c r="D3" s="26"/>
      <c r="E3" s="26"/>
    </row>
    <row r="5" spans="1:17" x14ac:dyDescent="0.2">
      <c r="B5" s="62" t="s">
        <v>51</v>
      </c>
      <c r="C5" s="27"/>
      <c r="D5" s="27"/>
      <c r="E5" s="27"/>
      <c r="F5" s="27"/>
      <c r="G5" s="63" t="s">
        <v>52</v>
      </c>
    </row>
    <row r="6" spans="1:17" x14ac:dyDescent="0.2">
      <c r="A6" s="54">
        <v>1</v>
      </c>
      <c r="B6" t="str">
        <f>"Table "&amp;$A$1&amp;"."&amp;A6&amp;" - Asset value"</f>
        <v>Table 2.1 - Asset value</v>
      </c>
      <c r="G6">
        <f>ROW(B12)</f>
        <v>12</v>
      </c>
    </row>
    <row r="7" spans="1:17" x14ac:dyDescent="0.2">
      <c r="A7" s="54">
        <v>2</v>
      </c>
      <c r="B7" t="str">
        <f>"Table "&amp;$A$1&amp;"."&amp;A7&amp;" - WACC calculations"</f>
        <v>Table 2.2 - WACC calculations</v>
      </c>
      <c r="G7">
        <f>ROW(B21)</f>
        <v>21</v>
      </c>
    </row>
    <row r="8" spans="1:17" x14ac:dyDescent="0.2">
      <c r="A8" s="54">
        <v>3</v>
      </c>
      <c r="B8" t="str">
        <f>"Table "&amp;$A$1&amp;"."&amp;A8&amp;" - WACC and Cost of Debt estimates"</f>
        <v>Table 2.3 - WACC and Cost of Debt estimates</v>
      </c>
      <c r="G8">
        <f>ROW(B64)</f>
        <v>64</v>
      </c>
    </row>
    <row r="9" spans="1:17" x14ac:dyDescent="0.2">
      <c r="A9" s="54">
        <v>4</v>
      </c>
      <c r="B9" t="str">
        <f>"Table "&amp;$A$1&amp;"."&amp;A9&amp;" - True-up calculations (real)"</f>
        <v>Table 2.4 - True-up calculations (real)</v>
      </c>
      <c r="G9">
        <f>ROW(B81)</f>
        <v>81</v>
      </c>
    </row>
    <row r="10" spans="1:17" x14ac:dyDescent="0.2">
      <c r="B10" s="29"/>
      <c r="C10" s="29"/>
      <c r="D10" s="29"/>
      <c r="E10" s="29"/>
      <c r="F10" s="29"/>
      <c r="G10" s="29"/>
    </row>
    <row r="12" spans="1:17" ht="15" x14ac:dyDescent="0.25">
      <c r="B12" s="25" t="str">
        <f>B6</f>
        <v>Table 2.1 - Asset value</v>
      </c>
      <c r="D12" s="26"/>
    </row>
    <row r="13" spans="1:17" x14ac:dyDescent="0.2">
      <c r="B13" s="65" t="str">
        <f>'Agency inputs &amp; final output'!B$26</f>
        <v>Year ending 30 Jun</v>
      </c>
      <c r="C13" s="66"/>
      <c r="D13" s="66" t="str">
        <f>'Agency inputs &amp; final output'!D$26</f>
        <v>Units</v>
      </c>
      <c r="E13" s="66"/>
      <c r="F13" s="66"/>
      <c r="G13" s="94">
        <f>'Agency inputs &amp; final output'!G$26</f>
        <v>44012</v>
      </c>
      <c r="H13" s="94">
        <f>'Agency inputs &amp; final output'!H$26</f>
        <v>44377</v>
      </c>
      <c r="I13" s="94">
        <f>'Agency inputs &amp; final output'!I$26</f>
        <v>44742</v>
      </c>
      <c r="J13" s="94">
        <f>'Agency inputs &amp; final output'!J$26</f>
        <v>45107</v>
      </c>
      <c r="K13" s="94">
        <f>'Agency inputs &amp; final output'!K$26</f>
        <v>45473</v>
      </c>
      <c r="L13" s="94">
        <f>'Agency inputs &amp; final output'!L$26</f>
        <v>45838</v>
      </c>
      <c r="M13" s="94">
        <f>'Agency inputs &amp; final output'!M$26</f>
        <v>46203</v>
      </c>
      <c r="N13" s="94">
        <f>'Agency inputs &amp; final output'!N$26</f>
        <v>46568</v>
      </c>
      <c r="O13" s="94">
        <f>'Agency inputs &amp; final output'!O$26</f>
        <v>46934</v>
      </c>
      <c r="P13" s="94">
        <f>'Agency inputs &amp; final output'!P$26</f>
        <v>47299</v>
      </c>
      <c r="Q13" s="30"/>
    </row>
    <row r="14" spans="1:17" x14ac:dyDescent="0.2">
      <c r="B14" s="31"/>
      <c r="Q14" s="34"/>
    </row>
    <row r="15" spans="1:17" x14ac:dyDescent="0.2">
      <c r="B15" s="31" t="str">
        <f>'Agency inputs &amp; final output'!B40</f>
        <v>Average RAB over determination period for calculation of average debt</v>
      </c>
      <c r="D15" t="str">
        <f>'Agency inputs &amp; final output'!$D$30</f>
        <v>$'000</v>
      </c>
      <c r="F15" s="39"/>
      <c r="G15" s="39">
        <f>IF('Agency inputs &amp; final output'!G41=".",0,'Agency inputs &amp; final output'!G41*G94)</f>
        <v>100000</v>
      </c>
      <c r="H15" s="39">
        <f>IF('Agency inputs &amp; final output'!H41=".",0,'Agency inputs &amp; final output'!H41*H94)</f>
        <v>100000</v>
      </c>
      <c r="I15" s="39">
        <f>IF('Agency inputs &amp; final output'!I41=".",0,'Agency inputs &amp; final output'!I41*I94)</f>
        <v>100000</v>
      </c>
      <c r="J15" s="39">
        <f>IF('Agency inputs &amp; final output'!J41=".",0,'Agency inputs &amp; final output'!J41*J94)</f>
        <v>100000</v>
      </c>
      <c r="K15" s="39">
        <f>IF('Agency inputs &amp; final output'!K41=".",0,'Agency inputs &amp; final output'!K41*K94)</f>
        <v>0</v>
      </c>
      <c r="L15" s="39">
        <f>IF('Agency inputs &amp; final output'!L41=".",0,'Agency inputs &amp; final output'!L41*L94)</f>
        <v>0</v>
      </c>
      <c r="M15" s="39">
        <f>IF('Agency inputs &amp; final output'!M41=".",0,'Agency inputs &amp; final output'!M41*M94)</f>
        <v>0</v>
      </c>
      <c r="N15" s="39">
        <f>IF('Agency inputs &amp; final output'!N41=".",0,'Agency inputs &amp; final output'!N41*N94)</f>
        <v>0</v>
      </c>
      <c r="O15" s="39">
        <f>IF('Agency inputs &amp; final output'!O41=".",0,'Agency inputs &amp; final output'!O41*O94)</f>
        <v>0</v>
      </c>
      <c r="P15" s="39">
        <f>IF('Agency inputs &amp; final output'!P41=".",0,'Agency inputs &amp; final output'!P41*P94)</f>
        <v>0</v>
      </c>
      <c r="Q15" s="34"/>
    </row>
    <row r="16" spans="1:17" x14ac:dyDescent="0.2">
      <c r="B16" s="31" t="s">
        <v>61</v>
      </c>
      <c r="D16" t="str">
        <f>'Agency inputs &amp; final output'!$D$30</f>
        <v>$'000</v>
      </c>
      <c r="F16" s="39"/>
      <c r="G16" s="39">
        <f t="shared" ref="G16:P16" si="0">G15*G33</f>
        <v>60000</v>
      </c>
      <c r="H16" s="39">
        <f t="shared" si="0"/>
        <v>60000</v>
      </c>
      <c r="I16" s="39">
        <f t="shared" si="0"/>
        <v>60000</v>
      </c>
      <c r="J16" s="39">
        <f t="shared" si="0"/>
        <v>60000</v>
      </c>
      <c r="K16" s="39">
        <f t="shared" si="0"/>
        <v>0</v>
      </c>
      <c r="L16" s="39">
        <f t="shared" si="0"/>
        <v>0</v>
      </c>
      <c r="M16" s="39">
        <f t="shared" si="0"/>
        <v>0</v>
      </c>
      <c r="N16" s="39">
        <f t="shared" si="0"/>
        <v>0</v>
      </c>
      <c r="O16" s="39">
        <f t="shared" si="0"/>
        <v>0</v>
      </c>
      <c r="P16" s="39">
        <f t="shared" si="0"/>
        <v>0</v>
      </c>
      <c r="Q16" s="34"/>
    </row>
    <row r="17" spans="2:17" x14ac:dyDescent="0.2">
      <c r="B17" s="31"/>
      <c r="F17" s="39"/>
      <c r="G17" s="39"/>
      <c r="H17" s="39"/>
      <c r="I17" s="39"/>
      <c r="J17" s="39"/>
      <c r="K17" s="39"/>
      <c r="L17" s="39"/>
      <c r="M17" s="39"/>
      <c r="N17" s="39"/>
      <c r="O17" s="39"/>
      <c r="P17" s="39"/>
      <c r="Q17" s="34"/>
    </row>
    <row r="18" spans="2:17" x14ac:dyDescent="0.2">
      <c r="B18" s="35"/>
      <c r="C18" s="27"/>
      <c r="D18" s="27"/>
      <c r="E18" s="27"/>
      <c r="F18" s="27"/>
      <c r="G18" s="27"/>
      <c r="H18" s="27"/>
      <c r="I18" s="27"/>
      <c r="J18" s="27"/>
      <c r="K18" s="27"/>
      <c r="L18" s="27"/>
      <c r="M18" s="27"/>
      <c r="N18" s="27"/>
      <c r="O18" s="27"/>
      <c r="P18" s="27"/>
      <c r="Q18" s="36"/>
    </row>
    <row r="21" spans="2:17" ht="15" x14ac:dyDescent="0.25">
      <c r="B21" s="25" t="str">
        <f>B7</f>
        <v>Table 2.2 - WACC calculations</v>
      </c>
      <c r="C21" s="25"/>
    </row>
    <row r="22" spans="2:17" x14ac:dyDescent="0.2">
      <c r="B22" s="90" t="s">
        <v>75</v>
      </c>
      <c r="C22" s="90"/>
    </row>
    <row r="23" spans="2:17" s="7" customFormat="1" x14ac:dyDescent="0.2">
      <c r="B23" s="65" t="str">
        <f>'Agency inputs &amp; final output'!B$26</f>
        <v>Year ending 30 Jun</v>
      </c>
      <c r="C23" s="66"/>
      <c r="D23" s="66" t="str">
        <f>'Agency inputs &amp; final output'!D$26</f>
        <v>Units</v>
      </c>
      <c r="E23" s="49"/>
      <c r="F23" s="66"/>
      <c r="G23" s="94">
        <f>'Agency inputs &amp; final output'!G$26</f>
        <v>44012</v>
      </c>
      <c r="H23" s="94">
        <f>'Agency inputs &amp; final output'!H$26</f>
        <v>44377</v>
      </c>
      <c r="I23" s="94">
        <f>'Agency inputs &amp; final output'!I$26</f>
        <v>44742</v>
      </c>
      <c r="J23" s="94">
        <f>'Agency inputs &amp; final output'!J$26</f>
        <v>45107</v>
      </c>
      <c r="K23" s="94">
        <f>'Agency inputs &amp; final output'!K$26</f>
        <v>45473</v>
      </c>
      <c r="L23" s="94">
        <f>'Agency inputs &amp; final output'!L$26</f>
        <v>45838</v>
      </c>
      <c r="M23" s="94">
        <f>'Agency inputs &amp; final output'!M$26</f>
        <v>46203</v>
      </c>
      <c r="N23" s="94">
        <f>'Agency inputs &amp; final output'!N$26</f>
        <v>46568</v>
      </c>
      <c r="O23" s="94">
        <f>'Agency inputs &amp; final output'!O$26</f>
        <v>46934</v>
      </c>
      <c r="P23" s="94">
        <f>'Agency inputs &amp; final output'!P$26</f>
        <v>47299</v>
      </c>
      <c r="Q23" s="61"/>
    </row>
    <row r="24" spans="2:17" x14ac:dyDescent="0.2">
      <c r="B24" s="31"/>
      <c r="Q24" s="34"/>
    </row>
    <row r="25" spans="2:17" x14ac:dyDescent="0.2">
      <c r="B25" s="31" t="s">
        <v>26</v>
      </c>
      <c r="D25" t="str">
        <f>'Agency inputs &amp; final output'!$D$20</f>
        <v>%</v>
      </c>
      <c r="F25" s="76"/>
      <c r="G25" s="51">
        <f>G70</f>
        <v>0.04</v>
      </c>
      <c r="H25" s="40">
        <f>$G$25</f>
        <v>0.04</v>
      </c>
      <c r="I25" s="40">
        <f t="shared" ref="I25:P25" si="1">$G$25</f>
        <v>0.04</v>
      </c>
      <c r="J25" s="40">
        <f t="shared" si="1"/>
        <v>0.04</v>
      </c>
      <c r="K25" s="40">
        <f t="shared" si="1"/>
        <v>0.04</v>
      </c>
      <c r="L25" s="40">
        <f t="shared" si="1"/>
        <v>0.04</v>
      </c>
      <c r="M25" s="40">
        <f t="shared" si="1"/>
        <v>0.04</v>
      </c>
      <c r="N25" s="40">
        <f t="shared" si="1"/>
        <v>0.04</v>
      </c>
      <c r="O25" s="40">
        <f t="shared" si="1"/>
        <v>0.04</v>
      </c>
      <c r="P25" s="40">
        <f t="shared" si="1"/>
        <v>0.04</v>
      </c>
      <c r="Q25" s="34"/>
    </row>
    <row r="26" spans="2:17" x14ac:dyDescent="0.2">
      <c r="B26" s="31" t="s">
        <v>63</v>
      </c>
      <c r="D26" t="str">
        <f>'Agency inputs &amp; final output'!$D$20</f>
        <v>%</v>
      </c>
      <c r="F26" s="76"/>
      <c r="G26" s="51">
        <f>G76</f>
        <v>0.03</v>
      </c>
      <c r="H26" s="40">
        <f t="shared" ref="H26:P26" si="2">$G$26</f>
        <v>0.03</v>
      </c>
      <c r="I26" s="40">
        <f t="shared" si="2"/>
        <v>0.03</v>
      </c>
      <c r="J26" s="40">
        <f t="shared" si="2"/>
        <v>0.03</v>
      </c>
      <c r="K26" s="40">
        <f t="shared" si="2"/>
        <v>0.03</v>
      </c>
      <c r="L26" s="40">
        <f t="shared" si="2"/>
        <v>0.03</v>
      </c>
      <c r="M26" s="40">
        <f t="shared" si="2"/>
        <v>0.03</v>
      </c>
      <c r="N26" s="40">
        <f t="shared" si="2"/>
        <v>0.03</v>
      </c>
      <c r="O26" s="40">
        <f t="shared" si="2"/>
        <v>0.03</v>
      </c>
      <c r="P26" s="40">
        <f t="shared" si="2"/>
        <v>0.03</v>
      </c>
      <c r="Q26" s="34"/>
    </row>
    <row r="27" spans="2:17" x14ac:dyDescent="0.2">
      <c r="B27" s="31"/>
      <c r="Q27" s="34"/>
    </row>
    <row r="28" spans="2:17" ht="12.75" x14ac:dyDescent="0.2">
      <c r="B28" s="72" t="s">
        <v>37</v>
      </c>
      <c r="C28" s="7"/>
      <c r="Q28" s="34"/>
    </row>
    <row r="29" spans="2:17" x14ac:dyDescent="0.2">
      <c r="B29" s="31" t="s">
        <v>28</v>
      </c>
      <c r="D29" t="str">
        <f>'Agency inputs &amp; final output'!$D$20</f>
        <v>%</v>
      </c>
      <c r="F29" s="40"/>
      <c r="G29" s="40">
        <f>'Agency inputs &amp; final output'!G55</f>
        <v>2.0400000000000001E-2</v>
      </c>
      <c r="H29" s="40">
        <f>'Agency inputs &amp; final output'!H55</f>
        <v>0.02</v>
      </c>
      <c r="I29" s="40">
        <f>'Agency inputs &amp; final output'!I55</f>
        <v>0.02</v>
      </c>
      <c r="J29" s="40">
        <f>'Agency inputs &amp; final output'!J55</f>
        <v>1.9E-2</v>
      </c>
      <c r="K29" s="40">
        <f>'Agency inputs &amp; final output'!K55</f>
        <v>0</v>
      </c>
      <c r="L29" s="40">
        <f>'Agency inputs &amp; final output'!L55</f>
        <v>0</v>
      </c>
      <c r="M29" s="40">
        <f>'Agency inputs &amp; final output'!M55</f>
        <v>0</v>
      </c>
      <c r="N29" s="40">
        <f>'Agency inputs &amp; final output'!N55</f>
        <v>0</v>
      </c>
      <c r="O29" s="40">
        <f>'Agency inputs &amp; final output'!O55</f>
        <v>0</v>
      </c>
      <c r="P29" s="40">
        <f>'Agency inputs &amp; final output'!P55</f>
        <v>0</v>
      </c>
      <c r="Q29" s="34"/>
    </row>
    <row r="30" spans="2:17" x14ac:dyDescent="0.2">
      <c r="B30" s="31" t="s">
        <v>29</v>
      </c>
      <c r="D30" t="str">
        <f>'Agency inputs &amp; final output'!$D$20</f>
        <v>%</v>
      </c>
      <c r="F30" s="40"/>
      <c r="G30" s="51">
        <f>'Agency inputs &amp; final output'!G56</f>
        <v>2.3E-2</v>
      </c>
      <c r="H30" s="40">
        <f>$G30</f>
        <v>2.3E-2</v>
      </c>
      <c r="I30" s="40">
        <f t="shared" ref="I30:P30" si="3">$G30</f>
        <v>2.3E-2</v>
      </c>
      <c r="J30" s="40">
        <f t="shared" si="3"/>
        <v>2.3E-2</v>
      </c>
      <c r="K30" s="40">
        <f t="shared" si="3"/>
        <v>2.3E-2</v>
      </c>
      <c r="L30" s="40">
        <f t="shared" si="3"/>
        <v>2.3E-2</v>
      </c>
      <c r="M30" s="40">
        <f t="shared" si="3"/>
        <v>2.3E-2</v>
      </c>
      <c r="N30" s="40">
        <f t="shared" si="3"/>
        <v>2.3E-2</v>
      </c>
      <c r="O30" s="40">
        <f t="shared" si="3"/>
        <v>2.3E-2</v>
      </c>
      <c r="P30" s="40">
        <f t="shared" si="3"/>
        <v>2.3E-2</v>
      </c>
      <c r="Q30" s="34"/>
    </row>
    <row r="31" spans="2:17" x14ac:dyDescent="0.2">
      <c r="B31" s="31" t="s">
        <v>30</v>
      </c>
      <c r="D31" t="str">
        <f>'Agency inputs &amp; final output'!$D$20</f>
        <v>%</v>
      </c>
      <c r="F31" s="40"/>
      <c r="G31" s="40">
        <f>'Agency inputs &amp; final output'!G57</f>
        <v>2.4E-2</v>
      </c>
      <c r="H31" s="40">
        <f>'Agency inputs &amp; final output'!H57</f>
        <v>2.4E-2</v>
      </c>
      <c r="I31" s="40">
        <f>'Agency inputs &amp; final output'!I57</f>
        <v>2.3E-2</v>
      </c>
      <c r="J31" s="40">
        <f>'Agency inputs &amp; final output'!J57</f>
        <v>2.1999999999999999E-2</v>
      </c>
      <c r="K31" s="40">
        <f>'Agency inputs &amp; final output'!K57</f>
        <v>0</v>
      </c>
      <c r="L31" s="40">
        <f>'Agency inputs &amp; final output'!L57</f>
        <v>0</v>
      </c>
      <c r="M31" s="40">
        <f>'Agency inputs &amp; final output'!M57</f>
        <v>0</v>
      </c>
      <c r="N31" s="40">
        <f>'Agency inputs &amp; final output'!N57</f>
        <v>0</v>
      </c>
      <c r="O31" s="40">
        <f>'Agency inputs &amp; final output'!O57</f>
        <v>0</v>
      </c>
      <c r="P31" s="40">
        <f>'Agency inputs &amp; final output'!P57</f>
        <v>0</v>
      </c>
      <c r="Q31" s="34"/>
    </row>
    <row r="32" spans="2:17" x14ac:dyDescent="0.2">
      <c r="B32" s="31" t="s">
        <v>31</v>
      </c>
      <c r="D32" t="str">
        <f>'Agency inputs &amp; final output'!$D$20</f>
        <v>%</v>
      </c>
      <c r="F32" s="40"/>
      <c r="G32" s="51">
        <f>'Agency inputs &amp; final output'!G58</f>
        <v>8.6999999999999994E-2</v>
      </c>
      <c r="H32" s="40">
        <f t="shared" ref="H32:P32" si="4">$G32</f>
        <v>8.6999999999999994E-2</v>
      </c>
      <c r="I32" s="40">
        <f t="shared" si="4"/>
        <v>8.6999999999999994E-2</v>
      </c>
      <c r="J32" s="40">
        <f t="shared" si="4"/>
        <v>8.6999999999999994E-2</v>
      </c>
      <c r="K32" s="40">
        <f t="shared" si="4"/>
        <v>8.6999999999999994E-2</v>
      </c>
      <c r="L32" s="40">
        <f t="shared" si="4"/>
        <v>8.6999999999999994E-2</v>
      </c>
      <c r="M32" s="40">
        <f t="shared" si="4"/>
        <v>8.6999999999999994E-2</v>
      </c>
      <c r="N32" s="40">
        <f t="shared" si="4"/>
        <v>8.6999999999999994E-2</v>
      </c>
      <c r="O32" s="40">
        <f t="shared" si="4"/>
        <v>8.6999999999999994E-2</v>
      </c>
      <c r="P32" s="40">
        <f t="shared" si="4"/>
        <v>8.6999999999999994E-2</v>
      </c>
      <c r="Q32" s="34"/>
    </row>
    <row r="33" spans="2:17" x14ac:dyDescent="0.2">
      <c r="B33" s="31" t="s">
        <v>32</v>
      </c>
      <c r="D33" t="str">
        <f>'Agency inputs &amp; final output'!$D$20</f>
        <v>%</v>
      </c>
      <c r="F33" s="40"/>
      <c r="G33" s="51">
        <f>'Agency inputs &amp; final output'!G59</f>
        <v>0.6</v>
      </c>
      <c r="H33" s="40">
        <f t="shared" ref="H33:P37" si="5">$G33</f>
        <v>0.6</v>
      </c>
      <c r="I33" s="40">
        <f t="shared" si="5"/>
        <v>0.6</v>
      </c>
      <c r="J33" s="40">
        <f t="shared" si="5"/>
        <v>0.6</v>
      </c>
      <c r="K33" s="40">
        <f t="shared" si="5"/>
        <v>0.6</v>
      </c>
      <c r="L33" s="40">
        <f t="shared" si="5"/>
        <v>0.6</v>
      </c>
      <c r="M33" s="40">
        <f t="shared" si="5"/>
        <v>0.6</v>
      </c>
      <c r="N33" s="40">
        <f t="shared" si="5"/>
        <v>0.6</v>
      </c>
      <c r="O33" s="40">
        <f t="shared" si="5"/>
        <v>0.6</v>
      </c>
      <c r="P33" s="40">
        <f t="shared" si="5"/>
        <v>0.6</v>
      </c>
      <c r="Q33" s="34"/>
    </row>
    <row r="34" spans="2:17" x14ac:dyDescent="0.2">
      <c r="B34" s="31" t="s">
        <v>33</v>
      </c>
      <c r="D34" t="str">
        <f>'Agency inputs &amp; final output'!$D$20</f>
        <v>%</v>
      </c>
      <c r="F34" s="40"/>
      <c r="G34" s="51">
        <f>'Agency inputs &amp; final output'!G60</f>
        <v>0.4</v>
      </c>
      <c r="H34" s="40">
        <f t="shared" si="5"/>
        <v>0.4</v>
      </c>
      <c r="I34" s="40">
        <f t="shared" si="5"/>
        <v>0.4</v>
      </c>
      <c r="J34" s="40">
        <f t="shared" si="5"/>
        <v>0.4</v>
      </c>
      <c r="K34" s="40">
        <f t="shared" si="5"/>
        <v>0.4</v>
      </c>
      <c r="L34" s="40">
        <f t="shared" si="5"/>
        <v>0.4</v>
      </c>
      <c r="M34" s="40">
        <f t="shared" si="5"/>
        <v>0.4</v>
      </c>
      <c r="N34" s="40">
        <f t="shared" si="5"/>
        <v>0.4</v>
      </c>
      <c r="O34" s="40">
        <f t="shared" si="5"/>
        <v>0.4</v>
      </c>
      <c r="P34" s="40">
        <f t="shared" si="5"/>
        <v>0.4</v>
      </c>
      <c r="Q34" s="34"/>
    </row>
    <row r="35" spans="2:17" x14ac:dyDescent="0.2">
      <c r="B35" s="31" t="s">
        <v>34</v>
      </c>
      <c r="D35" t="str">
        <f>'Agency inputs &amp; final output'!$D$61</f>
        <v>#</v>
      </c>
      <c r="F35" s="53"/>
      <c r="G35" s="77">
        <f>'Agency inputs &amp; final output'!G61</f>
        <v>0.25</v>
      </c>
      <c r="H35" s="53">
        <f t="shared" si="5"/>
        <v>0.25</v>
      </c>
      <c r="I35" s="53">
        <f t="shared" si="5"/>
        <v>0.25</v>
      </c>
      <c r="J35" s="53">
        <f t="shared" si="5"/>
        <v>0.25</v>
      </c>
      <c r="K35" s="53">
        <f t="shared" si="5"/>
        <v>0.25</v>
      </c>
      <c r="L35" s="53">
        <f t="shared" si="5"/>
        <v>0.25</v>
      </c>
      <c r="M35" s="53">
        <f t="shared" si="5"/>
        <v>0.25</v>
      </c>
      <c r="N35" s="53">
        <f t="shared" si="5"/>
        <v>0.25</v>
      </c>
      <c r="O35" s="53">
        <f t="shared" si="5"/>
        <v>0.25</v>
      </c>
      <c r="P35" s="53">
        <f t="shared" si="5"/>
        <v>0.25</v>
      </c>
      <c r="Q35" s="34"/>
    </row>
    <row r="36" spans="2:17" x14ac:dyDescent="0.2">
      <c r="B36" s="31" t="s">
        <v>35</v>
      </c>
      <c r="D36" t="str">
        <f>'Agency inputs &amp; final output'!$D$20</f>
        <v>%</v>
      </c>
      <c r="F36" s="40"/>
      <c r="G36" s="51">
        <f>'Agency inputs &amp; final output'!G62</f>
        <v>0.3</v>
      </c>
      <c r="H36" s="40">
        <f t="shared" si="5"/>
        <v>0.3</v>
      </c>
      <c r="I36" s="40">
        <f t="shared" si="5"/>
        <v>0.3</v>
      </c>
      <c r="J36" s="40">
        <f t="shared" si="5"/>
        <v>0.3</v>
      </c>
      <c r="K36" s="40">
        <f t="shared" si="5"/>
        <v>0.3</v>
      </c>
      <c r="L36" s="40">
        <f t="shared" si="5"/>
        <v>0.3</v>
      </c>
      <c r="M36" s="40">
        <f t="shared" si="5"/>
        <v>0.3</v>
      </c>
      <c r="N36" s="40">
        <f t="shared" si="5"/>
        <v>0.3</v>
      </c>
      <c r="O36" s="40">
        <f t="shared" si="5"/>
        <v>0.3</v>
      </c>
      <c r="P36" s="40">
        <f t="shared" si="5"/>
        <v>0.3</v>
      </c>
      <c r="Q36" s="34"/>
    </row>
    <row r="37" spans="2:17" x14ac:dyDescent="0.2">
      <c r="B37" s="31" t="s">
        <v>36</v>
      </c>
      <c r="D37" t="str">
        <f>'Agency inputs &amp; final output'!$D$61</f>
        <v>#</v>
      </c>
      <c r="F37" s="53"/>
      <c r="G37" s="77">
        <f>'Agency inputs &amp; final output'!G63</f>
        <v>0.7</v>
      </c>
      <c r="H37" s="53">
        <f t="shared" si="5"/>
        <v>0.7</v>
      </c>
      <c r="I37" s="53">
        <f t="shared" si="5"/>
        <v>0.7</v>
      </c>
      <c r="J37" s="53">
        <f t="shared" si="5"/>
        <v>0.7</v>
      </c>
      <c r="K37" s="53">
        <f t="shared" si="5"/>
        <v>0.7</v>
      </c>
      <c r="L37" s="53">
        <f t="shared" si="5"/>
        <v>0.7</v>
      </c>
      <c r="M37" s="53">
        <f t="shared" si="5"/>
        <v>0.7</v>
      </c>
      <c r="N37" s="53">
        <f t="shared" si="5"/>
        <v>0.7</v>
      </c>
      <c r="O37" s="53">
        <f t="shared" si="5"/>
        <v>0.7</v>
      </c>
      <c r="P37" s="53">
        <f t="shared" si="5"/>
        <v>0.7</v>
      </c>
      <c r="Q37" s="34"/>
    </row>
    <row r="38" spans="2:17" x14ac:dyDescent="0.2">
      <c r="B38" s="31" t="s">
        <v>39</v>
      </c>
      <c r="D38" t="str">
        <f>'Agency inputs &amp; final output'!$D$20</f>
        <v>%</v>
      </c>
      <c r="F38" s="40"/>
      <c r="G38" s="40">
        <f t="shared" ref="G38:P38" si="6">G29+G32*G37</f>
        <v>8.1299999999999983E-2</v>
      </c>
      <c r="H38" s="40">
        <f t="shared" si="6"/>
        <v>8.0899999999999986E-2</v>
      </c>
      <c r="I38" s="40">
        <f t="shared" si="6"/>
        <v>8.0899999999999986E-2</v>
      </c>
      <c r="J38" s="40">
        <f>J29+J32*J37</f>
        <v>7.9899999999999985E-2</v>
      </c>
      <c r="K38" s="40">
        <f t="shared" si="6"/>
        <v>6.0899999999999989E-2</v>
      </c>
      <c r="L38" s="40">
        <f t="shared" si="6"/>
        <v>6.0899999999999989E-2</v>
      </c>
      <c r="M38" s="40">
        <f t="shared" si="6"/>
        <v>6.0899999999999989E-2</v>
      </c>
      <c r="N38" s="40">
        <f t="shared" si="6"/>
        <v>6.0899999999999989E-2</v>
      </c>
      <c r="O38" s="40">
        <f t="shared" si="6"/>
        <v>6.0899999999999989E-2</v>
      </c>
      <c r="P38" s="40">
        <f t="shared" si="6"/>
        <v>6.0899999999999989E-2</v>
      </c>
      <c r="Q38" s="34"/>
    </row>
    <row r="39" spans="2:17" x14ac:dyDescent="0.2">
      <c r="B39" s="31" t="s">
        <v>40</v>
      </c>
      <c r="D39" t="str">
        <f>'Agency inputs &amp; final output'!$D$20</f>
        <v>%</v>
      </c>
      <c r="F39" s="40"/>
      <c r="G39" s="40">
        <f t="shared" ref="G39:P39" si="7">(1+G38)/(1+G30)-1</f>
        <v>5.6989247311828084E-2</v>
      </c>
      <c r="H39" s="40">
        <f t="shared" si="7"/>
        <v>5.659824046920825E-2</v>
      </c>
      <c r="I39" s="40">
        <f t="shared" si="7"/>
        <v>5.659824046920825E-2</v>
      </c>
      <c r="J39" s="40">
        <f t="shared" si="7"/>
        <v>5.5620723362659108E-2</v>
      </c>
      <c r="K39" s="40">
        <f t="shared" si="7"/>
        <v>3.7047898338220975E-2</v>
      </c>
      <c r="L39" s="40">
        <f t="shared" si="7"/>
        <v>3.7047898338220975E-2</v>
      </c>
      <c r="M39" s="40">
        <f t="shared" si="7"/>
        <v>3.7047898338220975E-2</v>
      </c>
      <c r="N39" s="40">
        <f t="shared" si="7"/>
        <v>3.7047898338220975E-2</v>
      </c>
      <c r="O39" s="40">
        <f t="shared" si="7"/>
        <v>3.7047898338220975E-2</v>
      </c>
      <c r="P39" s="40">
        <f t="shared" si="7"/>
        <v>3.7047898338220975E-2</v>
      </c>
      <c r="Q39" s="34"/>
    </row>
    <row r="40" spans="2:17" x14ac:dyDescent="0.2">
      <c r="B40" s="31" t="s">
        <v>41</v>
      </c>
      <c r="D40" t="str">
        <f>'Agency inputs &amp; final output'!$D$20</f>
        <v>%</v>
      </c>
      <c r="F40" s="40"/>
      <c r="G40" s="40">
        <f t="shared" ref="G40:P40" si="8">G29+G31</f>
        <v>4.4400000000000002E-2</v>
      </c>
      <c r="H40" s="40">
        <f t="shared" si="8"/>
        <v>4.3999999999999997E-2</v>
      </c>
      <c r="I40" s="40">
        <f t="shared" si="8"/>
        <v>4.2999999999999997E-2</v>
      </c>
      <c r="J40" s="40">
        <f t="shared" si="8"/>
        <v>4.0999999999999995E-2</v>
      </c>
      <c r="K40" s="40">
        <f t="shared" si="8"/>
        <v>0</v>
      </c>
      <c r="L40" s="40">
        <f t="shared" si="8"/>
        <v>0</v>
      </c>
      <c r="M40" s="40">
        <f t="shared" si="8"/>
        <v>0</v>
      </c>
      <c r="N40" s="40">
        <f t="shared" si="8"/>
        <v>0</v>
      </c>
      <c r="O40" s="40">
        <f t="shared" si="8"/>
        <v>0</v>
      </c>
      <c r="P40" s="40">
        <f t="shared" si="8"/>
        <v>0</v>
      </c>
      <c r="Q40" s="34"/>
    </row>
    <row r="41" spans="2:17" x14ac:dyDescent="0.2">
      <c r="B41" s="31" t="s">
        <v>42</v>
      </c>
      <c r="D41" t="str">
        <f>'Agency inputs &amp; final output'!$D$20</f>
        <v>%</v>
      </c>
      <c r="F41" s="40"/>
      <c r="G41" s="40">
        <f t="shared" ref="G41:P41" si="9">(1+G40)/(1+G30)-1</f>
        <v>2.0918866080156473E-2</v>
      </c>
      <c r="H41" s="40">
        <f t="shared" si="9"/>
        <v>2.0527859237536861E-2</v>
      </c>
      <c r="I41" s="40">
        <f t="shared" si="9"/>
        <v>1.9550342130987275E-2</v>
      </c>
      <c r="J41" s="40">
        <f t="shared" si="9"/>
        <v>1.7595307917888547E-2</v>
      </c>
      <c r="K41" s="40">
        <f t="shared" si="9"/>
        <v>-2.2482893450635255E-2</v>
      </c>
      <c r="L41" s="40">
        <f t="shared" si="9"/>
        <v>-2.2482893450635255E-2</v>
      </c>
      <c r="M41" s="40">
        <f t="shared" si="9"/>
        <v>-2.2482893450635255E-2</v>
      </c>
      <c r="N41" s="40">
        <f t="shared" si="9"/>
        <v>-2.2482893450635255E-2</v>
      </c>
      <c r="O41" s="40">
        <f t="shared" si="9"/>
        <v>-2.2482893450635255E-2</v>
      </c>
      <c r="P41" s="40">
        <f t="shared" si="9"/>
        <v>-2.2482893450635255E-2</v>
      </c>
      <c r="Q41" s="34"/>
    </row>
    <row r="42" spans="2:17" x14ac:dyDescent="0.2">
      <c r="B42" s="31" t="s">
        <v>27</v>
      </c>
      <c r="D42" t="str">
        <f>'Agency inputs &amp; final output'!$D$20</f>
        <v>%</v>
      </c>
      <c r="F42" s="40"/>
      <c r="G42" s="40">
        <f t="shared" ref="G42:P42" si="10">(G39*G34)+(G41*G33)</f>
        <v>3.5347018572825122E-2</v>
      </c>
      <c r="H42" s="40">
        <f t="shared" si="10"/>
        <v>3.4956011730205419E-2</v>
      </c>
      <c r="I42" s="40">
        <f t="shared" si="10"/>
        <v>3.4369501466275668E-2</v>
      </c>
      <c r="J42" s="40">
        <f t="shared" si="10"/>
        <v>3.2805474095796774E-2</v>
      </c>
      <c r="K42" s="40">
        <f t="shared" si="10"/>
        <v>1.3294232649072382E-3</v>
      </c>
      <c r="L42" s="40">
        <f t="shared" si="10"/>
        <v>1.3294232649072382E-3</v>
      </c>
      <c r="M42" s="40">
        <f t="shared" si="10"/>
        <v>1.3294232649072382E-3</v>
      </c>
      <c r="N42" s="40">
        <f t="shared" si="10"/>
        <v>1.3294232649072382E-3</v>
      </c>
      <c r="O42" s="40">
        <f t="shared" si="10"/>
        <v>1.3294232649072382E-3</v>
      </c>
      <c r="P42" s="40">
        <f t="shared" si="10"/>
        <v>1.3294232649072382E-3</v>
      </c>
      <c r="Q42" s="34"/>
    </row>
    <row r="43" spans="2:17" x14ac:dyDescent="0.2">
      <c r="B43" s="31" t="s">
        <v>64</v>
      </c>
      <c r="D43" t="str">
        <f>'Agency inputs &amp; final output'!$D$20</f>
        <v>%</v>
      </c>
      <c r="F43" s="40"/>
      <c r="G43" s="38">
        <f>(G33*G40)+(G34*G38)</f>
        <v>5.915999999999999E-2</v>
      </c>
      <c r="H43" s="38">
        <f t="shared" ref="H43:P43" si="11">(H33*H40)+(H34*H38)</f>
        <v>5.8759999999999993E-2</v>
      </c>
      <c r="I43" s="38">
        <f t="shared" si="11"/>
        <v>5.8159999999999989E-2</v>
      </c>
      <c r="J43" s="38">
        <f t="shared" si="11"/>
        <v>5.6559999999999992E-2</v>
      </c>
      <c r="K43" s="38">
        <f t="shared" si="11"/>
        <v>2.4359999999999996E-2</v>
      </c>
      <c r="L43" s="38">
        <f t="shared" si="11"/>
        <v>2.4359999999999996E-2</v>
      </c>
      <c r="M43" s="38">
        <f t="shared" si="11"/>
        <v>2.4359999999999996E-2</v>
      </c>
      <c r="N43" s="38">
        <f t="shared" si="11"/>
        <v>2.4359999999999996E-2</v>
      </c>
      <c r="O43" s="38">
        <f t="shared" si="11"/>
        <v>2.4359999999999996E-2</v>
      </c>
      <c r="P43" s="38">
        <f t="shared" si="11"/>
        <v>2.4359999999999996E-2</v>
      </c>
      <c r="Q43" s="34"/>
    </row>
    <row r="44" spans="2:17" x14ac:dyDescent="0.2">
      <c r="B44" s="31"/>
      <c r="F44" s="40"/>
      <c r="G44" s="40"/>
      <c r="H44" s="40"/>
      <c r="I44" s="40"/>
      <c r="J44" s="40"/>
      <c r="K44" s="40"/>
      <c r="L44" s="40"/>
      <c r="M44" s="40"/>
      <c r="N44" s="40"/>
      <c r="O44" s="40"/>
      <c r="P44" s="40"/>
      <c r="Q44" s="34"/>
    </row>
    <row r="45" spans="2:17" ht="12.75" x14ac:dyDescent="0.2">
      <c r="B45" s="72" t="s">
        <v>38</v>
      </c>
      <c r="C45" s="7"/>
      <c r="F45" s="40"/>
      <c r="G45" s="40"/>
      <c r="H45" s="40"/>
      <c r="I45" s="40"/>
      <c r="J45" s="40"/>
      <c r="K45" s="40"/>
      <c r="L45" s="40"/>
      <c r="M45" s="40"/>
      <c r="N45" s="40"/>
      <c r="O45" s="40"/>
      <c r="P45" s="40"/>
      <c r="Q45" s="34"/>
    </row>
    <row r="46" spans="2:17" x14ac:dyDescent="0.2">
      <c r="B46" s="31" t="s">
        <v>28</v>
      </c>
      <c r="D46" t="str">
        <f>'Agency inputs &amp; final output'!$D$20</f>
        <v>%</v>
      </c>
      <c r="F46" s="40"/>
      <c r="G46" s="40">
        <f>'Agency inputs &amp; final output'!G66</f>
        <v>3.5999999999999997E-2</v>
      </c>
      <c r="H46" s="40">
        <f>'Agency inputs &amp; final output'!H66</f>
        <v>3.1E-2</v>
      </c>
      <c r="I46" s="40">
        <f>'Agency inputs &amp; final output'!I66</f>
        <v>2.7E-2</v>
      </c>
      <c r="J46" s="40">
        <f>'Agency inputs &amp; final output'!J66</f>
        <v>0.02</v>
      </c>
      <c r="K46" s="40">
        <f>'Agency inputs &amp; final output'!K66</f>
        <v>0</v>
      </c>
      <c r="L46" s="40">
        <f>'Agency inputs &amp; final output'!L66</f>
        <v>0</v>
      </c>
      <c r="M46" s="40">
        <f>'Agency inputs &amp; final output'!M66</f>
        <v>0</v>
      </c>
      <c r="N46" s="40">
        <f>'Agency inputs &amp; final output'!N66</f>
        <v>0</v>
      </c>
      <c r="O46" s="40">
        <f>'Agency inputs &amp; final output'!O66</f>
        <v>0</v>
      </c>
      <c r="P46" s="40">
        <f>'Agency inputs &amp; final output'!P66</f>
        <v>0</v>
      </c>
      <c r="Q46" s="34"/>
    </row>
    <row r="47" spans="2:17" x14ac:dyDescent="0.2">
      <c r="B47" s="31" t="s">
        <v>29</v>
      </c>
      <c r="D47" t="str">
        <f>'Agency inputs &amp; final output'!$D$20</f>
        <v>%</v>
      </c>
      <c r="F47" s="40"/>
      <c r="G47" s="51">
        <f>'Agency inputs &amp; final output'!G67</f>
        <v>2.3E-2</v>
      </c>
      <c r="H47" s="40">
        <f>$G47</f>
        <v>2.3E-2</v>
      </c>
      <c r="I47" s="40">
        <f t="shared" ref="I47:P47" si="12">$G47</f>
        <v>2.3E-2</v>
      </c>
      <c r="J47" s="40">
        <f t="shared" si="12"/>
        <v>2.3E-2</v>
      </c>
      <c r="K47" s="40">
        <f t="shared" si="12"/>
        <v>2.3E-2</v>
      </c>
      <c r="L47" s="40">
        <f t="shared" si="12"/>
        <v>2.3E-2</v>
      </c>
      <c r="M47" s="40">
        <f t="shared" si="12"/>
        <v>2.3E-2</v>
      </c>
      <c r="N47" s="40">
        <f t="shared" si="12"/>
        <v>2.3E-2</v>
      </c>
      <c r="O47" s="40">
        <f t="shared" si="12"/>
        <v>2.3E-2</v>
      </c>
      <c r="P47" s="40">
        <f t="shared" si="12"/>
        <v>2.3E-2</v>
      </c>
      <c r="Q47" s="34"/>
    </row>
    <row r="48" spans="2:17" x14ac:dyDescent="0.2">
      <c r="B48" s="31" t="s">
        <v>30</v>
      </c>
      <c r="D48" t="str">
        <f>'Agency inputs &amp; final output'!$D$20</f>
        <v>%</v>
      </c>
      <c r="F48" s="40"/>
      <c r="G48" s="40">
        <f>'Agency inputs &amp; final output'!G68</f>
        <v>2.5999999999999999E-2</v>
      </c>
      <c r="H48" s="40">
        <f>'Agency inputs &amp; final output'!H68</f>
        <v>2.5999999999999999E-2</v>
      </c>
      <c r="I48" s="40">
        <f>'Agency inputs &amp; final output'!I68</f>
        <v>2.5000000000000001E-2</v>
      </c>
      <c r="J48" s="40">
        <f>'Agency inputs &amp; final output'!J68</f>
        <v>0.02</v>
      </c>
      <c r="K48" s="40">
        <f>'Agency inputs &amp; final output'!K68</f>
        <v>0</v>
      </c>
      <c r="L48" s="40">
        <f>'Agency inputs &amp; final output'!L68</f>
        <v>0</v>
      </c>
      <c r="M48" s="40">
        <f>'Agency inputs &amp; final output'!M68</f>
        <v>0</v>
      </c>
      <c r="N48" s="40">
        <f>'Agency inputs &amp; final output'!N68</f>
        <v>0</v>
      </c>
      <c r="O48" s="40">
        <f>'Agency inputs &amp; final output'!O68</f>
        <v>0</v>
      </c>
      <c r="P48" s="40">
        <f>'Agency inputs &amp; final output'!P68</f>
        <v>0</v>
      </c>
      <c r="Q48" s="34"/>
    </row>
    <row r="49" spans="2:17" x14ac:dyDescent="0.2">
      <c r="B49" s="31" t="s">
        <v>31</v>
      </c>
      <c r="D49" t="str">
        <f>'Agency inputs &amp; final output'!$D$20</f>
        <v>%</v>
      </c>
      <c r="F49" s="40"/>
      <c r="G49" s="51">
        <f>'Agency inputs &amp; final output'!G69</f>
        <v>0.06</v>
      </c>
      <c r="H49" s="40">
        <f t="shared" ref="H49:P49" si="13">$G49</f>
        <v>0.06</v>
      </c>
      <c r="I49" s="40">
        <f t="shared" si="13"/>
        <v>0.06</v>
      </c>
      <c r="J49" s="40">
        <f t="shared" si="13"/>
        <v>0.06</v>
      </c>
      <c r="K49" s="40">
        <f t="shared" si="13"/>
        <v>0.06</v>
      </c>
      <c r="L49" s="40">
        <f t="shared" si="13"/>
        <v>0.06</v>
      </c>
      <c r="M49" s="40">
        <f t="shared" si="13"/>
        <v>0.06</v>
      </c>
      <c r="N49" s="40">
        <f t="shared" si="13"/>
        <v>0.06</v>
      </c>
      <c r="O49" s="40">
        <f t="shared" si="13"/>
        <v>0.06</v>
      </c>
      <c r="P49" s="40">
        <f t="shared" si="13"/>
        <v>0.06</v>
      </c>
      <c r="Q49" s="34"/>
    </row>
    <row r="50" spans="2:17" x14ac:dyDescent="0.2">
      <c r="B50" s="31" t="s">
        <v>32</v>
      </c>
      <c r="D50" t="str">
        <f>'Agency inputs &amp; final output'!$D$20</f>
        <v>%</v>
      </c>
      <c r="F50" s="40"/>
      <c r="G50" s="51">
        <f>'Agency inputs &amp; final output'!G70</f>
        <v>0.6</v>
      </c>
      <c r="H50" s="40">
        <f t="shared" ref="H50:P54" si="14">$G50</f>
        <v>0.6</v>
      </c>
      <c r="I50" s="40">
        <f t="shared" si="14"/>
        <v>0.6</v>
      </c>
      <c r="J50" s="40">
        <f t="shared" si="14"/>
        <v>0.6</v>
      </c>
      <c r="K50" s="40">
        <f t="shared" si="14"/>
        <v>0.6</v>
      </c>
      <c r="L50" s="40">
        <f t="shared" si="14"/>
        <v>0.6</v>
      </c>
      <c r="M50" s="40">
        <f t="shared" si="14"/>
        <v>0.6</v>
      </c>
      <c r="N50" s="40">
        <f t="shared" si="14"/>
        <v>0.6</v>
      </c>
      <c r="O50" s="40">
        <f t="shared" si="14"/>
        <v>0.6</v>
      </c>
      <c r="P50" s="40">
        <f t="shared" si="14"/>
        <v>0.6</v>
      </c>
      <c r="Q50" s="34"/>
    </row>
    <row r="51" spans="2:17" x14ac:dyDescent="0.2">
      <c r="B51" s="31" t="s">
        <v>33</v>
      </c>
      <c r="D51" t="str">
        <f>'Agency inputs &amp; final output'!$D$20</f>
        <v>%</v>
      </c>
      <c r="F51" s="40"/>
      <c r="G51" s="51">
        <f>'Agency inputs &amp; final output'!G71</f>
        <v>0.4</v>
      </c>
      <c r="H51" s="40">
        <f t="shared" si="14"/>
        <v>0.4</v>
      </c>
      <c r="I51" s="40">
        <f t="shared" si="14"/>
        <v>0.4</v>
      </c>
      <c r="J51" s="40">
        <f t="shared" si="14"/>
        <v>0.4</v>
      </c>
      <c r="K51" s="40">
        <f t="shared" si="14"/>
        <v>0.4</v>
      </c>
      <c r="L51" s="40">
        <f t="shared" si="14"/>
        <v>0.4</v>
      </c>
      <c r="M51" s="40">
        <f t="shared" si="14"/>
        <v>0.4</v>
      </c>
      <c r="N51" s="40">
        <f t="shared" si="14"/>
        <v>0.4</v>
      </c>
      <c r="O51" s="40">
        <f t="shared" si="14"/>
        <v>0.4</v>
      </c>
      <c r="P51" s="40">
        <f t="shared" si="14"/>
        <v>0.4</v>
      </c>
      <c r="Q51" s="34"/>
    </row>
    <row r="52" spans="2:17" x14ac:dyDescent="0.2">
      <c r="B52" s="31" t="s">
        <v>34</v>
      </c>
      <c r="D52" t="str">
        <f>'Agency inputs &amp; final output'!$D$61</f>
        <v>#</v>
      </c>
      <c r="F52" s="53"/>
      <c r="G52" s="77">
        <f>'Agency inputs &amp; final output'!G72</f>
        <v>0.25</v>
      </c>
      <c r="H52" s="53">
        <f t="shared" si="14"/>
        <v>0.25</v>
      </c>
      <c r="I52" s="53">
        <f t="shared" si="14"/>
        <v>0.25</v>
      </c>
      <c r="J52" s="53">
        <f t="shared" si="14"/>
        <v>0.25</v>
      </c>
      <c r="K52" s="53">
        <f t="shared" si="14"/>
        <v>0.25</v>
      </c>
      <c r="L52" s="53">
        <f t="shared" si="14"/>
        <v>0.25</v>
      </c>
      <c r="M52" s="53">
        <f t="shared" si="14"/>
        <v>0.25</v>
      </c>
      <c r="N52" s="53">
        <f t="shared" si="14"/>
        <v>0.25</v>
      </c>
      <c r="O52" s="53">
        <f t="shared" si="14"/>
        <v>0.25</v>
      </c>
      <c r="P52" s="53">
        <f t="shared" si="14"/>
        <v>0.25</v>
      </c>
      <c r="Q52" s="34"/>
    </row>
    <row r="53" spans="2:17" x14ac:dyDescent="0.2">
      <c r="B53" s="31" t="s">
        <v>35</v>
      </c>
      <c r="D53" t="str">
        <f>'Agency inputs &amp; final output'!$D$20</f>
        <v>%</v>
      </c>
      <c r="F53" s="40"/>
      <c r="G53" s="51">
        <f>'Agency inputs &amp; final output'!G73</f>
        <v>0.3</v>
      </c>
      <c r="H53" s="40">
        <f t="shared" si="14"/>
        <v>0.3</v>
      </c>
      <c r="I53" s="40">
        <f t="shared" si="14"/>
        <v>0.3</v>
      </c>
      <c r="J53" s="40">
        <f t="shared" si="14"/>
        <v>0.3</v>
      </c>
      <c r="K53" s="40">
        <f t="shared" si="14"/>
        <v>0.3</v>
      </c>
      <c r="L53" s="40">
        <f t="shared" si="14"/>
        <v>0.3</v>
      </c>
      <c r="M53" s="40">
        <f t="shared" si="14"/>
        <v>0.3</v>
      </c>
      <c r="N53" s="40">
        <f t="shared" si="14"/>
        <v>0.3</v>
      </c>
      <c r="O53" s="40">
        <f t="shared" si="14"/>
        <v>0.3</v>
      </c>
      <c r="P53" s="40">
        <f t="shared" si="14"/>
        <v>0.3</v>
      </c>
      <c r="Q53" s="34"/>
    </row>
    <row r="54" spans="2:17" x14ac:dyDescent="0.2">
      <c r="B54" s="31" t="s">
        <v>36</v>
      </c>
      <c r="D54" t="str">
        <f>'Agency inputs &amp; final output'!$D$61</f>
        <v>#</v>
      </c>
      <c r="F54" s="53"/>
      <c r="G54" s="77">
        <f>'Agency inputs &amp; final output'!G74</f>
        <v>0.7</v>
      </c>
      <c r="H54" s="53">
        <f t="shared" si="14"/>
        <v>0.7</v>
      </c>
      <c r="I54" s="53">
        <f t="shared" si="14"/>
        <v>0.7</v>
      </c>
      <c r="J54" s="53">
        <f t="shared" si="14"/>
        <v>0.7</v>
      </c>
      <c r="K54" s="53">
        <f t="shared" si="14"/>
        <v>0.7</v>
      </c>
      <c r="L54" s="53">
        <f t="shared" si="14"/>
        <v>0.7</v>
      </c>
      <c r="M54" s="53">
        <f t="shared" si="14"/>
        <v>0.7</v>
      </c>
      <c r="N54" s="53">
        <f t="shared" si="14"/>
        <v>0.7</v>
      </c>
      <c r="O54" s="53">
        <f t="shared" si="14"/>
        <v>0.7</v>
      </c>
      <c r="P54" s="53">
        <f t="shared" si="14"/>
        <v>0.7</v>
      </c>
      <c r="Q54" s="34"/>
    </row>
    <row r="55" spans="2:17" x14ac:dyDescent="0.2">
      <c r="B55" s="31" t="s">
        <v>39</v>
      </c>
      <c r="D55" t="str">
        <f>'Agency inputs &amp; final output'!$D$20</f>
        <v>%</v>
      </c>
      <c r="F55" s="40"/>
      <c r="G55" s="40">
        <f t="shared" ref="G55:P55" si="15">G46+G49*G54</f>
        <v>7.7999999999999986E-2</v>
      </c>
      <c r="H55" s="40">
        <f t="shared" si="15"/>
        <v>7.2999999999999995E-2</v>
      </c>
      <c r="I55" s="40">
        <f t="shared" si="15"/>
        <v>6.8999999999999992E-2</v>
      </c>
      <c r="J55" s="40">
        <f t="shared" si="15"/>
        <v>6.2E-2</v>
      </c>
      <c r="K55" s="40">
        <f t="shared" si="15"/>
        <v>4.1999999999999996E-2</v>
      </c>
      <c r="L55" s="40">
        <f t="shared" si="15"/>
        <v>4.1999999999999996E-2</v>
      </c>
      <c r="M55" s="40">
        <f t="shared" si="15"/>
        <v>4.1999999999999996E-2</v>
      </c>
      <c r="N55" s="40">
        <f t="shared" si="15"/>
        <v>4.1999999999999996E-2</v>
      </c>
      <c r="O55" s="40">
        <f t="shared" si="15"/>
        <v>4.1999999999999996E-2</v>
      </c>
      <c r="P55" s="40">
        <f t="shared" si="15"/>
        <v>4.1999999999999996E-2</v>
      </c>
      <c r="Q55" s="34"/>
    </row>
    <row r="56" spans="2:17" x14ac:dyDescent="0.2">
      <c r="B56" s="31" t="s">
        <v>40</v>
      </c>
      <c r="D56" t="str">
        <f>'Agency inputs &amp; final output'!$D$20</f>
        <v>%</v>
      </c>
      <c r="F56" s="40"/>
      <c r="G56" s="40">
        <f t="shared" ref="G56:P56" si="16">(1+G55)/(1+G47)-1</f>
        <v>5.3763440860215228E-2</v>
      </c>
      <c r="H56" s="40">
        <f t="shared" si="16"/>
        <v>4.8875855327468187E-2</v>
      </c>
      <c r="I56" s="40">
        <f t="shared" si="16"/>
        <v>4.4965786901270732E-2</v>
      </c>
      <c r="J56" s="40">
        <f t="shared" si="16"/>
        <v>3.8123167155425408E-2</v>
      </c>
      <c r="K56" s="40">
        <f t="shared" si="16"/>
        <v>1.8572825024438133E-2</v>
      </c>
      <c r="L56" s="40">
        <f t="shared" si="16"/>
        <v>1.8572825024438133E-2</v>
      </c>
      <c r="M56" s="40">
        <f t="shared" si="16"/>
        <v>1.8572825024438133E-2</v>
      </c>
      <c r="N56" s="40">
        <f t="shared" si="16"/>
        <v>1.8572825024438133E-2</v>
      </c>
      <c r="O56" s="40">
        <f t="shared" si="16"/>
        <v>1.8572825024438133E-2</v>
      </c>
      <c r="P56" s="40">
        <f t="shared" si="16"/>
        <v>1.8572825024438133E-2</v>
      </c>
      <c r="Q56" s="34"/>
    </row>
    <row r="57" spans="2:17" x14ac:dyDescent="0.2">
      <c r="B57" s="31" t="s">
        <v>41</v>
      </c>
      <c r="D57" t="str">
        <f>'Agency inputs &amp; final output'!$D$20</f>
        <v>%</v>
      </c>
      <c r="F57" s="40"/>
      <c r="G57" s="40">
        <f t="shared" ref="G57:P57" si="17">G46+G48</f>
        <v>6.2E-2</v>
      </c>
      <c r="H57" s="40">
        <f t="shared" si="17"/>
        <v>5.6999999999999995E-2</v>
      </c>
      <c r="I57" s="40">
        <f t="shared" si="17"/>
        <v>5.2000000000000005E-2</v>
      </c>
      <c r="J57" s="40">
        <f t="shared" si="17"/>
        <v>0.04</v>
      </c>
      <c r="K57" s="40">
        <f t="shared" si="17"/>
        <v>0</v>
      </c>
      <c r="L57" s="40">
        <f t="shared" si="17"/>
        <v>0</v>
      </c>
      <c r="M57" s="40">
        <f t="shared" si="17"/>
        <v>0</v>
      </c>
      <c r="N57" s="40">
        <f t="shared" si="17"/>
        <v>0</v>
      </c>
      <c r="O57" s="40">
        <f t="shared" si="17"/>
        <v>0</v>
      </c>
      <c r="P57" s="40">
        <f t="shared" si="17"/>
        <v>0</v>
      </c>
      <c r="Q57" s="34"/>
    </row>
    <row r="58" spans="2:17" x14ac:dyDescent="0.2">
      <c r="B58" s="31" t="s">
        <v>42</v>
      </c>
      <c r="D58" t="str">
        <f>'Agency inputs &amp; final output'!$D$20</f>
        <v>%</v>
      </c>
      <c r="F58" s="40"/>
      <c r="G58" s="40">
        <f t="shared" ref="G58:P58" si="18">(1+G57)/(1+G47)-1</f>
        <v>3.8123167155425408E-2</v>
      </c>
      <c r="H58" s="40">
        <f t="shared" si="18"/>
        <v>3.3235581622678367E-2</v>
      </c>
      <c r="I58" s="40">
        <f t="shared" si="18"/>
        <v>2.8347996089931771E-2</v>
      </c>
      <c r="J58" s="40">
        <f t="shared" si="18"/>
        <v>1.6617790811339406E-2</v>
      </c>
      <c r="K58" s="40">
        <f t="shared" si="18"/>
        <v>-2.2482893450635255E-2</v>
      </c>
      <c r="L58" s="40">
        <f t="shared" si="18"/>
        <v>-2.2482893450635255E-2</v>
      </c>
      <c r="M58" s="40">
        <f t="shared" si="18"/>
        <v>-2.2482893450635255E-2</v>
      </c>
      <c r="N58" s="40">
        <f t="shared" si="18"/>
        <v>-2.2482893450635255E-2</v>
      </c>
      <c r="O58" s="40">
        <f t="shared" si="18"/>
        <v>-2.2482893450635255E-2</v>
      </c>
      <c r="P58" s="40">
        <f t="shared" si="18"/>
        <v>-2.2482893450635255E-2</v>
      </c>
      <c r="Q58" s="34"/>
    </row>
    <row r="59" spans="2:17" x14ac:dyDescent="0.2">
      <c r="B59" s="31" t="s">
        <v>27</v>
      </c>
      <c r="D59" t="str">
        <f>'Agency inputs &amp; final output'!$D$20</f>
        <v>%</v>
      </c>
      <c r="F59" s="40"/>
      <c r="G59" s="40">
        <f t="shared" ref="G59:P59" si="19">(G56*G51)+(G58*G50)</f>
        <v>4.4379276637341342E-2</v>
      </c>
      <c r="H59" s="40">
        <f t="shared" si="19"/>
        <v>3.9491691104594294E-2</v>
      </c>
      <c r="I59" s="40">
        <f t="shared" si="19"/>
        <v>3.4995112414467358E-2</v>
      </c>
      <c r="J59" s="40">
        <f t="shared" si="19"/>
        <v>2.5219941348973807E-2</v>
      </c>
      <c r="K59" s="40">
        <f t="shared" si="19"/>
        <v>-6.0606060606058993E-3</v>
      </c>
      <c r="L59" s="40">
        <f t="shared" si="19"/>
        <v>-6.0606060606058993E-3</v>
      </c>
      <c r="M59" s="40">
        <f t="shared" si="19"/>
        <v>-6.0606060606058993E-3</v>
      </c>
      <c r="N59" s="40">
        <f t="shared" si="19"/>
        <v>-6.0606060606058993E-3</v>
      </c>
      <c r="O59" s="40">
        <f t="shared" si="19"/>
        <v>-6.0606060606058993E-3</v>
      </c>
      <c r="P59" s="40">
        <f t="shared" si="19"/>
        <v>-6.0606060606058993E-3</v>
      </c>
      <c r="Q59" s="34"/>
    </row>
    <row r="60" spans="2:17" x14ac:dyDescent="0.2">
      <c r="B60" s="31" t="s">
        <v>64</v>
      </c>
      <c r="D60" t="str">
        <f>'Agency inputs &amp; final output'!$D$20</f>
        <v>%</v>
      </c>
      <c r="F60" s="40"/>
      <c r="G60" s="38">
        <f>(G50*G57)+(G51*G55)</f>
        <v>6.8399999999999989E-2</v>
      </c>
      <c r="H60" s="38">
        <f t="shared" ref="H60:P60" si="20">(H50*H57)+(H51*H55)</f>
        <v>6.3399999999999998E-2</v>
      </c>
      <c r="I60" s="38">
        <f t="shared" si="20"/>
        <v>5.8800000000000005E-2</v>
      </c>
      <c r="J60" s="38">
        <f t="shared" si="20"/>
        <v>4.8800000000000003E-2</v>
      </c>
      <c r="K60" s="38">
        <f t="shared" si="20"/>
        <v>1.6799999999999999E-2</v>
      </c>
      <c r="L60" s="38">
        <f t="shared" si="20"/>
        <v>1.6799999999999999E-2</v>
      </c>
      <c r="M60" s="38">
        <f t="shared" si="20"/>
        <v>1.6799999999999999E-2</v>
      </c>
      <c r="N60" s="38">
        <f t="shared" si="20"/>
        <v>1.6799999999999999E-2</v>
      </c>
      <c r="O60" s="38">
        <f t="shared" si="20"/>
        <v>1.6799999999999999E-2</v>
      </c>
      <c r="P60" s="38">
        <f t="shared" si="20"/>
        <v>1.6799999999999999E-2</v>
      </c>
      <c r="Q60" s="34"/>
    </row>
    <row r="61" spans="2:17" x14ac:dyDescent="0.2">
      <c r="B61" s="35"/>
      <c r="C61" s="27"/>
      <c r="D61" s="27"/>
      <c r="E61" s="27"/>
      <c r="F61" s="27"/>
      <c r="G61" s="27"/>
      <c r="H61" s="27"/>
      <c r="I61" s="27"/>
      <c r="J61" s="27"/>
      <c r="K61" s="27"/>
      <c r="L61" s="27"/>
      <c r="M61" s="27"/>
      <c r="N61" s="27"/>
      <c r="O61" s="27"/>
      <c r="P61" s="27"/>
      <c r="Q61" s="36"/>
    </row>
    <row r="62" spans="2:17" ht="15" x14ac:dyDescent="0.25">
      <c r="B62" s="25"/>
      <c r="C62" s="25"/>
    </row>
    <row r="63" spans="2:17" ht="15" x14ac:dyDescent="0.25">
      <c r="B63" s="25"/>
      <c r="C63" s="25"/>
    </row>
    <row r="64" spans="2:17" ht="15" x14ac:dyDescent="0.25">
      <c r="B64" s="25" t="str">
        <f>B8</f>
        <v>Table 2.3 - WACC and Cost of Debt estimates</v>
      </c>
      <c r="C64" s="25"/>
    </row>
    <row r="65" spans="2:17" x14ac:dyDescent="0.2">
      <c r="B65" s="90" t="s">
        <v>56</v>
      </c>
      <c r="C65" s="90"/>
    </row>
    <row r="66" spans="2:17" x14ac:dyDescent="0.2">
      <c r="B66" s="65" t="str">
        <f>'Agency inputs &amp; final output'!B$26</f>
        <v>Year ending 30 Jun</v>
      </c>
      <c r="C66" s="66"/>
      <c r="D66" s="66" t="str">
        <f>'Agency inputs &amp; final output'!D$26</f>
        <v>Units</v>
      </c>
      <c r="E66" s="49"/>
      <c r="F66" s="66"/>
      <c r="G66" s="94">
        <f>'Agency inputs &amp; final output'!G$26</f>
        <v>44012</v>
      </c>
      <c r="H66" s="94">
        <f>'Agency inputs &amp; final output'!H$26</f>
        <v>44377</v>
      </c>
      <c r="I66" s="94">
        <f>'Agency inputs &amp; final output'!I$26</f>
        <v>44742</v>
      </c>
      <c r="J66" s="94">
        <f>'Agency inputs &amp; final output'!J$26</f>
        <v>45107</v>
      </c>
      <c r="K66" s="94">
        <f>'Agency inputs &amp; final output'!K$26</f>
        <v>45473</v>
      </c>
      <c r="L66" s="94">
        <f>'Agency inputs &amp; final output'!L$26</f>
        <v>45838</v>
      </c>
      <c r="M66" s="94">
        <f>'Agency inputs &amp; final output'!M$26</f>
        <v>46203</v>
      </c>
      <c r="N66" s="94">
        <f>'Agency inputs &amp; final output'!N$26</f>
        <v>46568</v>
      </c>
      <c r="O66" s="94">
        <f>'Agency inputs &amp; final output'!O$26</f>
        <v>46934</v>
      </c>
      <c r="P66" s="94">
        <f>'Agency inputs &amp; final output'!P$26</f>
        <v>47299</v>
      </c>
      <c r="Q66" s="30"/>
    </row>
    <row r="67" spans="2:17" x14ac:dyDescent="0.2">
      <c r="B67" s="52"/>
      <c r="C67" s="7"/>
      <c r="Q67" s="34"/>
    </row>
    <row r="68" spans="2:17" x14ac:dyDescent="0.2">
      <c r="B68" s="52" t="s">
        <v>62</v>
      </c>
      <c r="C68" s="7"/>
      <c r="Q68" s="34"/>
    </row>
    <row r="69" spans="2:17" x14ac:dyDescent="0.2">
      <c r="B69" s="31" t="s">
        <v>44</v>
      </c>
      <c r="D69" t="str">
        <f>'Agency inputs &amp; final output'!$D$20</f>
        <v>%</v>
      </c>
      <c r="F69" s="38"/>
      <c r="G69" s="38">
        <f t="shared" ref="G69:P69" si="21">MIN(G42,G59)</f>
        <v>3.5347018572825122E-2</v>
      </c>
      <c r="H69" s="38">
        <f t="shared" si="21"/>
        <v>3.4956011730205419E-2</v>
      </c>
      <c r="I69" s="38">
        <f t="shared" si="21"/>
        <v>3.4369501466275668E-2</v>
      </c>
      <c r="J69" s="38">
        <f t="shared" si="21"/>
        <v>2.5219941348973807E-2</v>
      </c>
      <c r="K69" s="38">
        <f t="shared" si="21"/>
        <v>-6.0606060606058993E-3</v>
      </c>
      <c r="L69" s="38">
        <f t="shared" si="21"/>
        <v>-6.0606060606058993E-3</v>
      </c>
      <c r="M69" s="38">
        <f t="shared" si="21"/>
        <v>-6.0606060606058993E-3</v>
      </c>
      <c r="N69" s="38">
        <f t="shared" si="21"/>
        <v>-6.0606060606058993E-3</v>
      </c>
      <c r="O69" s="38">
        <f t="shared" si="21"/>
        <v>-6.0606060606058993E-3</v>
      </c>
      <c r="P69" s="38">
        <f t="shared" si="21"/>
        <v>-6.0606060606058993E-3</v>
      </c>
      <c r="Q69" s="34"/>
    </row>
    <row r="70" spans="2:17" ht="12" customHeight="1" x14ac:dyDescent="0.2">
      <c r="B70" s="31" t="s">
        <v>43</v>
      </c>
      <c r="D70" t="str">
        <f>'Agency inputs &amp; final output'!$D$20</f>
        <v>%</v>
      </c>
      <c r="F70" s="38"/>
      <c r="G70" s="38">
        <f>ROUND(AVERAGE(G69,G71),3)</f>
        <v>0.04</v>
      </c>
      <c r="H70" s="38">
        <f t="shared" ref="H70:P70" si="22">ROUND(AVERAGE(H69,H71),3)</f>
        <v>3.6999999999999998E-2</v>
      </c>
      <c r="I70" s="38">
        <f t="shared" si="22"/>
        <v>3.5000000000000003E-2</v>
      </c>
      <c r="J70" s="38">
        <f t="shared" si="22"/>
        <v>2.9000000000000001E-2</v>
      </c>
      <c r="K70" s="38">
        <f t="shared" si="22"/>
        <v>-2E-3</v>
      </c>
      <c r="L70" s="38">
        <f t="shared" si="22"/>
        <v>-2E-3</v>
      </c>
      <c r="M70" s="38">
        <f t="shared" si="22"/>
        <v>-2E-3</v>
      </c>
      <c r="N70" s="38">
        <f t="shared" si="22"/>
        <v>-2E-3</v>
      </c>
      <c r="O70" s="38">
        <f t="shared" si="22"/>
        <v>-2E-3</v>
      </c>
      <c r="P70" s="38">
        <f t="shared" si="22"/>
        <v>-2E-3</v>
      </c>
      <c r="Q70" s="34"/>
    </row>
    <row r="71" spans="2:17" x14ac:dyDescent="0.2">
      <c r="B71" s="31" t="s">
        <v>45</v>
      </c>
      <c r="D71" t="str">
        <f>'Agency inputs &amp; final output'!$D$20</f>
        <v>%</v>
      </c>
      <c r="F71" s="38"/>
      <c r="G71" s="38">
        <f>MAX(G42,G59)</f>
        <v>4.4379276637341342E-2</v>
      </c>
      <c r="H71" s="38">
        <f t="shared" ref="H71:P71" si="23">MAX(H42,H59)</f>
        <v>3.9491691104594294E-2</v>
      </c>
      <c r="I71" s="38">
        <f t="shared" si="23"/>
        <v>3.4995112414467358E-2</v>
      </c>
      <c r="J71" s="38">
        <f t="shared" si="23"/>
        <v>3.2805474095796774E-2</v>
      </c>
      <c r="K71" s="38">
        <f t="shared" si="23"/>
        <v>1.3294232649072382E-3</v>
      </c>
      <c r="L71" s="38">
        <f t="shared" si="23"/>
        <v>1.3294232649072382E-3</v>
      </c>
      <c r="M71" s="38">
        <f t="shared" si="23"/>
        <v>1.3294232649072382E-3</v>
      </c>
      <c r="N71" s="38">
        <f t="shared" si="23"/>
        <v>1.3294232649072382E-3</v>
      </c>
      <c r="O71" s="38">
        <f t="shared" si="23"/>
        <v>1.3294232649072382E-3</v>
      </c>
      <c r="P71" s="38">
        <f t="shared" si="23"/>
        <v>1.3294232649072382E-3</v>
      </c>
      <c r="Q71" s="34"/>
    </row>
    <row r="72" spans="2:17" x14ac:dyDescent="0.2">
      <c r="B72" s="67" t="s">
        <v>66</v>
      </c>
      <c r="C72" s="68"/>
      <c r="D72" s="68"/>
      <c r="E72" s="68"/>
      <c r="F72" s="69"/>
      <c r="G72" s="69">
        <f>G70-'Agency inputs &amp; final output'!$F20</f>
        <v>0</v>
      </c>
      <c r="H72" s="69"/>
      <c r="I72" s="69"/>
      <c r="J72" s="69"/>
      <c r="K72" s="69"/>
      <c r="L72" s="69"/>
      <c r="M72" s="69"/>
      <c r="N72" s="69"/>
      <c r="O72" s="69"/>
      <c r="P72" s="69"/>
      <c r="Q72" s="34"/>
    </row>
    <row r="73" spans="2:17" x14ac:dyDescent="0.2">
      <c r="B73" s="67"/>
      <c r="C73" s="68"/>
      <c r="D73" s="68"/>
      <c r="E73" s="68"/>
      <c r="F73" s="69"/>
      <c r="Q73" s="34"/>
    </row>
    <row r="74" spans="2:17" x14ac:dyDescent="0.2">
      <c r="B74" s="52" t="s">
        <v>42</v>
      </c>
      <c r="C74" s="68"/>
      <c r="D74" s="68"/>
      <c r="E74" s="68"/>
      <c r="F74" s="69"/>
      <c r="Q74" s="34"/>
    </row>
    <row r="75" spans="2:17" x14ac:dyDescent="0.2">
      <c r="B75" s="31" t="s">
        <v>44</v>
      </c>
      <c r="C75" s="68"/>
      <c r="D75" t="str">
        <f>'Agency inputs &amp; final output'!$D$20</f>
        <v>%</v>
      </c>
      <c r="E75" s="68"/>
      <c r="F75" s="69"/>
      <c r="G75" s="38">
        <f t="shared" ref="G75:P75" si="24">MIN(G41,G58)</f>
        <v>2.0918866080156473E-2</v>
      </c>
      <c r="H75" s="38">
        <f t="shared" si="24"/>
        <v>2.0527859237536861E-2</v>
      </c>
      <c r="I75" s="38">
        <f t="shared" si="24"/>
        <v>1.9550342130987275E-2</v>
      </c>
      <c r="J75" s="38">
        <f t="shared" si="24"/>
        <v>1.6617790811339406E-2</v>
      </c>
      <c r="K75" s="38">
        <f t="shared" si="24"/>
        <v>-2.2482893450635255E-2</v>
      </c>
      <c r="L75" s="38">
        <f t="shared" si="24"/>
        <v>-2.2482893450635255E-2</v>
      </c>
      <c r="M75" s="38">
        <f t="shared" si="24"/>
        <v>-2.2482893450635255E-2</v>
      </c>
      <c r="N75" s="38">
        <f t="shared" si="24"/>
        <v>-2.2482893450635255E-2</v>
      </c>
      <c r="O75" s="38">
        <f t="shared" si="24"/>
        <v>-2.2482893450635255E-2</v>
      </c>
      <c r="P75" s="38">
        <f t="shared" si="24"/>
        <v>-2.2482893450635255E-2</v>
      </c>
      <c r="Q75" s="34"/>
    </row>
    <row r="76" spans="2:17" x14ac:dyDescent="0.2">
      <c r="B76" s="31" t="s">
        <v>43</v>
      </c>
      <c r="C76" s="68"/>
      <c r="D76" t="str">
        <f>'Agency inputs &amp; final output'!$D$20</f>
        <v>%</v>
      </c>
      <c r="E76" s="68"/>
      <c r="F76" s="69"/>
      <c r="G76" s="38">
        <f t="shared" ref="G76:P76" si="25">ROUND(AVERAGE(G75,G77),3)</f>
        <v>0.03</v>
      </c>
      <c r="H76" s="38">
        <f t="shared" si="25"/>
        <v>2.7E-2</v>
      </c>
      <c r="I76" s="38">
        <f t="shared" si="25"/>
        <v>2.4E-2</v>
      </c>
      <c r="J76" s="38">
        <f t="shared" si="25"/>
        <v>1.7000000000000001E-2</v>
      </c>
      <c r="K76" s="38">
        <f t="shared" si="25"/>
        <v>-2.1999999999999999E-2</v>
      </c>
      <c r="L76" s="38">
        <f t="shared" si="25"/>
        <v>-2.1999999999999999E-2</v>
      </c>
      <c r="M76" s="38">
        <f t="shared" si="25"/>
        <v>-2.1999999999999999E-2</v>
      </c>
      <c r="N76" s="38">
        <f t="shared" si="25"/>
        <v>-2.1999999999999999E-2</v>
      </c>
      <c r="O76" s="38">
        <f t="shared" si="25"/>
        <v>-2.1999999999999999E-2</v>
      </c>
      <c r="P76" s="38">
        <f t="shared" si="25"/>
        <v>-2.1999999999999999E-2</v>
      </c>
      <c r="Q76" s="34"/>
    </row>
    <row r="77" spans="2:17" x14ac:dyDescent="0.2">
      <c r="B77" s="31" t="s">
        <v>45</v>
      </c>
      <c r="C77" s="68"/>
      <c r="D77" t="str">
        <f>'Agency inputs &amp; final output'!$D$20</f>
        <v>%</v>
      </c>
      <c r="E77" s="68"/>
      <c r="F77" s="69"/>
      <c r="G77" s="38">
        <f t="shared" ref="G77:P77" si="26">MAX(G41,G58)</f>
        <v>3.8123167155425408E-2</v>
      </c>
      <c r="H77" s="38">
        <f t="shared" si="26"/>
        <v>3.3235581622678367E-2</v>
      </c>
      <c r="I77" s="38">
        <f t="shared" si="26"/>
        <v>2.8347996089931771E-2</v>
      </c>
      <c r="J77" s="38">
        <f t="shared" si="26"/>
        <v>1.7595307917888547E-2</v>
      </c>
      <c r="K77" s="38">
        <f t="shared" si="26"/>
        <v>-2.2482893450635255E-2</v>
      </c>
      <c r="L77" s="38">
        <f t="shared" si="26"/>
        <v>-2.2482893450635255E-2</v>
      </c>
      <c r="M77" s="38">
        <f t="shared" si="26"/>
        <v>-2.2482893450635255E-2</v>
      </c>
      <c r="N77" s="38">
        <f t="shared" si="26"/>
        <v>-2.2482893450635255E-2</v>
      </c>
      <c r="O77" s="38">
        <f t="shared" si="26"/>
        <v>-2.2482893450635255E-2</v>
      </c>
      <c r="P77" s="38">
        <f t="shared" si="26"/>
        <v>-2.2482893450635255E-2</v>
      </c>
      <c r="Q77" s="34"/>
    </row>
    <row r="78" spans="2:17" x14ac:dyDescent="0.2">
      <c r="B78" s="35"/>
      <c r="C78" s="27"/>
      <c r="D78" s="27"/>
      <c r="E78" s="27"/>
      <c r="F78" s="27"/>
      <c r="G78" s="27"/>
      <c r="H78" s="27"/>
      <c r="I78" s="27"/>
      <c r="J78" s="27"/>
      <c r="K78" s="27"/>
      <c r="L78" s="27"/>
      <c r="M78" s="27"/>
      <c r="N78" s="27"/>
      <c r="O78" s="27"/>
      <c r="P78" s="27"/>
      <c r="Q78" s="36"/>
    </row>
    <row r="81" spans="2:17" ht="15" x14ac:dyDescent="0.25">
      <c r="B81" s="25" t="str">
        <f>B9</f>
        <v>Table 2.4 - True-up calculations (real)</v>
      </c>
      <c r="C81" s="25"/>
      <c r="D81" s="7"/>
      <c r="E81" s="7"/>
      <c r="G81" s="64"/>
    </row>
    <row r="82" spans="2:17" x14ac:dyDescent="0.2">
      <c r="B82" s="90" t="s">
        <v>18</v>
      </c>
      <c r="C82" s="90"/>
      <c r="D82" s="26"/>
      <c r="E82" s="26"/>
    </row>
    <row r="83" spans="2:17" s="2" customFormat="1" x14ac:dyDescent="0.2">
      <c r="B83" s="65" t="str">
        <f>'Agency inputs &amp; final output'!B$26</f>
        <v>Year ending 30 Jun</v>
      </c>
      <c r="C83" s="66"/>
      <c r="D83" s="66" t="str">
        <f>'Agency inputs &amp; final output'!D$26</f>
        <v>Units</v>
      </c>
      <c r="E83" s="49"/>
      <c r="F83" s="66"/>
      <c r="G83" s="66">
        <f>'Agency inputs &amp; final output'!G$26</f>
        <v>44012</v>
      </c>
      <c r="H83" s="66">
        <f>'Agency inputs &amp; final output'!H$26</f>
        <v>44377</v>
      </c>
      <c r="I83" s="66">
        <f>'Agency inputs &amp; final output'!I$26</f>
        <v>44742</v>
      </c>
      <c r="J83" s="66">
        <f>'Agency inputs &amp; final output'!J$26</f>
        <v>45107</v>
      </c>
      <c r="K83" s="66">
        <f>'Agency inputs &amp; final output'!K$26</f>
        <v>45473</v>
      </c>
      <c r="L83" s="66">
        <f>'Agency inputs &amp; final output'!L$26</f>
        <v>45838</v>
      </c>
      <c r="M83" s="66">
        <f>'Agency inputs &amp; final output'!M$26</f>
        <v>46203</v>
      </c>
      <c r="N83" s="66">
        <f>'Agency inputs &amp; final output'!N$26</f>
        <v>46568</v>
      </c>
      <c r="O83" s="66">
        <f>'Agency inputs &amp; final output'!O$26</f>
        <v>46934</v>
      </c>
      <c r="P83" s="66">
        <f>'Agency inputs &amp; final output'!P$26</f>
        <v>47299</v>
      </c>
      <c r="Q83" s="37"/>
    </row>
    <row r="84" spans="2:17" x14ac:dyDescent="0.2">
      <c r="B84" s="31"/>
      <c r="G84" s="93" t="str">
        <f>'Agency inputs &amp; final output'!$F$16</f>
        <v>$2018-19</v>
      </c>
      <c r="H84" s="93" t="str">
        <f>'Agency inputs &amp; final output'!$F$16</f>
        <v>$2018-19</v>
      </c>
      <c r="I84" s="93" t="str">
        <f>'Agency inputs &amp; final output'!$F$16</f>
        <v>$2018-19</v>
      </c>
      <c r="J84" s="93" t="str">
        <f>'Agency inputs &amp; final output'!$F$16</f>
        <v>$2018-19</v>
      </c>
      <c r="K84" s="93" t="str">
        <f>'Agency inputs &amp; final output'!$F$16</f>
        <v>$2018-19</v>
      </c>
      <c r="L84" s="93" t="str">
        <f>'Agency inputs &amp; final output'!$F$16</f>
        <v>$2018-19</v>
      </c>
      <c r="M84" s="93" t="str">
        <f>'Agency inputs &amp; final output'!$F$16</f>
        <v>$2018-19</v>
      </c>
      <c r="N84" s="93" t="str">
        <f>'Agency inputs &amp; final output'!$F$16</f>
        <v>$2018-19</v>
      </c>
      <c r="O84" s="93" t="str">
        <f>'Agency inputs &amp; final output'!$F$16</f>
        <v>$2018-19</v>
      </c>
      <c r="P84" s="93" t="str">
        <f>'Agency inputs &amp; final output'!$F$16</f>
        <v>$2018-19</v>
      </c>
      <c r="Q84" s="34"/>
    </row>
    <row r="85" spans="2:17" x14ac:dyDescent="0.2">
      <c r="B85" s="52" t="s">
        <v>47</v>
      </c>
      <c r="C85" s="7"/>
      <c r="Q85" s="34"/>
    </row>
    <row r="86" spans="2:17" x14ac:dyDescent="0.2">
      <c r="B86" s="31" t="s">
        <v>76</v>
      </c>
      <c r="D86" t="str">
        <f>'Agency inputs &amp; final output'!$D$30</f>
        <v>$'000</v>
      </c>
      <c r="F86" s="41"/>
      <c r="G86" s="41">
        <f t="shared" ref="G86:P86" si="27">G16*G26</f>
        <v>1800</v>
      </c>
      <c r="H86" s="41">
        <f t="shared" si="27"/>
        <v>1800</v>
      </c>
      <c r="I86" s="41">
        <f t="shared" si="27"/>
        <v>1800</v>
      </c>
      <c r="J86" s="41">
        <f t="shared" si="27"/>
        <v>1800</v>
      </c>
      <c r="K86" s="41">
        <f t="shared" si="27"/>
        <v>0</v>
      </c>
      <c r="L86" s="41">
        <f t="shared" si="27"/>
        <v>0</v>
      </c>
      <c r="M86" s="41">
        <f t="shared" si="27"/>
        <v>0</v>
      </c>
      <c r="N86" s="41">
        <f t="shared" si="27"/>
        <v>0</v>
      </c>
      <c r="O86" s="41">
        <f t="shared" si="27"/>
        <v>0</v>
      </c>
      <c r="P86" s="41">
        <f t="shared" si="27"/>
        <v>0</v>
      </c>
      <c r="Q86" s="34"/>
    </row>
    <row r="87" spans="2:17" x14ac:dyDescent="0.2">
      <c r="B87" s="31"/>
      <c r="Q87" s="34"/>
    </row>
    <row r="88" spans="2:17" x14ac:dyDescent="0.2">
      <c r="B88" s="52" t="s">
        <v>48</v>
      </c>
      <c r="C88" s="7"/>
      <c r="Q88" s="34"/>
    </row>
    <row r="89" spans="2:17" x14ac:dyDescent="0.2">
      <c r="B89" s="31" t="s">
        <v>76</v>
      </c>
      <c r="D89" t="str">
        <f>'Agency inputs &amp; final output'!$D$30</f>
        <v>$'000</v>
      </c>
      <c r="F89" s="41"/>
      <c r="G89" s="41">
        <f t="shared" ref="G89:P89" si="28">G16*G76</f>
        <v>1800</v>
      </c>
      <c r="H89" s="41">
        <f t="shared" si="28"/>
        <v>1620</v>
      </c>
      <c r="I89" s="41">
        <f t="shared" si="28"/>
        <v>1440</v>
      </c>
      <c r="J89" s="41">
        <f t="shared" si="28"/>
        <v>1020.0000000000001</v>
      </c>
      <c r="K89" s="41">
        <f t="shared" si="28"/>
        <v>0</v>
      </c>
      <c r="L89" s="41">
        <f t="shared" si="28"/>
        <v>0</v>
      </c>
      <c r="M89" s="41">
        <f t="shared" si="28"/>
        <v>0</v>
      </c>
      <c r="N89" s="41">
        <f t="shared" si="28"/>
        <v>0</v>
      </c>
      <c r="O89" s="41">
        <f t="shared" si="28"/>
        <v>0</v>
      </c>
      <c r="P89" s="41">
        <f t="shared" si="28"/>
        <v>0</v>
      </c>
      <c r="Q89" s="34"/>
    </row>
    <row r="90" spans="2:17" x14ac:dyDescent="0.2">
      <c r="B90" s="31"/>
      <c r="Q90" s="34"/>
    </row>
    <row r="91" spans="2:17" x14ac:dyDescent="0.2">
      <c r="B91" s="31" t="s">
        <v>82</v>
      </c>
      <c r="D91" t="str">
        <f>'Agency inputs &amp; final output'!$D$30</f>
        <v>$'000</v>
      </c>
      <c r="G91" s="41">
        <f t="shared" ref="G91:P91" si="29">G89-G86</f>
        <v>0</v>
      </c>
      <c r="H91" s="41">
        <f t="shared" si="29"/>
        <v>-180</v>
      </c>
      <c r="I91" s="41">
        <f>I89-I86</f>
        <v>-360</v>
      </c>
      <c r="J91" s="41">
        <f t="shared" si="29"/>
        <v>-779.99999999999989</v>
      </c>
      <c r="K91" s="41">
        <f t="shared" si="29"/>
        <v>0</v>
      </c>
      <c r="L91" s="41">
        <f t="shared" si="29"/>
        <v>0</v>
      </c>
      <c r="M91" s="41">
        <f t="shared" si="29"/>
        <v>0</v>
      </c>
      <c r="N91" s="41">
        <f t="shared" si="29"/>
        <v>0</v>
      </c>
      <c r="O91" s="41">
        <f t="shared" si="29"/>
        <v>0</v>
      </c>
      <c r="P91" s="41">
        <f t="shared" si="29"/>
        <v>0</v>
      </c>
      <c r="Q91" s="34"/>
    </row>
    <row r="92" spans="2:17" x14ac:dyDescent="0.2">
      <c r="B92" s="31"/>
      <c r="Q92" s="34"/>
    </row>
    <row r="93" spans="2:17" x14ac:dyDescent="0.2">
      <c r="B93" s="31" t="s">
        <v>50</v>
      </c>
      <c r="D93" t="str">
        <f>'Agency inputs &amp; final output'!$D$61</f>
        <v>#</v>
      </c>
      <c r="G93" s="77">
        <f>'Agency inputs &amp; final output'!F18</f>
        <v>4</v>
      </c>
      <c r="H93" s="41">
        <f>IF((G93-1)&lt;=0,0,G93-1)</f>
        <v>3</v>
      </c>
      <c r="I93" s="41">
        <f t="shared" ref="I93:P93" si="30">IF((H93-1)&lt;=0,0,H93-1)</f>
        <v>2</v>
      </c>
      <c r="J93" s="41">
        <f t="shared" si="30"/>
        <v>1</v>
      </c>
      <c r="K93" s="41">
        <f t="shared" si="30"/>
        <v>0</v>
      </c>
      <c r="L93" s="41">
        <f t="shared" si="30"/>
        <v>0</v>
      </c>
      <c r="M93" s="41">
        <f t="shared" si="30"/>
        <v>0</v>
      </c>
      <c r="N93" s="41">
        <f t="shared" si="30"/>
        <v>0</v>
      </c>
      <c r="O93" s="41">
        <f t="shared" si="30"/>
        <v>0</v>
      </c>
      <c r="P93" s="41">
        <f t="shared" si="30"/>
        <v>0</v>
      </c>
      <c r="Q93" s="34"/>
    </row>
    <row r="94" spans="2:17" x14ac:dyDescent="0.2">
      <c r="B94" s="31" t="s">
        <v>53</v>
      </c>
      <c r="D94" t="s">
        <v>54</v>
      </c>
      <c r="G94" s="41">
        <f>IF(G93&gt;0,1,0)</f>
        <v>1</v>
      </c>
      <c r="H94" s="41">
        <f t="shared" ref="H94:P94" si="31">IF(H93&gt;0,1,0)</f>
        <v>1</v>
      </c>
      <c r="I94" s="41">
        <f t="shared" si="31"/>
        <v>1</v>
      </c>
      <c r="J94" s="41">
        <f t="shared" si="31"/>
        <v>1</v>
      </c>
      <c r="K94" s="41">
        <f t="shared" si="31"/>
        <v>0</v>
      </c>
      <c r="L94" s="41">
        <f t="shared" si="31"/>
        <v>0</v>
      </c>
      <c r="M94" s="41">
        <f t="shared" si="31"/>
        <v>0</v>
      </c>
      <c r="N94" s="41">
        <f t="shared" si="31"/>
        <v>0</v>
      </c>
      <c r="O94" s="41">
        <f t="shared" si="31"/>
        <v>0</v>
      </c>
      <c r="P94" s="41">
        <f t="shared" si="31"/>
        <v>0</v>
      </c>
      <c r="Q94" s="34"/>
    </row>
    <row r="95" spans="2:17" x14ac:dyDescent="0.2">
      <c r="B95" s="31"/>
      <c r="Q95" s="34"/>
    </row>
    <row r="96" spans="2:17" x14ac:dyDescent="0.2">
      <c r="B96" s="31" t="s">
        <v>49</v>
      </c>
      <c r="D96" t="str">
        <f>'Agency inputs &amp; final output'!$D$30</f>
        <v>$'000</v>
      </c>
      <c r="G96" s="41">
        <f>(G91*(1+G70)^G93)*G94</f>
        <v>0</v>
      </c>
      <c r="H96" s="41">
        <f t="shared" ref="H96:P96" si="32">(H91*(1+H25)^H93)*H94</f>
        <v>-202.47552000000002</v>
      </c>
      <c r="I96" s="41">
        <f t="shared" si="32"/>
        <v>-389.37600000000003</v>
      </c>
      <c r="J96" s="41">
        <f t="shared" si="32"/>
        <v>-811.19999999999993</v>
      </c>
      <c r="K96" s="41">
        <f t="shared" si="32"/>
        <v>0</v>
      </c>
      <c r="L96" s="41">
        <f t="shared" si="32"/>
        <v>0</v>
      </c>
      <c r="M96" s="41">
        <f t="shared" si="32"/>
        <v>0</v>
      </c>
      <c r="N96" s="41">
        <f t="shared" si="32"/>
        <v>0</v>
      </c>
      <c r="O96" s="41">
        <f t="shared" si="32"/>
        <v>0</v>
      </c>
      <c r="P96" s="41">
        <f t="shared" si="32"/>
        <v>0</v>
      </c>
      <c r="Q96" s="34"/>
    </row>
    <row r="97" spans="2:17" x14ac:dyDescent="0.2">
      <c r="B97" s="42" t="s">
        <v>57</v>
      </c>
      <c r="H97" s="39"/>
      <c r="I97" s="39"/>
      <c r="J97" s="39"/>
      <c r="K97" s="39"/>
      <c r="L97" s="39"/>
      <c r="M97" s="39"/>
      <c r="N97" s="39"/>
      <c r="O97" s="39"/>
      <c r="P97" s="39"/>
      <c r="Q97" s="34"/>
    </row>
    <row r="98" spans="2:17" x14ac:dyDescent="0.2">
      <c r="B98" s="35"/>
      <c r="C98" s="27"/>
      <c r="D98" s="27"/>
      <c r="E98" s="27"/>
      <c r="F98" s="27"/>
      <c r="G98" s="27"/>
      <c r="H98" s="27"/>
      <c r="I98" s="27"/>
      <c r="J98" s="27"/>
      <c r="K98" s="27"/>
      <c r="L98" s="27"/>
      <c r="M98" s="27"/>
      <c r="N98" s="27"/>
      <c r="O98" s="27"/>
      <c r="P98" s="27"/>
      <c r="Q98" s="36"/>
    </row>
  </sheetData>
  <pageMargins left="0.7" right="0.7" top="0.75" bottom="0.75" header="0.3" footer="0.3"/>
  <pageSetup orientation="portrait" horizontalDpi="200" verticalDpi="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ED63-2017-499C-92CA-BBB890D66734}">
  <dimension ref="A1:M68"/>
  <sheetViews>
    <sheetView showGridLines="0" workbookViewId="0">
      <selection activeCell="I7" sqref="I7"/>
    </sheetView>
  </sheetViews>
  <sheetFormatPr defaultRowHeight="12" x14ac:dyDescent="0.2"/>
  <cols>
    <col min="1" max="1" width="3.85546875" customWidth="1"/>
    <col min="2" max="2" width="38.42578125" customWidth="1"/>
    <col min="3" max="5" width="18.85546875" customWidth="1"/>
    <col min="6" max="12" width="17" customWidth="1"/>
  </cols>
  <sheetData>
    <row r="1" spans="1:5" ht="18" x14ac:dyDescent="0.25">
      <c r="A1" s="96">
        <v>3</v>
      </c>
      <c r="B1" s="124" t="s">
        <v>83</v>
      </c>
    </row>
    <row r="4" spans="1:5" x14ac:dyDescent="0.2">
      <c r="B4" t="str">
        <f>"This worked example will show the calculation of the current risk free rate and debt margin during the transition to the trailing average.  Outputs can be found in "&amp;LEFT(B60,9)&amp;" below."</f>
        <v>This worked example will show the calculation of the current risk free rate and debt margin during the transition to the trailing average.  Outputs can be found in Table 3.2 below.</v>
      </c>
    </row>
    <row r="5" spans="1:5" x14ac:dyDescent="0.2">
      <c r="B5" t="str">
        <f>"These are the values you will need to input into "&amp;LEFT('Agency inputs &amp; final output'!B46,9)&amp;" on the inputs worksheet when estimating your true-up."</f>
        <v>These are the values you will need to input into Table 1.3 on the inputs worksheet when estimating your true-up.</v>
      </c>
    </row>
    <row r="6" spans="1:5" x14ac:dyDescent="0.2">
      <c r="B6" t="s">
        <v>84</v>
      </c>
    </row>
    <row r="7" spans="1:5" x14ac:dyDescent="0.2">
      <c r="B7" t="s">
        <v>85</v>
      </c>
    </row>
    <row r="9" spans="1:5" ht="15" x14ac:dyDescent="0.25">
      <c r="B9" s="123" t="s">
        <v>86</v>
      </c>
    </row>
    <row r="10" spans="1:5" x14ac:dyDescent="0.2">
      <c r="B10" t="s">
        <v>87</v>
      </c>
    </row>
    <row r="12" spans="1:5" x14ac:dyDescent="0.2">
      <c r="B12" t="str">
        <f>LEFT(B14,9)&amp;" shows the values of the risk free rate and debt margin for each tranche of the 4-year regulatory period.  These are example values only."</f>
        <v>Table 3.1 shows the values of the risk free rate and debt margin for each tranche of the 4-year regulatory period.  These are example values only.</v>
      </c>
    </row>
    <row r="14" spans="1:5" ht="15" x14ac:dyDescent="0.25">
      <c r="A14" s="103">
        <v>1</v>
      </c>
      <c r="B14" s="123" t="str">
        <f>"Table "&amp;$A$1&amp;"."&amp;$A14&amp;" - Risk free rate and debt margin in each tranche"</f>
        <v>Table 3.1 - Risk free rate and debt margin in each tranche</v>
      </c>
    </row>
    <row r="15" spans="1:5" x14ac:dyDescent="0.2">
      <c r="B15" t="s">
        <v>88</v>
      </c>
      <c r="C15" t="s">
        <v>89</v>
      </c>
      <c r="D15" t="s">
        <v>90</v>
      </c>
      <c r="E15" t="s">
        <v>91</v>
      </c>
    </row>
    <row r="16" spans="1:5" x14ac:dyDescent="0.2">
      <c r="B16" s="97" t="s">
        <v>92</v>
      </c>
      <c r="C16" s="104">
        <v>44651</v>
      </c>
      <c r="D16" s="105">
        <v>1.4999999999999999E-2</v>
      </c>
      <c r="E16" s="105">
        <v>1.7500000000000002E-2</v>
      </c>
    </row>
    <row r="17" spans="2:13" x14ac:dyDescent="0.2">
      <c r="B17" s="97" t="s">
        <v>93</v>
      </c>
      <c r="C17" s="104">
        <v>44286</v>
      </c>
      <c r="D17" s="105">
        <v>1.6500000000000001E-2</v>
      </c>
      <c r="E17" s="105">
        <v>1.9E-2</v>
      </c>
    </row>
    <row r="18" spans="2:13" x14ac:dyDescent="0.2">
      <c r="B18" s="97" t="s">
        <v>94</v>
      </c>
      <c r="C18" s="104">
        <v>43921</v>
      </c>
      <c r="D18" s="105">
        <v>1.9E-2</v>
      </c>
      <c r="E18" s="105">
        <v>0.02</v>
      </c>
    </row>
    <row r="19" spans="2:13" x14ac:dyDescent="0.2">
      <c r="B19" s="97" t="s">
        <v>95</v>
      </c>
      <c r="C19" s="104">
        <v>43555</v>
      </c>
      <c r="D19" s="105">
        <v>0.02</v>
      </c>
      <c r="E19" s="105">
        <v>2.1999999999999999E-2</v>
      </c>
    </row>
    <row r="20" spans="2:13" x14ac:dyDescent="0.2">
      <c r="B20" s="98"/>
    </row>
    <row r="21" spans="2:13" x14ac:dyDescent="0.2">
      <c r="B21" s="99" t="s">
        <v>96</v>
      </c>
      <c r="C21" s="100">
        <v>1.25E-3</v>
      </c>
    </row>
    <row r="23" spans="2:13" ht="15" x14ac:dyDescent="0.25">
      <c r="B23" s="125" t="s">
        <v>128</v>
      </c>
      <c r="C23" s="106"/>
      <c r="D23" s="106"/>
      <c r="E23" s="106"/>
      <c r="F23" s="106"/>
      <c r="G23" s="106"/>
      <c r="H23" s="106"/>
      <c r="I23" s="106"/>
      <c r="J23" s="106"/>
      <c r="K23" s="106"/>
      <c r="L23" s="106"/>
      <c r="M23" s="106"/>
    </row>
    <row r="24" spans="2:13" x14ac:dyDescent="0.2">
      <c r="B24" t="s">
        <v>97</v>
      </c>
    </row>
    <row r="26" spans="2:13" ht="15" x14ac:dyDescent="0.25">
      <c r="B26" s="123" t="s">
        <v>88</v>
      </c>
      <c r="C26" s="123" t="s">
        <v>98</v>
      </c>
      <c r="D26" s="123" t="s">
        <v>99</v>
      </c>
      <c r="E26" s="123" t="s">
        <v>91</v>
      </c>
    </row>
    <row r="27" spans="2:13" x14ac:dyDescent="0.2">
      <c r="B27" t="s">
        <v>95</v>
      </c>
      <c r="C27" s="101">
        <v>1</v>
      </c>
      <c r="D27" s="107">
        <f>D19</f>
        <v>0.02</v>
      </c>
      <c r="E27" s="107">
        <f>E19</f>
        <v>2.1999999999999999E-2</v>
      </c>
    </row>
    <row r="28" spans="2:13" x14ac:dyDescent="0.2">
      <c r="C28" s="60" t="s">
        <v>100</v>
      </c>
      <c r="D28" s="38">
        <f>SUMPRODUCT($C27,D27)</f>
        <v>0.02</v>
      </c>
      <c r="E28" s="38">
        <f>SUMPRODUCT($C27,E27)</f>
        <v>2.1999999999999999E-2</v>
      </c>
    </row>
    <row r="30" spans="2:13" ht="15" x14ac:dyDescent="0.25">
      <c r="B30" s="125" t="s">
        <v>127</v>
      </c>
      <c r="C30" s="106"/>
      <c r="D30" s="106"/>
      <c r="E30" s="106"/>
      <c r="F30" s="106"/>
      <c r="G30" s="106"/>
      <c r="H30" s="106"/>
      <c r="I30" s="106"/>
      <c r="J30" s="106"/>
      <c r="K30" s="106"/>
      <c r="L30" s="106"/>
      <c r="M30" s="106"/>
    </row>
    <row r="31" spans="2:13" x14ac:dyDescent="0.2">
      <c r="B31" t="s">
        <v>101</v>
      </c>
    </row>
    <row r="33" spans="2:13" ht="15" x14ac:dyDescent="0.25">
      <c r="B33" s="123" t="s">
        <v>88</v>
      </c>
      <c r="C33" s="123" t="s">
        <v>98</v>
      </c>
      <c r="D33" s="123" t="s">
        <v>99</v>
      </c>
      <c r="E33" s="123" t="s">
        <v>91</v>
      </c>
    </row>
    <row r="34" spans="2:13" x14ac:dyDescent="0.2">
      <c r="B34" t="s">
        <v>95</v>
      </c>
      <c r="C34" s="102">
        <v>0.75</v>
      </c>
      <c r="D34" s="38">
        <f>D19</f>
        <v>0.02</v>
      </c>
      <c r="E34" s="38">
        <f>E19</f>
        <v>2.1999999999999999E-2</v>
      </c>
    </row>
    <row r="35" spans="2:13" x14ac:dyDescent="0.2">
      <c r="B35" t="s">
        <v>102</v>
      </c>
      <c r="C35" s="101">
        <v>0.25</v>
      </c>
      <c r="D35" s="107">
        <f>D18</f>
        <v>1.9E-2</v>
      </c>
      <c r="E35" s="107">
        <f>E18</f>
        <v>0.02</v>
      </c>
    </row>
    <row r="36" spans="2:13" x14ac:dyDescent="0.2">
      <c r="C36" s="60" t="s">
        <v>100</v>
      </c>
      <c r="D36" s="38">
        <f>SUMPRODUCT($C34:$C35,D34:D35)</f>
        <v>1.975E-2</v>
      </c>
      <c r="E36" s="38">
        <f>SUMPRODUCT($C34:$C35,E34:E35)</f>
        <v>2.1500000000000002E-2</v>
      </c>
    </row>
    <row r="39" spans="2:13" ht="15" x14ac:dyDescent="0.25">
      <c r="B39" s="125" t="s">
        <v>126</v>
      </c>
      <c r="C39" s="106"/>
      <c r="D39" s="106"/>
      <c r="E39" s="106"/>
      <c r="F39" s="106"/>
      <c r="G39" s="106"/>
      <c r="H39" s="106"/>
      <c r="I39" s="106"/>
      <c r="J39" s="106"/>
      <c r="K39" s="106"/>
      <c r="L39" s="106"/>
      <c r="M39" s="106"/>
    </row>
    <row r="40" spans="2:13" x14ac:dyDescent="0.2">
      <c r="B40" t="s">
        <v>103</v>
      </c>
    </row>
    <row r="42" spans="2:13" ht="15" x14ac:dyDescent="0.25">
      <c r="B42" s="123" t="s">
        <v>88</v>
      </c>
      <c r="C42" s="123" t="s">
        <v>98</v>
      </c>
      <c r="D42" s="123" t="s">
        <v>99</v>
      </c>
      <c r="E42" s="123" t="s">
        <v>91</v>
      </c>
    </row>
    <row r="43" spans="2:13" x14ac:dyDescent="0.2">
      <c r="B43" t="s">
        <v>95</v>
      </c>
      <c r="C43" s="102">
        <v>0.5</v>
      </c>
      <c r="D43" s="38">
        <f>D19</f>
        <v>0.02</v>
      </c>
      <c r="E43" s="38">
        <f>E19</f>
        <v>2.1999999999999999E-2</v>
      </c>
    </row>
    <row r="44" spans="2:13" x14ac:dyDescent="0.2">
      <c r="B44" t="s">
        <v>102</v>
      </c>
      <c r="C44" s="102">
        <v>0.25</v>
      </c>
      <c r="D44" s="38">
        <f>D18</f>
        <v>1.9E-2</v>
      </c>
      <c r="E44" s="38">
        <f>E18</f>
        <v>0.02</v>
      </c>
    </row>
    <row r="45" spans="2:13" x14ac:dyDescent="0.2">
      <c r="B45" t="s">
        <v>104</v>
      </c>
      <c r="C45" s="101">
        <v>0.25</v>
      </c>
      <c r="D45" s="107">
        <f>D17</f>
        <v>1.6500000000000001E-2</v>
      </c>
      <c r="E45" s="107">
        <f>E17</f>
        <v>1.9E-2</v>
      </c>
    </row>
    <row r="46" spans="2:13" x14ac:dyDescent="0.2">
      <c r="C46" s="60" t="s">
        <v>100</v>
      </c>
      <c r="D46" s="38">
        <f>SUMPRODUCT($C43:$C45,D43:D45)</f>
        <v>1.8874999999999999E-2</v>
      </c>
      <c r="E46" s="38">
        <f>SUMPRODUCT($C43:$C45,E43:E45)</f>
        <v>2.0750000000000001E-2</v>
      </c>
    </row>
    <row r="49" spans="1:13" ht="15" x14ac:dyDescent="0.25">
      <c r="B49" s="125" t="s">
        <v>125</v>
      </c>
      <c r="C49" s="106"/>
      <c r="D49" s="106"/>
      <c r="E49" s="106"/>
      <c r="F49" s="106"/>
      <c r="G49" s="106"/>
      <c r="H49" s="106"/>
      <c r="I49" s="106"/>
      <c r="J49" s="106"/>
      <c r="K49" s="106"/>
      <c r="L49" s="106"/>
      <c r="M49" s="106"/>
    </row>
    <row r="50" spans="1:13" x14ac:dyDescent="0.2">
      <c r="B50" t="s">
        <v>105</v>
      </c>
    </row>
    <row r="52" spans="1:13" ht="15" x14ac:dyDescent="0.25">
      <c r="B52" s="123" t="s">
        <v>88</v>
      </c>
      <c r="C52" s="123" t="s">
        <v>98</v>
      </c>
      <c r="D52" s="123" t="s">
        <v>99</v>
      </c>
      <c r="E52" s="123" t="s">
        <v>91</v>
      </c>
    </row>
    <row r="53" spans="1:13" x14ac:dyDescent="0.2">
      <c r="B53" t="s">
        <v>95</v>
      </c>
      <c r="C53" s="102">
        <v>0.25</v>
      </c>
      <c r="D53" s="38">
        <f>D19</f>
        <v>0.02</v>
      </c>
      <c r="E53" s="38">
        <f>E19</f>
        <v>2.1999999999999999E-2</v>
      </c>
    </row>
    <row r="54" spans="1:13" x14ac:dyDescent="0.2">
      <c r="B54" t="s">
        <v>102</v>
      </c>
      <c r="C54" s="102">
        <v>0.25</v>
      </c>
      <c r="D54" s="38">
        <f>D18</f>
        <v>1.9E-2</v>
      </c>
      <c r="E54" s="38">
        <f>E18</f>
        <v>0.02</v>
      </c>
    </row>
    <row r="55" spans="1:13" x14ac:dyDescent="0.2">
      <c r="B55" t="s">
        <v>104</v>
      </c>
      <c r="C55" s="102">
        <v>0.25</v>
      </c>
      <c r="D55" s="38">
        <f>D17</f>
        <v>1.6500000000000001E-2</v>
      </c>
      <c r="E55" s="38">
        <f>E17</f>
        <v>1.9E-2</v>
      </c>
    </row>
    <row r="56" spans="1:13" x14ac:dyDescent="0.2">
      <c r="B56" t="s">
        <v>106</v>
      </c>
      <c r="C56" s="101">
        <v>0.25</v>
      </c>
      <c r="D56" s="107">
        <f>D16</f>
        <v>1.4999999999999999E-2</v>
      </c>
      <c r="E56" s="107">
        <f>E16</f>
        <v>1.7500000000000002E-2</v>
      </c>
    </row>
    <row r="57" spans="1:13" x14ac:dyDescent="0.2">
      <c r="C57" s="60" t="s">
        <v>100</v>
      </c>
      <c r="D57" s="38">
        <f>SUMPRODUCT($C53:$C56,D53:D56)</f>
        <v>1.7625000000000002E-2</v>
      </c>
      <c r="E57" s="38">
        <f>SUMPRODUCT($C53:$C56,E53:E56)</f>
        <v>1.9625E-2</v>
      </c>
    </row>
    <row r="60" spans="1:13" ht="15" x14ac:dyDescent="0.25">
      <c r="A60" s="103">
        <v>2</v>
      </c>
      <c r="B60" s="123" t="str">
        <f>"Table "&amp;$A$1&amp;"."&amp;$A60&amp;" - Annualised value of the risk free rate and debt margin during the transition to the trailing average"</f>
        <v>Table 3.2 - Annualised value of the risk free rate and debt margin during the transition to the trailing average</v>
      </c>
      <c r="C60" s="108"/>
      <c r="D60" s="108"/>
      <c r="I60" s="108"/>
      <c r="J60" s="108"/>
      <c r="K60" s="108"/>
      <c r="L60" s="108"/>
      <c r="M60" s="108"/>
    </row>
    <row r="61" spans="1:13" x14ac:dyDescent="0.2">
      <c r="B61" s="109" t="s">
        <v>107</v>
      </c>
      <c r="C61" s="108"/>
      <c r="D61" s="108"/>
      <c r="E61" s="108"/>
      <c r="F61" s="108"/>
      <c r="G61" s="108"/>
      <c r="H61" s="108"/>
      <c r="I61" s="108"/>
      <c r="J61" s="108"/>
      <c r="K61" s="108"/>
      <c r="L61" s="108"/>
      <c r="M61" s="108"/>
    </row>
    <row r="62" spans="1:13" ht="24" x14ac:dyDescent="0.2">
      <c r="B62" s="110"/>
      <c r="C62" s="111" t="s">
        <v>108</v>
      </c>
      <c r="D62" s="111" t="s">
        <v>109</v>
      </c>
      <c r="E62" s="111" t="s">
        <v>110</v>
      </c>
      <c r="F62" s="111" t="s">
        <v>111</v>
      </c>
      <c r="G62" s="111" t="s">
        <v>112</v>
      </c>
      <c r="H62" s="111" t="s">
        <v>113</v>
      </c>
      <c r="I62" s="111" t="s">
        <v>114</v>
      </c>
      <c r="J62" s="111" t="s">
        <v>115</v>
      </c>
      <c r="K62" s="111" t="s">
        <v>116</v>
      </c>
      <c r="L62" s="111" t="s">
        <v>117</v>
      </c>
      <c r="M62" s="112"/>
    </row>
    <row r="63" spans="1:13" ht="60" x14ac:dyDescent="0.2">
      <c r="B63" s="113"/>
      <c r="C63" s="114"/>
      <c r="D63" s="114"/>
      <c r="E63" s="114" t="s">
        <v>118</v>
      </c>
      <c r="F63" s="114" t="s">
        <v>119</v>
      </c>
      <c r="G63" s="114" t="s">
        <v>120</v>
      </c>
      <c r="H63" s="114" t="s">
        <v>119</v>
      </c>
      <c r="I63" s="114" t="s">
        <v>121</v>
      </c>
      <c r="J63" s="114" t="s">
        <v>122</v>
      </c>
      <c r="K63" s="114" t="s">
        <v>123</v>
      </c>
      <c r="L63" s="114" t="s">
        <v>124</v>
      </c>
      <c r="M63" s="115"/>
    </row>
    <row r="64" spans="1:13" x14ac:dyDescent="0.2">
      <c r="B64" s="116" t="str">
        <f>B23</f>
        <v>Year 1 of the transition to the trailing average</v>
      </c>
      <c r="C64" s="117">
        <f>D28</f>
        <v>0.02</v>
      </c>
      <c r="D64" s="117">
        <f>E28</f>
        <v>2.1999999999999999E-2</v>
      </c>
      <c r="E64" s="117">
        <f>C64+D64</f>
        <v>4.1999999999999996E-2</v>
      </c>
      <c r="F64" s="118">
        <f>((1+(E64/2))^2)-(1+E64)</f>
        <v>4.4099999999969164E-4</v>
      </c>
      <c r="G64" s="117">
        <f>E64+F64+$C$21</f>
        <v>4.3690999999999688E-2</v>
      </c>
      <c r="H64" s="118">
        <f>((1+(C64/2))^2)-(1+C64)</f>
        <v>9.9999999999988987E-5</v>
      </c>
      <c r="I64" s="117">
        <f>C64+H64</f>
        <v>2.0099999999999989E-2</v>
      </c>
      <c r="J64" s="117">
        <f>ROUND(G64,3)</f>
        <v>4.3999999999999997E-2</v>
      </c>
      <c r="K64" s="126">
        <f>ROUND(I64,3)</f>
        <v>0.02</v>
      </c>
      <c r="L64" s="126">
        <f>J64-K64</f>
        <v>2.3999999999999997E-2</v>
      </c>
      <c r="M64" s="119"/>
    </row>
    <row r="65" spans="2:13" x14ac:dyDescent="0.2">
      <c r="B65" s="116" t="str">
        <f>B30</f>
        <v>Year 2 of the transition to the trailing average</v>
      </c>
      <c r="C65" s="117">
        <f>D36</f>
        <v>1.975E-2</v>
      </c>
      <c r="D65" s="117">
        <f>E36</f>
        <v>2.1500000000000002E-2</v>
      </c>
      <c r="E65" s="117">
        <f t="shared" ref="E65:E67" si="0">C65+D65</f>
        <v>4.1250000000000002E-2</v>
      </c>
      <c r="F65" s="118">
        <f t="shared" ref="F65:F67" si="1">((1+(E65/2))^2)-(1+E65)</f>
        <v>4.2539062499979963E-4</v>
      </c>
      <c r="G65" s="117">
        <f t="shared" ref="G65:G67" si="2">E65+F65+$C$21</f>
        <v>4.2925390624999803E-2</v>
      </c>
      <c r="H65" s="118">
        <f t="shared" ref="H65:H67" si="3">((1+(C65/2))^2)-(1+C65)</f>
        <v>9.7515625000266226E-5</v>
      </c>
      <c r="I65" s="117">
        <f t="shared" ref="I65:I67" si="4">C65+H65</f>
        <v>1.9847515625000266E-2</v>
      </c>
      <c r="J65" s="117">
        <f t="shared" ref="J65:J67" si="5">ROUND(G65,3)</f>
        <v>4.2999999999999997E-2</v>
      </c>
      <c r="K65" s="126">
        <f t="shared" ref="K65:K67" si="6">ROUND(I65,3)</f>
        <v>0.02</v>
      </c>
      <c r="L65" s="126">
        <f t="shared" ref="L65:L67" si="7">J65-K65</f>
        <v>2.2999999999999996E-2</v>
      </c>
      <c r="M65" s="119"/>
    </row>
    <row r="66" spans="2:13" x14ac:dyDescent="0.2">
      <c r="B66" s="116" t="str">
        <f>B39</f>
        <v>Year 3 of the transition to the trailing average</v>
      </c>
      <c r="C66" s="117">
        <f>D46</f>
        <v>1.8874999999999999E-2</v>
      </c>
      <c r="D66" s="117">
        <f>E46</f>
        <v>2.0750000000000001E-2</v>
      </c>
      <c r="E66" s="117">
        <f t="shared" si="0"/>
        <v>3.9625E-2</v>
      </c>
      <c r="F66" s="118">
        <f t="shared" si="1"/>
        <v>3.9253515624992907E-4</v>
      </c>
      <c r="G66" s="117">
        <f t="shared" si="2"/>
        <v>4.1267535156249931E-2</v>
      </c>
      <c r="H66" s="118">
        <f t="shared" si="3"/>
        <v>8.9066406250060126E-5</v>
      </c>
      <c r="I66" s="117">
        <f t="shared" si="4"/>
        <v>1.896406640625006E-2</v>
      </c>
      <c r="J66" s="117">
        <f t="shared" si="5"/>
        <v>4.1000000000000002E-2</v>
      </c>
      <c r="K66" s="126">
        <f t="shared" si="6"/>
        <v>1.9E-2</v>
      </c>
      <c r="L66" s="126">
        <f t="shared" si="7"/>
        <v>2.2000000000000002E-2</v>
      </c>
      <c r="M66" s="119"/>
    </row>
    <row r="67" spans="2:13" x14ac:dyDescent="0.2">
      <c r="B67" s="116" t="str">
        <f>B49</f>
        <v>Year 4 of the transition to the trailing average</v>
      </c>
      <c r="C67" s="117">
        <f>D57</f>
        <v>1.7625000000000002E-2</v>
      </c>
      <c r="D67" s="117">
        <f>E57</f>
        <v>1.9625E-2</v>
      </c>
      <c r="E67" s="117">
        <f t="shared" si="0"/>
        <v>3.7250000000000005E-2</v>
      </c>
      <c r="F67" s="118">
        <f t="shared" si="1"/>
        <v>3.4689062500015133E-4</v>
      </c>
      <c r="G67" s="117">
        <f t="shared" si="2"/>
        <v>3.8846890625000158E-2</v>
      </c>
      <c r="H67" s="118">
        <f t="shared" si="3"/>
        <v>7.7660156249770296E-5</v>
      </c>
      <c r="I67" s="117">
        <f t="shared" si="4"/>
        <v>1.7702660156249772E-2</v>
      </c>
      <c r="J67" s="117">
        <f t="shared" si="5"/>
        <v>3.9E-2</v>
      </c>
      <c r="K67" s="126">
        <f t="shared" si="6"/>
        <v>1.7999999999999999E-2</v>
      </c>
      <c r="L67" s="126">
        <f t="shared" si="7"/>
        <v>2.1000000000000001E-2</v>
      </c>
      <c r="M67" s="119"/>
    </row>
    <row r="68" spans="2:13" x14ac:dyDescent="0.2">
      <c r="B68" s="120"/>
      <c r="C68" s="121"/>
      <c r="D68" s="121"/>
      <c r="E68" s="121"/>
      <c r="F68" s="121"/>
      <c r="G68" s="121"/>
      <c r="H68" s="121"/>
      <c r="I68" s="121"/>
      <c r="J68" s="121"/>
      <c r="K68" s="121"/>
      <c r="L68" s="121"/>
      <c r="M68" s="12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F9019D3E065F4DAC2A0294BFBF7D32" ma:contentTypeVersion="4" ma:contentTypeDescription="Create a new document." ma:contentTypeScope="" ma:versionID="ca73759d50554f365ca6e6b3a9ad96af">
  <xsd:schema xmlns:xsd="http://www.w3.org/2001/XMLSchema" xmlns:xs="http://www.w3.org/2001/XMLSchema" xmlns:p="http://schemas.microsoft.com/office/2006/metadata/properties" xmlns:ns2="fd7cf89d-cccd-4067-b5b1-fdd3281a4f9b" targetNamespace="http://schemas.microsoft.com/office/2006/metadata/properties" ma:root="true" ma:fieldsID="0319ccdc3e1df880382d4e46880c486f" ns2:_="">
    <xsd:import namespace="fd7cf89d-cccd-4067-b5b1-fdd3281a4f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7cf89d-cccd-4067-b5b1-fdd3281a4f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4F33DA-E62D-486E-BE5F-7C613BD50F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7cf89d-cccd-4067-b5b1-fdd3281a4f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92686B-109C-4C2E-9EB9-58A7DA8EFFF0}">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fd7cf89d-cccd-4067-b5b1-fdd3281a4f9b"/>
    <ds:schemaRef ds:uri="http://www.w3.org/XML/1998/namespace"/>
  </ds:schemaRefs>
</ds:datastoreItem>
</file>

<file path=customXml/itemProps3.xml><?xml version="1.0" encoding="utf-8"?>
<ds:datastoreItem xmlns:ds="http://schemas.openxmlformats.org/officeDocument/2006/customXml" ds:itemID="{F7324545-89A4-45ED-9194-47AEDC4BF9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Agency inputs &amp; final output</vt:lpstr>
      <vt:lpstr>True up calculations</vt:lpstr>
      <vt:lpstr>CoD example calculation</vt:lpstr>
      <vt:lpstr>Cover!Print_Area</vt:lpstr>
    </vt:vector>
  </TitlesOfParts>
  <Company>IPART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Jenkins</dc:creator>
  <cp:lastModifiedBy>Bee Thompson</cp:lastModifiedBy>
  <cp:lastPrinted>2018-04-07T04:15:47Z</cp:lastPrinted>
  <dcterms:created xsi:type="dcterms:W3CDTF">2014-05-19T07:21:06Z</dcterms:created>
  <dcterms:modified xsi:type="dcterms:W3CDTF">2024-10-23T04:27:00Z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0x010100EFF9019D3E065F4DAC2A0294BFBF7D32</vt:lpwstr>
  </property>
</Properties>
</file>