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L_CG_DATA\Projects_Folder\CG - Financial Services\Long_Term_Financial_Plan_SF5282\LTFP v12 Worksheets\v12 Financials Primary Statements\"/>
    </mc:Choice>
  </mc:AlternateContent>
  <xr:revisionPtr revIDLastSave="0" documentId="13_ncr:1_{DFDF141C-D81E-4EFF-AB63-7293031D36BC}" xr6:coauthVersionLast="47" xr6:coauthVersionMax="47" xr10:uidLastSave="{00000000-0000-0000-0000-000000000000}"/>
  <bookViews>
    <workbookView xWindow="28680" yWindow="-120" windowWidth="29040" windowHeight="15840" xr2:uid="{2CCCA0A2-9CE2-4478-8102-6A71566282AE}"/>
  </bookViews>
  <sheets>
    <sheet name="CF Income Statement" sheetId="1" r:id="rId1"/>
    <sheet name="CF Balance Sheet" sheetId="2" r:id="rId2"/>
    <sheet name="CF Cash Flow" sheetId="3" r:id="rId3"/>
    <sheet name="CF KPI " sheetId="4" r:id="rId4"/>
    <sheet name="GF Income Statement" sheetId="6" r:id="rId5"/>
    <sheet name="GF Balance Sheet" sheetId="7" r:id="rId6"/>
    <sheet name="GF Cash Flow" sheetId="8" r:id="rId7"/>
    <sheet name="GF KPI" sheetId="9" r:id="rId8"/>
    <sheet name="WF Income Statement" sheetId="10" r:id="rId9"/>
    <sheet name="WF Balance Sheet" sheetId="11" r:id="rId10"/>
    <sheet name="WF Cash Flow" sheetId="12" r:id="rId11"/>
    <sheet name="WF KPI" sheetId="13" r:id="rId12"/>
    <sheet name="SF Income Statement" sheetId="14" r:id="rId13"/>
    <sheet name="SF Balance Sheet" sheetId="15" r:id="rId14"/>
    <sheet name="SF Cash Flow" sheetId="16" r:id="rId15"/>
    <sheet name="SF KPI" sheetId="17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consol_scenario_name" hidden="1">'[1]Cover Page'!$G$11</definedName>
    <definedName name="Starting_year" hidden="1">[1]year!$D$4</definedName>
    <definedName name="Starting_year_general" hidden="1">[2]year!$E$5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7" l="1"/>
  <c r="J4" i="17"/>
  <c r="I4" i="17"/>
  <c r="H4" i="17"/>
  <c r="G4" i="17"/>
  <c r="F4" i="17"/>
  <c r="E4" i="17"/>
  <c r="D4" i="17"/>
  <c r="C4" i="17"/>
  <c r="B4" i="17"/>
  <c r="K55" i="16"/>
  <c r="J55" i="16"/>
  <c r="I55" i="16"/>
  <c r="H55" i="16"/>
  <c r="G55" i="16"/>
  <c r="F55" i="16"/>
  <c r="E55" i="16"/>
  <c r="D55" i="16"/>
  <c r="C55" i="16"/>
  <c r="B55" i="16"/>
  <c r="K48" i="16"/>
  <c r="J48" i="16"/>
  <c r="I48" i="16"/>
  <c r="H48" i="16"/>
  <c r="G48" i="16"/>
  <c r="F48" i="16"/>
  <c r="E48" i="16"/>
  <c r="D48" i="16"/>
  <c r="C48" i="16"/>
  <c r="B48" i="16"/>
  <c r="K37" i="16"/>
  <c r="J37" i="16"/>
  <c r="I37" i="16"/>
  <c r="H37" i="16"/>
  <c r="G37" i="16"/>
  <c r="F37" i="16"/>
  <c r="E37" i="16"/>
  <c r="D37" i="16"/>
  <c r="C37" i="16"/>
  <c r="B37" i="16"/>
  <c r="K29" i="16"/>
  <c r="J29" i="16"/>
  <c r="I29" i="16"/>
  <c r="H29" i="16"/>
  <c r="G29" i="16"/>
  <c r="F29" i="16"/>
  <c r="E29" i="16"/>
  <c r="D29" i="16"/>
  <c r="C29" i="16"/>
  <c r="B29" i="16"/>
  <c r="K19" i="16"/>
  <c r="K39" i="16" s="1"/>
  <c r="J19" i="16"/>
  <c r="J39" i="16" s="1"/>
  <c r="I19" i="16"/>
  <c r="I39" i="16" s="1"/>
  <c r="H19" i="16"/>
  <c r="H39" i="16" s="1"/>
  <c r="G19" i="16"/>
  <c r="G39" i="16" s="1"/>
  <c r="F19" i="16"/>
  <c r="F39" i="16" s="1"/>
  <c r="E19" i="16"/>
  <c r="E39" i="16" s="1"/>
  <c r="D19" i="16"/>
  <c r="D39" i="16" s="1"/>
  <c r="C19" i="16"/>
  <c r="C39" i="16" s="1"/>
  <c r="B19" i="16"/>
  <c r="B39" i="16" s="1"/>
  <c r="B43" i="16" s="1"/>
  <c r="K37" i="15"/>
  <c r="K38" i="15" s="1"/>
  <c r="J37" i="15"/>
  <c r="J38" i="15" s="1"/>
  <c r="I37" i="15"/>
  <c r="I38" i="15" s="1"/>
  <c r="H37" i="15"/>
  <c r="H38" i="15" s="1"/>
  <c r="G37" i="15"/>
  <c r="G38" i="15" s="1"/>
  <c r="F37" i="15"/>
  <c r="F38" i="15" s="1"/>
  <c r="E37" i="15"/>
  <c r="E38" i="15" s="1"/>
  <c r="D37" i="15"/>
  <c r="D38" i="15" s="1"/>
  <c r="C37" i="15"/>
  <c r="C38" i="15" s="1"/>
  <c r="B37" i="15"/>
  <c r="B38" i="15" s="1"/>
  <c r="K30" i="15"/>
  <c r="J30" i="15"/>
  <c r="I30" i="15"/>
  <c r="H30" i="15"/>
  <c r="G30" i="15"/>
  <c r="F30" i="15"/>
  <c r="E30" i="15"/>
  <c r="D30" i="15"/>
  <c r="C30" i="15"/>
  <c r="B30" i="15"/>
  <c r="K26" i="15"/>
  <c r="K31" i="15" s="1"/>
  <c r="J26" i="15"/>
  <c r="J31" i="15" s="1"/>
  <c r="I26" i="15"/>
  <c r="I31" i="15" s="1"/>
  <c r="H26" i="15"/>
  <c r="H31" i="15" s="1"/>
  <c r="G26" i="15"/>
  <c r="G31" i="15" s="1"/>
  <c r="F26" i="15"/>
  <c r="F31" i="15" s="1"/>
  <c r="E26" i="15"/>
  <c r="E31" i="15" s="1"/>
  <c r="D26" i="15"/>
  <c r="D31" i="15" s="1"/>
  <c r="C26" i="15"/>
  <c r="C31" i="15" s="1"/>
  <c r="B26" i="15"/>
  <c r="B31" i="15" s="1"/>
  <c r="K19" i="15"/>
  <c r="J19" i="15"/>
  <c r="I19" i="15"/>
  <c r="H19" i="15"/>
  <c r="G19" i="15"/>
  <c r="F19" i="15"/>
  <c r="E19" i="15"/>
  <c r="D19" i="15"/>
  <c r="C19" i="15"/>
  <c r="B19" i="15"/>
  <c r="K12" i="15"/>
  <c r="K20" i="15" s="1"/>
  <c r="K32" i="15" s="1"/>
  <c r="J12" i="15"/>
  <c r="J20" i="15" s="1"/>
  <c r="J32" i="15" s="1"/>
  <c r="I12" i="15"/>
  <c r="I20" i="15" s="1"/>
  <c r="I32" i="15" s="1"/>
  <c r="H12" i="15"/>
  <c r="H20" i="15" s="1"/>
  <c r="H32" i="15" s="1"/>
  <c r="G12" i="15"/>
  <c r="G20" i="15" s="1"/>
  <c r="G32" i="15" s="1"/>
  <c r="F12" i="15"/>
  <c r="F20" i="15" s="1"/>
  <c r="F32" i="15" s="1"/>
  <c r="E12" i="15"/>
  <c r="E20" i="15" s="1"/>
  <c r="E32" i="15" s="1"/>
  <c r="D12" i="15"/>
  <c r="D20" i="15" s="1"/>
  <c r="D32" i="15" s="1"/>
  <c r="C12" i="15"/>
  <c r="C20" i="15" s="1"/>
  <c r="C32" i="15" s="1"/>
  <c r="B12" i="15"/>
  <c r="B20" i="15" s="1"/>
  <c r="B32" i="15" s="1"/>
  <c r="K22" i="14"/>
  <c r="J22" i="14"/>
  <c r="I22" i="14"/>
  <c r="H22" i="14"/>
  <c r="G22" i="14"/>
  <c r="F22" i="14"/>
  <c r="E22" i="14"/>
  <c r="D22" i="14"/>
  <c r="C22" i="14"/>
  <c r="B22" i="14"/>
  <c r="K14" i="14"/>
  <c r="K24" i="14" s="1"/>
  <c r="K27" i="14" s="1"/>
  <c r="K30" i="14" s="1"/>
  <c r="J14" i="14"/>
  <c r="J24" i="14" s="1"/>
  <c r="J27" i="14" s="1"/>
  <c r="J30" i="14" s="1"/>
  <c r="I14" i="14"/>
  <c r="I24" i="14" s="1"/>
  <c r="I27" i="14" s="1"/>
  <c r="I30" i="14" s="1"/>
  <c r="H14" i="14"/>
  <c r="H24" i="14" s="1"/>
  <c r="H27" i="14" s="1"/>
  <c r="H30" i="14" s="1"/>
  <c r="G14" i="14"/>
  <c r="G24" i="14" s="1"/>
  <c r="G27" i="14" s="1"/>
  <c r="G30" i="14" s="1"/>
  <c r="F14" i="14"/>
  <c r="F24" i="14" s="1"/>
  <c r="F27" i="14" s="1"/>
  <c r="F30" i="14" s="1"/>
  <c r="E14" i="14"/>
  <c r="E24" i="14" s="1"/>
  <c r="E27" i="14" s="1"/>
  <c r="E30" i="14" s="1"/>
  <c r="D14" i="14"/>
  <c r="D24" i="14" s="1"/>
  <c r="D27" i="14" s="1"/>
  <c r="D30" i="14" s="1"/>
  <c r="C14" i="14"/>
  <c r="C24" i="14" s="1"/>
  <c r="C27" i="14" s="1"/>
  <c r="C30" i="14" s="1"/>
  <c r="B14" i="14"/>
  <c r="B24" i="14" s="1"/>
  <c r="B27" i="14" s="1"/>
  <c r="B30" i="14" s="1"/>
  <c r="C41" i="16" l="1"/>
  <c r="B47" i="16"/>
  <c r="B49" i="16" s="1"/>
  <c r="C43" i="16"/>
  <c r="C47" i="16" l="1"/>
  <c r="C49" i="16" s="1"/>
  <c r="D41" i="16"/>
  <c r="D43" i="16" s="1"/>
  <c r="E41" i="16" l="1"/>
  <c r="E43" i="16" s="1"/>
  <c r="D47" i="16"/>
  <c r="D49" i="16" s="1"/>
  <c r="E47" i="16" l="1"/>
  <c r="E49" i="16" s="1"/>
  <c r="F41" i="16"/>
  <c r="F43" i="16" s="1"/>
  <c r="G41" i="16" l="1"/>
  <c r="G43" i="16" s="1"/>
  <c r="F47" i="16"/>
  <c r="F49" i="16" s="1"/>
  <c r="G47" i="16" l="1"/>
  <c r="G49" i="16" s="1"/>
  <c r="H41" i="16"/>
  <c r="H43" i="16" s="1"/>
  <c r="I41" i="16" l="1"/>
  <c r="I43" i="16" s="1"/>
  <c r="H47" i="16"/>
  <c r="H49" i="16" s="1"/>
  <c r="I47" i="16" l="1"/>
  <c r="I49" i="16" s="1"/>
  <c r="J41" i="16"/>
  <c r="J43" i="16" s="1"/>
  <c r="K41" i="16" l="1"/>
  <c r="K43" i="16" s="1"/>
  <c r="K47" i="16" s="1"/>
  <c r="K49" i="16" s="1"/>
  <c r="J47" i="16"/>
  <c r="J49" i="16" s="1"/>
  <c r="K54" i="12"/>
  <c r="J54" i="12"/>
  <c r="I54" i="12"/>
  <c r="H54" i="12"/>
  <c r="G54" i="12"/>
  <c r="F54" i="12"/>
  <c r="E54" i="12"/>
  <c r="D54" i="12"/>
  <c r="C54" i="12"/>
  <c r="B54" i="12"/>
  <c r="K47" i="12"/>
  <c r="J47" i="12"/>
  <c r="I47" i="12"/>
  <c r="H47" i="12"/>
  <c r="G47" i="12"/>
  <c r="F47" i="12"/>
  <c r="E47" i="12"/>
  <c r="D47" i="12"/>
  <c r="C47" i="12"/>
  <c r="B47" i="12"/>
  <c r="B48" i="12" s="1"/>
  <c r="K36" i="12"/>
  <c r="J36" i="12"/>
  <c r="I36" i="12"/>
  <c r="H36" i="12"/>
  <c r="G36" i="12"/>
  <c r="F36" i="12"/>
  <c r="E36" i="12"/>
  <c r="D36" i="12"/>
  <c r="C36" i="12"/>
  <c r="B36" i="12"/>
  <c r="K28" i="12"/>
  <c r="J28" i="12"/>
  <c r="I28" i="12"/>
  <c r="H28" i="12"/>
  <c r="G28" i="12"/>
  <c r="F28" i="12"/>
  <c r="E28" i="12"/>
  <c r="D28" i="12"/>
  <c r="C28" i="12"/>
  <c r="B28" i="12"/>
  <c r="K19" i="12"/>
  <c r="K38" i="12" s="1"/>
  <c r="J19" i="12"/>
  <c r="J38" i="12" s="1"/>
  <c r="I19" i="12"/>
  <c r="I38" i="12" s="1"/>
  <c r="H19" i="12"/>
  <c r="H38" i="12" s="1"/>
  <c r="G19" i="12"/>
  <c r="G38" i="12" s="1"/>
  <c r="F19" i="12"/>
  <c r="F38" i="12" s="1"/>
  <c r="E19" i="12"/>
  <c r="E38" i="12" s="1"/>
  <c r="D19" i="12"/>
  <c r="D38" i="12" s="1"/>
  <c r="C19" i="12"/>
  <c r="C38" i="12" s="1"/>
  <c r="B19" i="12"/>
  <c r="B38" i="12" s="1"/>
  <c r="B42" i="12" s="1"/>
  <c r="C40" i="12" s="1"/>
  <c r="K4" i="12"/>
  <c r="J4" i="12"/>
  <c r="I4" i="12"/>
  <c r="H4" i="12"/>
  <c r="G4" i="12"/>
  <c r="F4" i="12"/>
  <c r="E4" i="12"/>
  <c r="D4" i="12"/>
  <c r="C4" i="12"/>
  <c r="B4" i="12"/>
  <c r="K36" i="11"/>
  <c r="K37" i="11" s="1"/>
  <c r="J36" i="11"/>
  <c r="J37" i="11" s="1"/>
  <c r="I36" i="11"/>
  <c r="I37" i="11" s="1"/>
  <c r="H36" i="11"/>
  <c r="H37" i="11" s="1"/>
  <c r="G36" i="11"/>
  <c r="G37" i="11" s="1"/>
  <c r="F36" i="11"/>
  <c r="F37" i="11" s="1"/>
  <c r="E36" i="11"/>
  <c r="E37" i="11" s="1"/>
  <c r="D36" i="11"/>
  <c r="D37" i="11" s="1"/>
  <c r="C36" i="11"/>
  <c r="C37" i="11" s="1"/>
  <c r="B36" i="11"/>
  <c r="B37" i="11" s="1"/>
  <c r="K29" i="11"/>
  <c r="J29" i="11"/>
  <c r="I29" i="11"/>
  <c r="H29" i="11"/>
  <c r="G29" i="11"/>
  <c r="F29" i="11"/>
  <c r="E29" i="11"/>
  <c r="D29" i="11"/>
  <c r="C29" i="11"/>
  <c r="B29" i="11"/>
  <c r="K25" i="11"/>
  <c r="K30" i="11" s="1"/>
  <c r="J25" i="11"/>
  <c r="J30" i="11" s="1"/>
  <c r="I25" i="11"/>
  <c r="I30" i="11" s="1"/>
  <c r="H25" i="11"/>
  <c r="H30" i="11" s="1"/>
  <c r="G25" i="11"/>
  <c r="G30" i="11" s="1"/>
  <c r="F25" i="11"/>
  <c r="F30" i="11" s="1"/>
  <c r="E25" i="11"/>
  <c r="E30" i="11" s="1"/>
  <c r="D25" i="11"/>
  <c r="D30" i="11" s="1"/>
  <c r="C25" i="11"/>
  <c r="C30" i="11" s="1"/>
  <c r="B25" i="11"/>
  <c r="B30" i="11" s="1"/>
  <c r="K18" i="11"/>
  <c r="J18" i="11"/>
  <c r="I18" i="11"/>
  <c r="H18" i="11"/>
  <c r="G18" i="11"/>
  <c r="F18" i="11"/>
  <c r="E18" i="11"/>
  <c r="D18" i="11"/>
  <c r="C18" i="11"/>
  <c r="B18" i="11"/>
  <c r="K12" i="11"/>
  <c r="K19" i="11" s="1"/>
  <c r="K31" i="11" s="1"/>
  <c r="J12" i="11"/>
  <c r="J19" i="11" s="1"/>
  <c r="J31" i="11" s="1"/>
  <c r="I12" i="11"/>
  <c r="I19" i="11" s="1"/>
  <c r="I31" i="11" s="1"/>
  <c r="H12" i="11"/>
  <c r="H19" i="11" s="1"/>
  <c r="H31" i="11" s="1"/>
  <c r="G12" i="11"/>
  <c r="G19" i="11" s="1"/>
  <c r="G31" i="11" s="1"/>
  <c r="F12" i="11"/>
  <c r="F19" i="11" s="1"/>
  <c r="F31" i="11" s="1"/>
  <c r="E12" i="11"/>
  <c r="E19" i="11" s="1"/>
  <c r="E31" i="11" s="1"/>
  <c r="D12" i="11"/>
  <c r="D19" i="11" s="1"/>
  <c r="D31" i="11" s="1"/>
  <c r="C12" i="11"/>
  <c r="C19" i="11" s="1"/>
  <c r="C31" i="11" s="1"/>
  <c r="B12" i="11"/>
  <c r="B19" i="11" s="1"/>
  <c r="B31" i="11" s="1"/>
  <c r="K4" i="11"/>
  <c r="J4" i="11"/>
  <c r="I4" i="11"/>
  <c r="H4" i="11"/>
  <c r="G4" i="11"/>
  <c r="F4" i="11"/>
  <c r="E4" i="11"/>
  <c r="D4" i="11"/>
  <c r="C4" i="11"/>
  <c r="B4" i="11"/>
  <c r="K22" i="10"/>
  <c r="J22" i="10"/>
  <c r="I22" i="10"/>
  <c r="H22" i="10"/>
  <c r="G22" i="10"/>
  <c r="F22" i="10"/>
  <c r="E22" i="10"/>
  <c r="D22" i="10"/>
  <c r="C22" i="10"/>
  <c r="B22" i="10"/>
  <c r="K14" i="10"/>
  <c r="K24" i="10" s="1"/>
  <c r="K27" i="10" s="1"/>
  <c r="K30" i="10" s="1"/>
  <c r="J14" i="10"/>
  <c r="J24" i="10" s="1"/>
  <c r="J27" i="10" s="1"/>
  <c r="J30" i="10" s="1"/>
  <c r="I14" i="10"/>
  <c r="I24" i="10" s="1"/>
  <c r="I27" i="10" s="1"/>
  <c r="I30" i="10" s="1"/>
  <c r="H14" i="10"/>
  <c r="H24" i="10" s="1"/>
  <c r="H27" i="10" s="1"/>
  <c r="H30" i="10" s="1"/>
  <c r="G14" i="10"/>
  <c r="G24" i="10" s="1"/>
  <c r="G27" i="10" s="1"/>
  <c r="G30" i="10" s="1"/>
  <c r="F14" i="10"/>
  <c r="F24" i="10" s="1"/>
  <c r="F27" i="10" s="1"/>
  <c r="F30" i="10" s="1"/>
  <c r="E14" i="10"/>
  <c r="E24" i="10" s="1"/>
  <c r="E27" i="10" s="1"/>
  <c r="E30" i="10" s="1"/>
  <c r="D14" i="10"/>
  <c r="D24" i="10" s="1"/>
  <c r="D27" i="10" s="1"/>
  <c r="D30" i="10" s="1"/>
  <c r="C14" i="10"/>
  <c r="C24" i="10" s="1"/>
  <c r="C27" i="10" s="1"/>
  <c r="C30" i="10" s="1"/>
  <c r="B14" i="10"/>
  <c r="B24" i="10" s="1"/>
  <c r="B27" i="10" s="1"/>
  <c r="B30" i="10" s="1"/>
  <c r="K4" i="10"/>
  <c r="J4" i="10"/>
  <c r="I4" i="10"/>
  <c r="H4" i="10"/>
  <c r="G4" i="10"/>
  <c r="F4" i="10"/>
  <c r="E4" i="10"/>
  <c r="D4" i="10"/>
  <c r="C4" i="10"/>
  <c r="B4" i="10"/>
  <c r="C42" i="12" l="1"/>
  <c r="C46" i="12" l="1"/>
  <c r="C48" i="12" s="1"/>
  <c r="D40" i="12"/>
  <c r="D42" i="12" s="1"/>
  <c r="D46" i="12" l="1"/>
  <c r="D48" i="12" s="1"/>
  <c r="E40" i="12"/>
  <c r="E42" i="12" s="1"/>
  <c r="E46" i="12" l="1"/>
  <c r="E48" i="12" s="1"/>
  <c r="F40" i="12"/>
  <c r="F42" i="12" s="1"/>
  <c r="F46" i="12" l="1"/>
  <c r="F48" i="12" s="1"/>
  <c r="G40" i="12"/>
  <c r="G42" i="12" s="1"/>
  <c r="G46" i="12" l="1"/>
  <c r="G48" i="12" s="1"/>
  <c r="H40" i="12"/>
  <c r="H42" i="12" s="1"/>
  <c r="H46" i="12" l="1"/>
  <c r="H48" i="12" s="1"/>
  <c r="I40" i="12"/>
  <c r="I42" i="12" s="1"/>
  <c r="I46" i="12" l="1"/>
  <c r="I48" i="12" s="1"/>
  <c r="J40" i="12"/>
  <c r="J42" i="12" s="1"/>
  <c r="J46" i="12" l="1"/>
  <c r="J48" i="12" s="1"/>
  <c r="K40" i="12"/>
  <c r="K42" i="12" s="1"/>
  <c r="K46" i="12" s="1"/>
  <c r="K48" i="12" s="1"/>
  <c r="K55" i="8"/>
  <c r="J55" i="8"/>
  <c r="I55" i="8"/>
  <c r="H55" i="8"/>
  <c r="G55" i="8"/>
  <c r="F55" i="8"/>
  <c r="E55" i="8"/>
  <c r="D55" i="8"/>
  <c r="C55" i="8"/>
  <c r="B55" i="8"/>
  <c r="K37" i="8"/>
  <c r="J37" i="8"/>
  <c r="I37" i="8"/>
  <c r="H37" i="8"/>
  <c r="G37" i="8"/>
  <c r="F37" i="8"/>
  <c r="E37" i="8"/>
  <c r="D37" i="8"/>
  <c r="C37" i="8"/>
  <c r="B37" i="8"/>
  <c r="K29" i="8"/>
  <c r="J29" i="8"/>
  <c r="I29" i="8"/>
  <c r="H29" i="8"/>
  <c r="G29" i="8"/>
  <c r="F29" i="8"/>
  <c r="E29" i="8"/>
  <c r="D29" i="8"/>
  <c r="C29" i="8"/>
  <c r="B29" i="8"/>
  <c r="K19" i="8"/>
  <c r="K39" i="8" s="1"/>
  <c r="J19" i="8"/>
  <c r="J39" i="8" s="1"/>
  <c r="I19" i="8"/>
  <c r="I39" i="8" s="1"/>
  <c r="H19" i="8"/>
  <c r="H39" i="8" s="1"/>
  <c r="G19" i="8"/>
  <c r="G39" i="8" s="1"/>
  <c r="F19" i="8"/>
  <c r="F39" i="8" s="1"/>
  <c r="E19" i="8"/>
  <c r="E39" i="8" s="1"/>
  <c r="D19" i="8"/>
  <c r="D39" i="8" s="1"/>
  <c r="C19" i="8"/>
  <c r="C39" i="8" s="1"/>
  <c r="B19" i="8"/>
  <c r="B39" i="8" s="1"/>
  <c r="B43" i="8" s="1"/>
  <c r="K47" i="7"/>
  <c r="K49" i="7" s="1"/>
  <c r="J47" i="7"/>
  <c r="J49" i="7" s="1"/>
  <c r="I47" i="7"/>
  <c r="I49" i="7" s="1"/>
  <c r="H47" i="7"/>
  <c r="H49" i="7" s="1"/>
  <c r="G47" i="7"/>
  <c r="G49" i="7" s="1"/>
  <c r="F47" i="7"/>
  <c r="F49" i="7" s="1"/>
  <c r="E47" i="7"/>
  <c r="E49" i="7" s="1"/>
  <c r="D47" i="7"/>
  <c r="D49" i="7" s="1"/>
  <c r="C47" i="7"/>
  <c r="C49" i="7" s="1"/>
  <c r="B47" i="7"/>
  <c r="B49" i="7" s="1"/>
  <c r="B45" i="7"/>
  <c r="K40" i="7"/>
  <c r="J40" i="7"/>
  <c r="I40" i="7"/>
  <c r="H40" i="7"/>
  <c r="G40" i="7"/>
  <c r="F40" i="7"/>
  <c r="E40" i="7"/>
  <c r="D40" i="7"/>
  <c r="C40" i="7"/>
  <c r="B40" i="7"/>
  <c r="K34" i="7"/>
  <c r="K41" i="7" s="1"/>
  <c r="J34" i="7"/>
  <c r="J41" i="7" s="1"/>
  <c r="I34" i="7"/>
  <c r="I41" i="7" s="1"/>
  <c r="H34" i="7"/>
  <c r="H41" i="7" s="1"/>
  <c r="G34" i="7"/>
  <c r="G41" i="7" s="1"/>
  <c r="F34" i="7"/>
  <c r="F41" i="7" s="1"/>
  <c r="E34" i="7"/>
  <c r="E41" i="7" s="1"/>
  <c r="D34" i="7"/>
  <c r="D41" i="7" s="1"/>
  <c r="C34" i="7"/>
  <c r="C41" i="7" s="1"/>
  <c r="B34" i="7"/>
  <c r="B41" i="7" s="1"/>
  <c r="K25" i="7"/>
  <c r="J25" i="7"/>
  <c r="I25" i="7"/>
  <c r="H25" i="7"/>
  <c r="G25" i="7"/>
  <c r="F25" i="7"/>
  <c r="E25" i="7"/>
  <c r="D25" i="7"/>
  <c r="C25" i="7"/>
  <c r="B25" i="7"/>
  <c r="K15" i="7"/>
  <c r="K26" i="7" s="1"/>
  <c r="K42" i="7" s="1"/>
  <c r="J15" i="7"/>
  <c r="J26" i="7" s="1"/>
  <c r="J42" i="7" s="1"/>
  <c r="I15" i="7"/>
  <c r="I26" i="7" s="1"/>
  <c r="I42" i="7" s="1"/>
  <c r="H15" i="7"/>
  <c r="H26" i="7" s="1"/>
  <c r="H42" i="7" s="1"/>
  <c r="G15" i="7"/>
  <c r="G26" i="7" s="1"/>
  <c r="G42" i="7" s="1"/>
  <c r="F15" i="7"/>
  <c r="F26" i="7" s="1"/>
  <c r="F42" i="7" s="1"/>
  <c r="E15" i="7"/>
  <c r="E26" i="7" s="1"/>
  <c r="E42" i="7" s="1"/>
  <c r="D15" i="7"/>
  <c r="D26" i="7" s="1"/>
  <c r="D42" i="7" s="1"/>
  <c r="C15" i="7"/>
  <c r="C26" i="7" s="1"/>
  <c r="C42" i="7" s="1"/>
  <c r="B15" i="7"/>
  <c r="B26" i="7" s="1"/>
  <c r="B42" i="7" s="1"/>
  <c r="A14" i="7"/>
  <c r="A12" i="7"/>
  <c r="K27" i="6"/>
  <c r="J27" i="6"/>
  <c r="I27" i="6"/>
  <c r="H27" i="6"/>
  <c r="G27" i="6"/>
  <c r="F27" i="6"/>
  <c r="E27" i="6"/>
  <c r="D27" i="6"/>
  <c r="C27" i="6"/>
  <c r="B27" i="6"/>
  <c r="K22" i="6"/>
  <c r="J22" i="6"/>
  <c r="I22" i="6"/>
  <c r="H22" i="6"/>
  <c r="G22" i="6"/>
  <c r="F22" i="6"/>
  <c r="E22" i="6"/>
  <c r="D22" i="6"/>
  <c r="C22" i="6"/>
  <c r="B22" i="6"/>
  <c r="K14" i="6"/>
  <c r="K24" i="6" s="1"/>
  <c r="K29" i="6" s="1"/>
  <c r="K32" i="6" s="1"/>
  <c r="J14" i="6"/>
  <c r="J24" i="6" s="1"/>
  <c r="J29" i="6" s="1"/>
  <c r="J32" i="6" s="1"/>
  <c r="I14" i="6"/>
  <c r="I24" i="6" s="1"/>
  <c r="I29" i="6" s="1"/>
  <c r="I32" i="6" s="1"/>
  <c r="H14" i="6"/>
  <c r="H24" i="6" s="1"/>
  <c r="H29" i="6" s="1"/>
  <c r="H32" i="6" s="1"/>
  <c r="G14" i="6"/>
  <c r="G24" i="6" s="1"/>
  <c r="G29" i="6" s="1"/>
  <c r="G32" i="6" s="1"/>
  <c r="F14" i="6"/>
  <c r="F24" i="6" s="1"/>
  <c r="F29" i="6" s="1"/>
  <c r="F32" i="6" s="1"/>
  <c r="E14" i="6"/>
  <c r="E24" i="6" s="1"/>
  <c r="E29" i="6" s="1"/>
  <c r="E32" i="6" s="1"/>
  <c r="D14" i="6"/>
  <c r="D24" i="6" s="1"/>
  <c r="D29" i="6" s="1"/>
  <c r="D32" i="6" s="1"/>
  <c r="C14" i="6"/>
  <c r="C24" i="6" s="1"/>
  <c r="C29" i="6" s="1"/>
  <c r="C32" i="6" s="1"/>
  <c r="B14" i="6"/>
  <c r="B24" i="6" s="1"/>
  <c r="B29" i="6" s="1"/>
  <c r="B32" i="6" s="1"/>
  <c r="C41" i="8" l="1"/>
  <c r="B47" i="8"/>
  <c r="B49" i="8" s="1"/>
  <c r="C43" i="8"/>
  <c r="C47" i="8" l="1"/>
  <c r="C49" i="8" s="1"/>
  <c r="D41" i="8"/>
  <c r="D43" i="8" s="1"/>
  <c r="E41" i="8" l="1"/>
  <c r="E43" i="8" s="1"/>
  <c r="D47" i="8"/>
  <c r="D49" i="8" s="1"/>
  <c r="E47" i="8" l="1"/>
  <c r="E49" i="8" s="1"/>
  <c r="F41" i="8"/>
  <c r="F43" i="8" s="1"/>
  <c r="G41" i="8" l="1"/>
  <c r="G43" i="8" s="1"/>
  <c r="F47" i="8"/>
  <c r="F49" i="8" s="1"/>
  <c r="G47" i="8" l="1"/>
  <c r="G49" i="8" s="1"/>
  <c r="H41" i="8"/>
  <c r="H43" i="8" s="1"/>
  <c r="I41" i="8" l="1"/>
  <c r="I43" i="8" s="1"/>
  <c r="H47" i="8"/>
  <c r="H49" i="8" s="1"/>
  <c r="I47" i="8" l="1"/>
  <c r="I49" i="8" s="1"/>
  <c r="J41" i="8"/>
  <c r="J43" i="8" s="1"/>
  <c r="K41" i="8" l="1"/>
  <c r="K43" i="8" s="1"/>
  <c r="K47" i="8" s="1"/>
  <c r="K49" i="8" s="1"/>
  <c r="J47" i="8"/>
  <c r="J49" i="8" s="1"/>
  <c r="K4" i="4" l="1"/>
  <c r="J4" i="4"/>
  <c r="I4" i="4"/>
  <c r="H4" i="4"/>
  <c r="G4" i="4"/>
  <c r="F4" i="4"/>
  <c r="E4" i="4"/>
  <c r="D4" i="4"/>
  <c r="C4" i="4"/>
  <c r="B4" i="4"/>
  <c r="C54" i="3"/>
  <c r="D54" i="3"/>
  <c r="E54" i="3"/>
  <c r="F54" i="3"/>
  <c r="G54" i="3"/>
  <c r="H54" i="3"/>
  <c r="I54" i="3"/>
  <c r="J54" i="3"/>
  <c r="K54" i="3"/>
  <c r="B54" i="3"/>
  <c r="C47" i="3"/>
  <c r="D47" i="3"/>
  <c r="E47" i="3"/>
  <c r="F47" i="3"/>
  <c r="G47" i="3"/>
  <c r="H47" i="3"/>
  <c r="I47" i="3"/>
  <c r="J47" i="3"/>
  <c r="K47" i="3"/>
  <c r="B47" i="3"/>
  <c r="C36" i="3"/>
  <c r="D36" i="3"/>
  <c r="E36" i="3"/>
  <c r="F36" i="3"/>
  <c r="G36" i="3"/>
  <c r="H36" i="3"/>
  <c r="I36" i="3"/>
  <c r="J36" i="3"/>
  <c r="K36" i="3"/>
  <c r="B36" i="3"/>
  <c r="C28" i="3"/>
  <c r="D28" i="3"/>
  <c r="E28" i="3"/>
  <c r="F28" i="3"/>
  <c r="G28" i="3"/>
  <c r="H28" i="3"/>
  <c r="I28" i="3"/>
  <c r="J28" i="3"/>
  <c r="K28" i="3"/>
  <c r="B28" i="3"/>
  <c r="C19" i="3"/>
  <c r="C38" i="3" s="1"/>
  <c r="D19" i="3"/>
  <c r="D38" i="3" s="1"/>
  <c r="E19" i="3"/>
  <c r="E38" i="3" s="1"/>
  <c r="F19" i="3"/>
  <c r="F38" i="3" s="1"/>
  <c r="G19" i="3"/>
  <c r="G38" i="3" s="1"/>
  <c r="H19" i="3"/>
  <c r="H38" i="3" s="1"/>
  <c r="I19" i="3"/>
  <c r="I38" i="3" s="1"/>
  <c r="J19" i="3"/>
  <c r="J38" i="3" s="1"/>
  <c r="K19" i="3"/>
  <c r="K38" i="3" s="1"/>
  <c r="B19" i="3"/>
  <c r="B38" i="3" s="1"/>
  <c r="B42" i="3" s="1"/>
  <c r="K4" i="3"/>
  <c r="J4" i="3"/>
  <c r="I4" i="3"/>
  <c r="H4" i="3"/>
  <c r="G4" i="3"/>
  <c r="F4" i="3"/>
  <c r="E4" i="3"/>
  <c r="D4" i="3"/>
  <c r="C4" i="3"/>
  <c r="B4" i="3"/>
  <c r="K44" i="2"/>
  <c r="J44" i="2"/>
  <c r="G44" i="2"/>
  <c r="F44" i="2"/>
  <c r="D44" i="2"/>
  <c r="C44" i="2"/>
  <c r="C46" i="2"/>
  <c r="C48" i="2" s="1"/>
  <c r="D46" i="2"/>
  <c r="D48" i="2" s="1"/>
  <c r="E46" i="2"/>
  <c r="E48" i="2" s="1"/>
  <c r="F46" i="2"/>
  <c r="F48" i="2" s="1"/>
  <c r="G46" i="2"/>
  <c r="G48" i="2" s="1"/>
  <c r="H46" i="2"/>
  <c r="H48" i="2" s="1"/>
  <c r="I46" i="2"/>
  <c r="I48" i="2" s="1"/>
  <c r="J46" i="2"/>
  <c r="J48" i="2" s="1"/>
  <c r="K46" i="2"/>
  <c r="K48" i="2" s="1"/>
  <c r="B46" i="2"/>
  <c r="B48" i="2" s="1"/>
  <c r="C39" i="2"/>
  <c r="D39" i="2"/>
  <c r="E39" i="2"/>
  <c r="F39" i="2"/>
  <c r="G39" i="2"/>
  <c r="H39" i="2"/>
  <c r="I39" i="2"/>
  <c r="J39" i="2"/>
  <c r="K39" i="2"/>
  <c r="B39" i="2"/>
  <c r="C33" i="2"/>
  <c r="C40" i="2" s="1"/>
  <c r="D33" i="2"/>
  <c r="D40" i="2" s="1"/>
  <c r="E33" i="2"/>
  <c r="E40" i="2" s="1"/>
  <c r="F33" i="2"/>
  <c r="F40" i="2" s="1"/>
  <c r="G33" i="2"/>
  <c r="G40" i="2" s="1"/>
  <c r="H33" i="2"/>
  <c r="H40" i="2" s="1"/>
  <c r="I33" i="2"/>
  <c r="I40" i="2" s="1"/>
  <c r="J33" i="2"/>
  <c r="J40" i="2" s="1"/>
  <c r="K33" i="2"/>
  <c r="K40" i="2" s="1"/>
  <c r="B33" i="2"/>
  <c r="B40" i="2" s="1"/>
  <c r="C24" i="2"/>
  <c r="D24" i="2"/>
  <c r="E24" i="2"/>
  <c r="F24" i="2"/>
  <c r="G24" i="2"/>
  <c r="H24" i="2"/>
  <c r="I24" i="2"/>
  <c r="J24" i="2"/>
  <c r="K24" i="2"/>
  <c r="B24" i="2"/>
  <c r="A22" i="2"/>
  <c r="C14" i="2"/>
  <c r="C25" i="2" s="1"/>
  <c r="C41" i="2" s="1"/>
  <c r="D14" i="2"/>
  <c r="D25" i="2" s="1"/>
  <c r="E14" i="2"/>
  <c r="E25" i="2" s="1"/>
  <c r="E41" i="2" s="1"/>
  <c r="F14" i="2"/>
  <c r="F25" i="2" s="1"/>
  <c r="G14" i="2"/>
  <c r="G25" i="2" s="1"/>
  <c r="G41" i="2" s="1"/>
  <c r="H14" i="2"/>
  <c r="H25" i="2" s="1"/>
  <c r="I14" i="2"/>
  <c r="I25" i="2" s="1"/>
  <c r="I41" i="2" s="1"/>
  <c r="J14" i="2"/>
  <c r="J25" i="2" s="1"/>
  <c r="K14" i="2"/>
  <c r="K25" i="2" s="1"/>
  <c r="K41" i="2" s="1"/>
  <c r="B14" i="2"/>
  <c r="B25" i="2" s="1"/>
  <c r="C22" i="1"/>
  <c r="D22" i="1"/>
  <c r="E22" i="1"/>
  <c r="F22" i="1"/>
  <c r="G22" i="1"/>
  <c r="H22" i="1"/>
  <c r="I22" i="1"/>
  <c r="J22" i="1"/>
  <c r="K22" i="1"/>
  <c r="B22" i="1"/>
  <c r="C14" i="1"/>
  <c r="C24" i="1" s="1"/>
  <c r="C27" i="1" s="1"/>
  <c r="C30" i="1" s="1"/>
  <c r="D14" i="1"/>
  <c r="D24" i="1" s="1"/>
  <c r="D27" i="1" s="1"/>
  <c r="D30" i="1" s="1"/>
  <c r="E14" i="1"/>
  <c r="E24" i="1" s="1"/>
  <c r="E27" i="1" s="1"/>
  <c r="E30" i="1" s="1"/>
  <c r="F14" i="1"/>
  <c r="F24" i="1" s="1"/>
  <c r="F27" i="1" s="1"/>
  <c r="F30" i="1" s="1"/>
  <c r="G14" i="1"/>
  <c r="G24" i="1" s="1"/>
  <c r="G27" i="1" s="1"/>
  <c r="G30" i="1" s="1"/>
  <c r="H14" i="1"/>
  <c r="H24" i="1" s="1"/>
  <c r="H27" i="1" s="1"/>
  <c r="H30" i="1" s="1"/>
  <c r="I14" i="1"/>
  <c r="I24" i="1" s="1"/>
  <c r="I27" i="1" s="1"/>
  <c r="I30" i="1" s="1"/>
  <c r="J14" i="1"/>
  <c r="J24" i="1" s="1"/>
  <c r="J27" i="1" s="1"/>
  <c r="J30" i="1" s="1"/>
  <c r="K14" i="1"/>
  <c r="K24" i="1" s="1"/>
  <c r="K27" i="1" s="1"/>
  <c r="K30" i="1" s="1"/>
  <c r="B14" i="1"/>
  <c r="B24" i="1" s="1"/>
  <c r="B27" i="1" s="1"/>
  <c r="B30" i="1" s="1"/>
  <c r="B46" i="3" l="1"/>
  <c r="B48" i="3" s="1"/>
  <c r="C40" i="3"/>
  <c r="C42" i="3" s="1"/>
  <c r="B41" i="2"/>
  <c r="J41" i="2"/>
  <c r="H41" i="2"/>
  <c r="F41" i="2"/>
  <c r="D41" i="2"/>
  <c r="C46" i="3" l="1"/>
  <c r="C48" i="3" s="1"/>
  <c r="D40" i="3"/>
  <c r="D42" i="3" s="1"/>
  <c r="E40" i="3" l="1"/>
  <c r="E42" i="3" s="1"/>
  <c r="D46" i="3"/>
  <c r="D48" i="3" s="1"/>
  <c r="F40" i="3" l="1"/>
  <c r="F42" i="3" s="1"/>
  <c r="E46" i="3"/>
  <c r="E48" i="3" s="1"/>
  <c r="G40" i="3" l="1"/>
  <c r="G42" i="3" s="1"/>
  <c r="F46" i="3"/>
  <c r="F48" i="3" s="1"/>
  <c r="H40" i="3" l="1"/>
  <c r="H42" i="3" s="1"/>
  <c r="G46" i="3"/>
  <c r="G48" i="3" s="1"/>
  <c r="I40" i="3" l="1"/>
  <c r="I42" i="3" s="1"/>
  <c r="H46" i="3"/>
  <c r="H48" i="3" s="1"/>
  <c r="J40" i="3" l="1"/>
  <c r="J42" i="3" s="1"/>
  <c r="I46" i="3"/>
  <c r="I48" i="3" s="1"/>
  <c r="K40" i="3" l="1"/>
  <c r="K42" i="3" s="1"/>
  <c r="K46" i="3" s="1"/>
  <c r="K48" i="3" s="1"/>
  <c r="J46" i="3"/>
  <c r="J48" i="3" s="1"/>
</calcChain>
</file>

<file path=xl/sharedStrings.xml><?xml version="1.0" encoding="utf-8"?>
<sst xmlns="http://schemas.openxmlformats.org/spreadsheetml/2006/main" count="725" uniqueCount="137">
  <si>
    <t>Tamworth Regional Council</t>
  </si>
  <si>
    <t>INCOME STATEMENT - CONSOLIDATED</t>
  </si>
  <si>
    <t>Projected Years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</si>
  <si>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</si>
  <si>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</si>
  <si>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</si>
  <si>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</si>
  <si>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</si>
  <si>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</si>
  <si>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</si>
  <si>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</si>
  <si>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</si>
  <si>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$</t>
  </si>
  <si>
    <t>Income from Continuing Operations</t>
  </si>
  <si>
    <t>Revenue:</t>
  </si>
  <si>
    <t>Rates &amp; Annual Charges</t>
  </si>
  <si>
    <t>User Charges &amp; Fees</t>
  </si>
  <si>
    <t>Interest &amp; Investment Revenue</t>
  </si>
  <si>
    <t>Other Revenues</t>
  </si>
  <si>
    <t>Grants &amp; Contributions provided for Operating Purposes</t>
  </si>
  <si>
    <t>Grants &amp; Contributions provided for Capital Purposes</t>
  </si>
  <si>
    <t>Total Income from Continuing Operations</t>
  </si>
  <si>
    <t>Expenses from Continuing Operations</t>
  </si>
  <si>
    <t>Employee Benefits &amp; On-Costs</t>
  </si>
  <si>
    <t>Borrowing Costs</t>
  </si>
  <si>
    <t>Materials &amp; Contracts</t>
  </si>
  <si>
    <t>Depreciation &amp; Amortisation</t>
  </si>
  <si>
    <t>Other Expenses</t>
  </si>
  <si>
    <t>Total Expenses from Continuing Operations</t>
  </si>
  <si>
    <t>Operating Result from Continuing Operations</t>
  </si>
  <si>
    <t>Net Operating Result for the Year</t>
  </si>
  <si>
    <t xml:space="preserve">Net Operating Result before Grants and Contributions provided for </t>
  </si>
  <si>
    <t>Capital Purposes</t>
  </si>
  <si>
    <t>BALANCE SHEET - CONSOLIDATED</t>
  </si>
  <si>
    <t>ASSETS</t>
  </si>
  <si>
    <t>Current Assets</t>
  </si>
  <si>
    <t>Cash &amp; Cash Equivalents</t>
  </si>
  <si>
    <t>Investments</t>
  </si>
  <si>
    <t>Receivables</t>
  </si>
  <si>
    <t>Inventories</t>
  </si>
  <si>
    <t>Other</t>
  </si>
  <si>
    <t>Non-current assets classified as "held for sale"</t>
  </si>
  <si>
    <t>Total Current Assets</t>
  </si>
  <si>
    <t>Non-Current Assets</t>
  </si>
  <si>
    <t>Infrastructure, Property, Plant &amp; Equipment</t>
  </si>
  <si>
    <t>Investment Property</t>
  </si>
  <si>
    <t>Intangible Assets</t>
  </si>
  <si>
    <t>Total Non-Current Assets</t>
  </si>
  <si>
    <t>TOTAL ASSETS</t>
  </si>
  <si>
    <t>LIABILITIES</t>
  </si>
  <si>
    <t>Current Liabilities</t>
  </si>
  <si>
    <t>Payables</t>
  </si>
  <si>
    <t>Borrowings</t>
  </si>
  <si>
    <t>Provisions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</si>
  <si>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</si>
  <si>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</si>
  <si>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</si>
  <si>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</si>
  <si>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</si>
  <si>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</si>
  <si>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</si>
  <si>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Reserves</t>
  </si>
  <si>
    <t>Council Equity Interest</t>
  </si>
  <si>
    <t>Minority Equity Interest</t>
  </si>
  <si>
    <t>Total Equity</t>
  </si>
  <si>
    <t>CASH FLOW STATEMENT - CONSOLIDATED</t>
  </si>
  <si>
    <t>Cash Flows from Operating Activities</t>
  </si>
  <si>
    <t>Receipts:</t>
  </si>
  <si>
    <t>Interest &amp; Investment Revenue Received</t>
  </si>
  <si>
    <t>Grants &amp; Contributions</t>
  </si>
  <si>
    <t>Payments:</t>
  </si>
  <si>
    <t>Net Cash provided (or used in) Operating Activities</t>
  </si>
  <si>
    <t>Cash Flows from Investing Activities</t>
  </si>
  <si>
    <t>Sale of Investment Securities</t>
  </si>
  <si>
    <t>Sale of Infrastructure, Property, Plant &amp; Equipment</t>
  </si>
  <si>
    <t>Purchase of Investment Securities</t>
  </si>
  <si>
    <t>Purchase of Infrastructure, Property, Plant &amp; Equipment</t>
  </si>
  <si>
    <t>Net Cash provided (or used in) Investing Activities</t>
  </si>
  <si>
    <t>Cash Flows from Financing Activities</t>
  </si>
  <si>
    <t>Proceeds from Borrowings &amp; Advances</t>
  </si>
  <si>
    <t>Repayment of Borrowings &amp; Advances</t>
  </si>
  <si>
    <t>Net Cash Flow provided (used in) Financing Activities</t>
  </si>
  <si>
    <t>Net Increase/(Decrease) in Cash &amp; Cash Equivalents</t>
  </si>
  <si>
    <t>plus: Cash, Cash Equivalents &amp; Investments - beginning of year</t>
  </si>
  <si>
    <t>Cash &amp; Cash Equivalents - end of the year</t>
  </si>
  <si>
    <t>Investments - end of the year</t>
  </si>
  <si>
    <t>Cash, Cash Equivalents &amp; Investments - end of the year</t>
  </si>
  <si>
    <t>Representing:</t>
  </si>
  <si>
    <t>- External Restrictions</t>
  </si>
  <si>
    <t>- Internal Restrictions</t>
  </si>
  <si>
    <t>- Unrestricted</t>
  </si>
  <si>
    <t>FINANCIAL PERFORMANCE INDICATORS</t>
  </si>
  <si>
    <t>New Note 13 Ratios</t>
  </si>
  <si>
    <t>Operating Performance Ratio 1)</t>
  </si>
  <si>
    <t>Own Source Operating Revenue Ratio 1)</t>
  </si>
  <si>
    <t>Unrestricted Current Ratio</t>
  </si>
  <si>
    <t>Debt Service Cover Ratio 1)</t>
  </si>
  <si>
    <t>Rates, Annual Charges, Interest &amp; Extra Charges Outstanding Percentage</t>
  </si>
  <si>
    <t>Cash Expense Cover Ratio 1)</t>
  </si>
  <si>
    <t>Building &amp; Infrastructure Renewals Ratio</t>
  </si>
  <si>
    <t>Debt Service Ratio</t>
  </si>
  <si>
    <t>Scenario: Base Scenario</t>
  </si>
  <si>
    <t>Contract assets</t>
  </si>
  <si>
    <t>Contract liabilities</t>
  </si>
  <si>
    <t>Lease Liabilities</t>
  </si>
  <si>
    <t>10 Year Financial Plan for the Years ending 30 June 2031</t>
  </si>
  <si>
    <t>2030/31</t>
  </si>
  <si>
    <t>INCOME STATEMENT - GENERAL FUND</t>
  </si>
  <si>
    <t xml:space="preserve">Scenario: Base Scenario </t>
  </si>
  <si>
    <t>Discontinued Operations - Profit/(Loss)</t>
  </si>
  <si>
    <t>Net Profit/(Loss) from Discontinued Operations</t>
  </si>
  <si>
    <t>BALANCE SHEET - GENERAL FUND</t>
  </si>
  <si>
    <t>Right of Use Assets</t>
  </si>
  <si>
    <t>Contract Liabilities</t>
  </si>
  <si>
    <t>CASH FLOW STATEMENT - GENERAL FUND</t>
  </si>
  <si>
    <t>- Internal Restricitons</t>
  </si>
  <si>
    <t>FINANCIAL PERFORMANCE INDICATORS - GENERAL FUND</t>
  </si>
  <si>
    <t>New Special Schedule 7 Ratios</t>
  </si>
  <si>
    <t>Infrastructure Backlog Ratio</t>
  </si>
  <si>
    <t>Asset Maintenance Ratio</t>
  </si>
  <si>
    <t>Capital Expenditure Ratio</t>
  </si>
  <si>
    <t>Old Note 13 Ratios (not incl. in new Note 13 or Special Schedule 7)</t>
  </si>
  <si>
    <t>Rates &amp; Annual Charges Coverage Ratio</t>
  </si>
  <si>
    <t>Fit For The Future (FFTF) Ratios</t>
  </si>
  <si>
    <t>Own Source Revenue Ratio 1)</t>
  </si>
  <si>
    <t>Building &amp; Infrastructure Asset Renewal Ratio</t>
  </si>
  <si>
    <t>Real Operating Expenditure per Capita Ratio</t>
  </si>
  <si>
    <r>
      <t xml:space="preserve">1) </t>
    </r>
    <r>
      <rPr>
        <b/>
        <u/>
        <sz val="10"/>
        <rFont val="Arial"/>
        <family val="2"/>
      </rPr>
      <t>different</t>
    </r>
    <r>
      <rPr>
        <sz val="10"/>
        <rFont val="Arial"/>
        <family val="2"/>
      </rPr>
      <t xml:space="preserve"> Calculation to TCorp's calculation for same ratio</t>
    </r>
  </si>
  <si>
    <t>INCOME STATEMENT - WATER FUND</t>
  </si>
  <si>
    <t>BALANCE SHEET - WATER FUND</t>
  </si>
  <si>
    <t>CASH FLOW STATEMENT - WATER FUND</t>
  </si>
  <si>
    <t>FINANCIAL PERFORMANCE INDICATORS - WATER FUND</t>
  </si>
  <si>
    <t>INCOME STATEMENT - SEWER FUND</t>
  </si>
  <si>
    <t>BALANCE SHEET - SEWER FUND</t>
  </si>
  <si>
    <t>CASH FLOW STATEMENT - SEWER FUND</t>
  </si>
  <si>
    <t>Deferred Debtors Receipts</t>
  </si>
  <si>
    <t>FINANCIAL PERFORMANCE INDICATORS - SEWER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</si>
</sst>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-* &quot;-&quot;_-"/>
    <numFmt numFmtId="165" formatCode="_(* #,##0_);[Red]_(* \(#,##0\);_-* &quot;-&quot;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0">
    <xf numFmtId="0" fontId="0" fillId="0" borderId="0" xfId="0"/>
    <xf numFmtId="164" fontId="2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164" fontId="2" fillId="0" borderId="0" xfId="0" applyNumberFormat="1" applyFont="1" applyBorder="1" applyProtection="1">
      <protection hidden="1"/>
    </xf>
    <xf numFmtId="0" fontId="4" fillId="0" borderId="0" xfId="1" applyNumberFormat="1" applyFont="1" applyBorder="1" applyAlignment="1" applyProtection="1">
      <alignment horizontal="right"/>
      <protection hidden="1"/>
    </xf>
    <xf numFmtId="164" fontId="4" fillId="0" borderId="0" xfId="0" applyNumberFormat="1" applyFont="1" applyBorder="1" applyAlignment="1" applyProtection="1">
      <alignment horizontal="right"/>
      <protection hidden="1"/>
    </xf>
    <xf numFmtId="164" fontId="0" fillId="0" borderId="1" xfId="0" applyNumberFormat="1" applyBorder="1" applyProtection="1">
      <protection hidden="1"/>
    </xf>
    <xf numFmtId="165" fontId="4" fillId="0" borderId="1" xfId="0" quotePrefix="1" applyNumberFormat="1" applyFont="1" applyBorder="1" applyAlignment="1" applyProtection="1">
      <alignment horizontal="right"/>
      <protection hidden="1"/>
    </xf>
    <xf numFmtId="165" fontId="2" fillId="0" borderId="0" xfId="0" applyNumberFormat="1" applyFont="1" applyProtection="1">
      <protection hidden="1"/>
    </xf>
    <xf numFmtId="165" fontId="0" fillId="0" borderId="0" xfId="0" applyNumberFormat="1" applyProtection="1">
      <protection hidden="1"/>
    </xf>
    <xf numFmtId="165" fontId="4" fillId="0" borderId="0" xfId="0" applyNumberFormat="1" applyFont="1" applyProtection="1">
      <protection hidden="1"/>
    </xf>
    <xf numFmtId="165" fontId="3" fillId="0" borderId="0" xfId="0" applyNumberFormat="1" applyFont="1" applyProtection="1">
      <protection hidden="1"/>
    </xf>
    <xf numFmtId="165" fontId="4" fillId="0" borderId="2" xfId="0" applyNumberFormat="1" applyFont="1" applyBorder="1" applyProtection="1">
      <protection hidden="1"/>
    </xf>
    <xf numFmtId="165" fontId="4" fillId="0" borderId="3" xfId="0" applyNumberFormat="1" applyFont="1" applyBorder="1" applyProtection="1">
      <protection hidden="1"/>
    </xf>
    <xf numFmtId="165" fontId="5" fillId="0" borderId="0" xfId="0" applyNumberFormat="1" applyFont="1" applyProtection="1">
      <protection hidden="1"/>
    </xf>
    <xf numFmtId="165" fontId="0" fillId="0" borderId="2" xfId="0" applyNumberFormat="1" applyBorder="1" applyProtection="1">
      <protection hidden="1"/>
    </xf>
    <xf numFmtId="165" fontId="4" fillId="0" borderId="4" xfId="0" applyNumberFormat="1" applyFont="1" applyBorder="1" applyProtection="1">
      <protection hidden="1"/>
    </xf>
    <xf numFmtId="165" fontId="4" fillId="0" borderId="5" xfId="0" applyNumberFormat="1" applyFont="1" applyBorder="1" applyProtection="1">
      <protection hidden="1"/>
    </xf>
    <xf numFmtId="165" fontId="0" fillId="0" borderId="6" xfId="0" applyNumberFormat="1" applyBorder="1" applyProtection="1">
      <protection hidden="1"/>
    </xf>
    <xf numFmtId="165" fontId="4" fillId="0" borderId="7" xfId="0" applyNumberFormat="1" applyFont="1" applyBorder="1" applyProtection="1">
      <protection hidden="1"/>
    </xf>
    <xf numFmtId="165" fontId="0" fillId="0" borderId="0" xfId="0" quotePrefix="1" applyNumberFormat="1" applyProtection="1">
      <protection hidden="1"/>
    </xf>
    <xf numFmtId="165" fontId="3" fillId="0" borderId="0" xfId="0" quotePrefix="1" applyNumberFormat="1" applyFont="1" applyProtection="1">
      <protection hidden="1"/>
    </xf>
    <xf numFmtId="0" fontId="0" fillId="0" borderId="0" xfId="0" applyProtection="1">
      <protection hidden="1"/>
    </xf>
    <xf numFmtId="164" fontId="6" fillId="0" borderId="0" xfId="0" applyNumberFormat="1" applyFont="1" applyBorder="1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10" fontId="0" fillId="0" borderId="0" xfId="2" applyNumberFormat="1" applyFont="1" applyProtection="1"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Fill="1" applyProtection="1">
      <protection hidden="1"/>
    </xf>
    <xf numFmtId="164" fontId="4" fillId="0" borderId="0" xfId="0" applyNumberFormat="1" applyFont="1" applyAlignment="1" applyProtection="1">
      <alignment horizontal="right"/>
      <protection hidden="1"/>
    </xf>
    <xf numFmtId="164" fontId="4" fillId="0" borderId="1" xfId="0" applyNumberFormat="1" applyFont="1" applyBorder="1" applyAlignment="1" applyProtection="1">
      <alignment horizontal="right"/>
      <protection hidden="1"/>
    </xf>
    <xf numFmtId="164" fontId="2" fillId="0" borderId="0" xfId="3" applyNumberFormat="1" applyFont="1" applyProtection="1">
      <protection hidden="1"/>
    </xf>
    <xf numFmtId="164" fontId="3" fillId="0" borderId="0" xfId="3" applyNumberFormat="1" applyProtection="1">
      <protection hidden="1"/>
    </xf>
    <xf numFmtId="164" fontId="2" fillId="0" borderId="1" xfId="4" applyNumberFormat="1" applyFont="1" applyBorder="1" applyProtection="1">
      <protection hidden="1"/>
    </xf>
    <xf numFmtId="164" fontId="4" fillId="0" borderId="0" xfId="3" applyNumberFormat="1" applyFont="1" applyAlignment="1" applyProtection="1">
      <alignment horizontal="right"/>
      <protection hidden="1"/>
    </xf>
    <xf numFmtId="164" fontId="3" fillId="0" borderId="1" xfId="3" applyNumberFormat="1" applyBorder="1" applyProtection="1">
      <protection hidden="1"/>
    </xf>
    <xf numFmtId="165" fontId="4" fillId="0" borderId="1" xfId="3" quotePrefix="1" applyNumberFormat="1" applyFont="1" applyBorder="1" applyAlignment="1" applyProtection="1">
      <alignment horizontal="right"/>
      <protection hidden="1"/>
    </xf>
    <xf numFmtId="165" fontId="2" fillId="0" borderId="0" xfId="3" applyNumberFormat="1" applyFont="1" applyProtection="1">
      <protection hidden="1"/>
    </xf>
    <xf numFmtId="165" fontId="3" fillId="0" borderId="0" xfId="3" applyNumberFormat="1" applyProtection="1">
      <protection hidden="1"/>
    </xf>
    <xf numFmtId="165" fontId="4" fillId="0" borderId="0" xfId="3" applyNumberFormat="1" applyFont="1" applyProtection="1">
      <protection hidden="1"/>
    </xf>
    <xf numFmtId="165" fontId="4" fillId="0" borderId="2" xfId="3" applyNumberFormat="1" applyFont="1" applyBorder="1" applyProtection="1">
      <protection hidden="1"/>
    </xf>
    <xf numFmtId="165" fontId="4" fillId="0" borderId="3" xfId="3" applyNumberFormat="1" applyFont="1" applyBorder="1" applyProtection="1">
      <protection hidden="1"/>
    </xf>
    <xf numFmtId="165" fontId="5" fillId="0" borderId="0" xfId="3" applyNumberFormat="1" applyFont="1" applyProtection="1">
      <protection hidden="1"/>
    </xf>
    <xf numFmtId="164" fontId="2" fillId="0" borderId="0" xfId="5" applyNumberFormat="1" applyFont="1" applyProtection="1">
      <protection hidden="1"/>
    </xf>
    <xf numFmtId="0" fontId="3" fillId="0" borderId="0" xfId="5"/>
    <xf numFmtId="164" fontId="3" fillId="0" borderId="1" xfId="5" applyNumberFormat="1" applyBorder="1" applyProtection="1">
      <protection hidden="1"/>
    </xf>
    <xf numFmtId="165" fontId="4" fillId="0" borderId="1" xfId="5" quotePrefix="1" applyNumberFormat="1" applyFont="1" applyBorder="1" applyAlignment="1" applyProtection="1">
      <alignment horizontal="right"/>
      <protection hidden="1"/>
    </xf>
    <xf numFmtId="165" fontId="2" fillId="0" borderId="0" xfId="5" applyNumberFormat="1" applyFont="1" applyProtection="1">
      <protection hidden="1"/>
    </xf>
    <xf numFmtId="165" fontId="3" fillId="0" borderId="0" xfId="5" applyNumberFormat="1" applyProtection="1">
      <protection hidden="1"/>
    </xf>
    <xf numFmtId="165" fontId="4" fillId="0" borderId="0" xfId="5" applyNumberFormat="1" applyFont="1" applyProtection="1">
      <protection hidden="1"/>
    </xf>
    <xf numFmtId="165" fontId="3" fillId="0" borderId="2" xfId="5" applyNumberFormat="1" applyBorder="1" applyProtection="1">
      <protection hidden="1"/>
    </xf>
    <xf numFmtId="165" fontId="4" fillId="0" borderId="8" xfId="5" applyNumberFormat="1" applyFont="1" applyBorder="1" applyProtection="1">
      <protection hidden="1"/>
    </xf>
    <xf numFmtId="165" fontId="4" fillId="0" borderId="5" xfId="5" applyNumberFormat="1" applyFont="1" applyBorder="1" applyProtection="1">
      <protection hidden="1"/>
    </xf>
    <xf numFmtId="165" fontId="4" fillId="0" borderId="9" xfId="5" applyNumberFormat="1" applyFont="1" applyBorder="1" applyProtection="1">
      <protection hidden="1"/>
    </xf>
    <xf numFmtId="164" fontId="2" fillId="0" borderId="0" xfId="6" applyNumberFormat="1" applyFont="1" applyProtection="1">
      <protection hidden="1"/>
    </xf>
    <xf numFmtId="0" fontId="3" fillId="0" borderId="0" xfId="6"/>
    <xf numFmtId="164" fontId="3" fillId="0" borderId="1" xfId="6" applyNumberFormat="1" applyBorder="1" applyProtection="1">
      <protection hidden="1"/>
    </xf>
    <xf numFmtId="165" fontId="4" fillId="0" borderId="1" xfId="6" quotePrefix="1" applyNumberFormat="1" applyFont="1" applyBorder="1" applyAlignment="1" applyProtection="1">
      <alignment horizontal="right"/>
      <protection hidden="1"/>
    </xf>
    <xf numFmtId="165" fontId="2" fillId="0" borderId="0" xfId="6" applyNumberFormat="1" applyFont="1" applyProtection="1">
      <protection hidden="1"/>
    </xf>
    <xf numFmtId="165" fontId="3" fillId="0" borderId="0" xfId="6" applyNumberFormat="1" applyProtection="1">
      <protection hidden="1"/>
    </xf>
    <xf numFmtId="165" fontId="4" fillId="0" borderId="0" xfId="6" applyNumberFormat="1" applyFont="1" applyProtection="1">
      <protection hidden="1"/>
    </xf>
    <xf numFmtId="164" fontId="3" fillId="0" borderId="0" xfId="6" applyNumberFormat="1" applyProtection="1">
      <protection hidden="1"/>
    </xf>
    <xf numFmtId="165" fontId="3" fillId="0" borderId="2" xfId="6" applyNumberFormat="1" applyBorder="1" applyProtection="1">
      <protection hidden="1"/>
    </xf>
    <xf numFmtId="164" fontId="3" fillId="0" borderId="2" xfId="6" applyNumberFormat="1" applyBorder="1" applyProtection="1">
      <protection hidden="1"/>
    </xf>
    <xf numFmtId="165" fontId="4" fillId="0" borderId="10" xfId="6" applyNumberFormat="1" applyFont="1" applyBorder="1" applyProtection="1">
      <protection hidden="1"/>
    </xf>
    <xf numFmtId="165" fontId="3" fillId="0" borderId="6" xfId="6" applyNumberFormat="1" applyBorder="1" applyProtection="1">
      <protection hidden="1"/>
    </xf>
    <xf numFmtId="165" fontId="3" fillId="0" borderId="0" xfId="6" quotePrefix="1" applyNumberFormat="1" applyProtection="1">
      <protection hidden="1"/>
    </xf>
    <xf numFmtId="165" fontId="4" fillId="0" borderId="8" xfId="6" applyNumberFormat="1" applyFont="1" applyBorder="1" applyProtection="1">
      <protection hidden="1"/>
    </xf>
    <xf numFmtId="164" fontId="2" fillId="0" borderId="0" xfId="4" applyNumberFormat="1" applyFont="1" applyProtection="1">
      <protection hidden="1"/>
    </xf>
    <xf numFmtId="0" fontId="3" fillId="2" borderId="0" xfId="4" applyFill="1" applyProtection="1">
      <protection hidden="1"/>
    </xf>
    <xf numFmtId="0" fontId="3" fillId="0" borderId="0" xfId="4" applyProtection="1">
      <protection hidden="1"/>
    </xf>
    <xf numFmtId="164" fontId="3" fillId="2" borderId="0" xfId="4" applyNumberFormat="1" applyFill="1" applyProtection="1">
      <protection hidden="1"/>
    </xf>
    <xf numFmtId="164" fontId="4" fillId="2" borderId="1" xfId="4" applyNumberFormat="1" applyFont="1" applyFill="1" applyBorder="1" applyAlignment="1" applyProtection="1">
      <alignment horizontal="right"/>
      <protection hidden="1"/>
    </xf>
    <xf numFmtId="0" fontId="4" fillId="0" borderId="0" xfId="4" applyFont="1" applyProtection="1">
      <protection hidden="1"/>
    </xf>
    <xf numFmtId="10" fontId="3" fillId="0" borderId="0" xfId="7" applyNumberFormat="1" applyFont="1" applyProtection="1">
      <protection hidden="1"/>
    </xf>
    <xf numFmtId="2" fontId="3" fillId="2" borderId="0" xfId="4" applyNumberFormat="1" applyFill="1" applyProtection="1">
      <protection hidden="1"/>
    </xf>
    <xf numFmtId="2" fontId="3" fillId="0" borderId="0" xfId="8" applyNumberFormat="1" applyProtection="1">
      <protection hidden="1"/>
    </xf>
    <xf numFmtId="10" fontId="3" fillId="2" borderId="0" xfId="2" applyNumberFormat="1" applyFont="1" applyFill="1" applyProtection="1">
      <protection hidden="1"/>
    </xf>
    <xf numFmtId="0" fontId="3" fillId="3" borderId="0" xfId="4" applyFill="1" applyProtection="1">
      <protection hidden="1"/>
    </xf>
    <xf numFmtId="10" fontId="3" fillId="0" borderId="0" xfId="2" applyNumberFormat="1" applyFont="1" applyProtection="1">
      <protection hidden="1"/>
    </xf>
    <xf numFmtId="2" fontId="3" fillId="0" borderId="0" xfId="4" applyNumberFormat="1" applyProtection="1">
      <protection hidden="1"/>
    </xf>
    <xf numFmtId="10" fontId="3" fillId="0" borderId="0" xfId="2" applyNumberFormat="1" applyFont="1" applyFill="1" applyProtection="1">
      <protection hidden="1"/>
    </xf>
    <xf numFmtId="164" fontId="2" fillId="0" borderId="0" xfId="9" applyNumberFormat="1" applyFont="1" applyProtection="1">
      <protection hidden="1"/>
    </xf>
    <xf numFmtId="164" fontId="3" fillId="0" borderId="0" xfId="9" applyNumberFormat="1" applyProtection="1">
      <protection hidden="1"/>
    </xf>
    <xf numFmtId="164" fontId="3" fillId="0" borderId="1" xfId="9" applyNumberFormat="1" applyBorder="1" applyProtection="1">
      <protection hidden="1"/>
    </xf>
    <xf numFmtId="165" fontId="4" fillId="0" borderId="1" xfId="9" quotePrefix="1" applyNumberFormat="1" applyFont="1" applyBorder="1" applyAlignment="1" applyProtection="1">
      <alignment horizontal="right"/>
      <protection hidden="1"/>
    </xf>
    <xf numFmtId="165" fontId="2" fillId="0" borderId="0" xfId="9" applyNumberFormat="1" applyFont="1" applyProtection="1">
      <protection hidden="1"/>
    </xf>
    <xf numFmtId="165" fontId="3" fillId="0" borderId="0" xfId="9" applyNumberFormat="1" applyProtection="1">
      <protection hidden="1"/>
    </xf>
    <xf numFmtId="165" fontId="4" fillId="0" borderId="0" xfId="9" applyNumberFormat="1" applyFont="1" applyProtection="1">
      <protection hidden="1"/>
    </xf>
    <xf numFmtId="165" fontId="3" fillId="0" borderId="0" xfId="10" applyNumberFormat="1" applyProtection="1">
      <protection hidden="1"/>
    </xf>
    <xf numFmtId="165" fontId="4" fillId="0" borderId="2" xfId="10" applyNumberFormat="1" applyFont="1" applyBorder="1" applyProtection="1">
      <protection hidden="1"/>
    </xf>
    <xf numFmtId="165" fontId="4" fillId="0" borderId="9" xfId="10" applyNumberFormat="1" applyFont="1" applyBorder="1" applyProtection="1">
      <protection hidden="1"/>
    </xf>
    <xf numFmtId="165" fontId="5" fillId="0" borderId="0" xfId="9" applyNumberFormat="1" applyFont="1" applyProtection="1">
      <protection hidden="1"/>
    </xf>
    <xf numFmtId="165" fontId="5" fillId="0" borderId="0" xfId="10" applyNumberFormat="1" applyFont="1" applyProtection="1">
      <protection hidden="1"/>
    </xf>
    <xf numFmtId="164" fontId="2" fillId="0" borderId="0" xfId="11" applyNumberFormat="1" applyFont="1" applyProtection="1">
      <protection hidden="1"/>
    </xf>
    <xf numFmtId="164" fontId="3" fillId="0" borderId="0" xfId="11" applyNumberFormat="1" applyProtection="1">
      <protection hidden="1"/>
    </xf>
    <xf numFmtId="164" fontId="3" fillId="0" borderId="1" xfId="11" applyNumberFormat="1" applyBorder="1" applyProtection="1">
      <protection hidden="1"/>
    </xf>
    <xf numFmtId="165" fontId="4" fillId="0" borderId="1" xfId="11" quotePrefix="1" applyNumberFormat="1" applyFont="1" applyBorder="1" applyAlignment="1" applyProtection="1">
      <alignment horizontal="right"/>
      <protection hidden="1"/>
    </xf>
    <xf numFmtId="165" fontId="2" fillId="0" borderId="0" xfId="11" applyNumberFormat="1" applyFont="1" applyProtection="1">
      <protection hidden="1"/>
    </xf>
    <xf numFmtId="165" fontId="3" fillId="0" borderId="0" xfId="11" applyNumberFormat="1" applyProtection="1">
      <protection hidden="1"/>
    </xf>
    <xf numFmtId="165" fontId="4" fillId="0" borderId="0" xfId="11" applyNumberFormat="1" applyFont="1" applyProtection="1">
      <protection hidden="1"/>
    </xf>
    <xf numFmtId="165" fontId="3" fillId="0" borderId="0" xfId="12" applyNumberFormat="1" applyProtection="1">
      <protection hidden="1"/>
    </xf>
    <xf numFmtId="165" fontId="3" fillId="0" borderId="2" xfId="12" applyNumberFormat="1" applyBorder="1" applyProtection="1">
      <protection hidden="1"/>
    </xf>
    <xf numFmtId="165" fontId="4" fillId="0" borderId="8" xfId="12" applyNumberFormat="1" applyFont="1" applyBorder="1" applyProtection="1">
      <protection hidden="1"/>
    </xf>
    <xf numFmtId="165" fontId="3" fillId="0" borderId="2" xfId="11" applyNumberFormat="1" applyBorder="1" applyProtection="1">
      <protection hidden="1"/>
    </xf>
    <xf numFmtId="165" fontId="4" fillId="0" borderId="5" xfId="12" applyNumberFormat="1" applyFont="1" applyBorder="1" applyProtection="1">
      <protection hidden="1"/>
    </xf>
    <xf numFmtId="164" fontId="2" fillId="0" borderId="0" xfId="13" applyNumberFormat="1" applyFont="1" applyProtection="1">
      <protection hidden="1"/>
    </xf>
    <xf numFmtId="164" fontId="3" fillId="0" borderId="0" xfId="13" applyNumberFormat="1" applyProtection="1">
      <protection hidden="1"/>
    </xf>
    <xf numFmtId="164" fontId="3" fillId="0" borderId="1" xfId="13" applyNumberFormat="1" applyBorder="1" applyProtection="1">
      <protection hidden="1"/>
    </xf>
    <xf numFmtId="165" fontId="4" fillId="0" borderId="1" xfId="13" quotePrefix="1" applyNumberFormat="1" applyFont="1" applyBorder="1" applyAlignment="1" applyProtection="1">
      <alignment horizontal="right"/>
      <protection hidden="1"/>
    </xf>
    <xf numFmtId="165" fontId="2" fillId="0" borderId="0" xfId="13" applyNumberFormat="1" applyFont="1" applyProtection="1">
      <protection hidden="1"/>
    </xf>
    <xf numFmtId="165" fontId="3" fillId="0" borderId="0" xfId="13" applyNumberFormat="1" applyProtection="1">
      <protection hidden="1"/>
    </xf>
    <xf numFmtId="165" fontId="4" fillId="0" borderId="0" xfId="13" applyNumberFormat="1" applyFont="1" applyProtection="1">
      <protection hidden="1"/>
    </xf>
    <xf numFmtId="165" fontId="3" fillId="0" borderId="0" xfId="14" applyNumberFormat="1" applyProtection="1">
      <protection hidden="1"/>
    </xf>
    <xf numFmtId="164" fontId="3" fillId="0" borderId="2" xfId="14" applyNumberFormat="1" applyBorder="1" applyProtection="1">
      <protection hidden="1"/>
    </xf>
    <xf numFmtId="164" fontId="3" fillId="0" borderId="2" xfId="15" applyNumberFormat="1" applyBorder="1" applyProtection="1">
      <protection hidden="1"/>
    </xf>
    <xf numFmtId="165" fontId="3" fillId="0" borderId="0" xfId="15" applyNumberFormat="1" applyProtection="1">
      <protection hidden="1"/>
    </xf>
    <xf numFmtId="165" fontId="4" fillId="0" borderId="8" xfId="15" applyNumberFormat="1" applyFont="1" applyBorder="1" applyProtection="1">
      <protection hidden="1"/>
    </xf>
    <xf numFmtId="165" fontId="3" fillId="0" borderId="6" xfId="13" applyNumberFormat="1" applyBorder="1" applyProtection="1">
      <protection hidden="1"/>
    </xf>
    <xf numFmtId="165" fontId="4" fillId="0" borderId="10" xfId="13" applyNumberFormat="1" applyFont="1" applyBorder="1" applyProtection="1">
      <protection hidden="1"/>
    </xf>
    <xf numFmtId="165" fontId="4" fillId="0" borderId="10" xfId="15" applyNumberFormat="1" applyFont="1" applyBorder="1" applyProtection="1">
      <protection hidden="1"/>
    </xf>
    <xf numFmtId="165" fontId="3" fillId="0" borderId="0" xfId="13" quotePrefix="1" applyNumberFormat="1" applyProtection="1">
      <protection hidden="1"/>
    </xf>
    <xf numFmtId="164" fontId="2" fillId="0" borderId="0" xfId="16" applyNumberFormat="1" applyFont="1" applyProtection="1">
      <protection hidden="1"/>
    </xf>
    <xf numFmtId="0" fontId="3" fillId="0" borderId="0" xfId="16" applyProtection="1">
      <protection hidden="1"/>
    </xf>
    <xf numFmtId="164" fontId="4" fillId="0" borderId="0" xfId="13" applyNumberFormat="1" applyFont="1" applyAlignment="1" applyProtection="1">
      <alignment horizontal="right"/>
      <protection hidden="1"/>
    </xf>
    <xf numFmtId="0" fontId="4" fillId="0" borderId="0" xfId="16" applyFont="1" applyProtection="1">
      <protection hidden="1"/>
    </xf>
    <xf numFmtId="2" fontId="3" fillId="0" borderId="0" xfId="17" applyNumberFormat="1" applyProtection="1">
      <protection hidden="1"/>
    </xf>
    <xf numFmtId="0" fontId="3" fillId="0" borderId="0" xfId="17" applyProtection="1">
      <protection hidden="1"/>
    </xf>
    <xf numFmtId="164" fontId="2" fillId="0" borderId="0" xfId="10" applyNumberFormat="1" applyFont="1" applyProtection="1">
      <protection hidden="1"/>
    </xf>
    <xf numFmtId="164" fontId="3" fillId="0" borderId="0" xfId="10" applyNumberFormat="1" applyProtection="1">
      <protection hidden="1"/>
    </xf>
    <xf numFmtId="164" fontId="4" fillId="0" borderId="0" xfId="10" applyNumberFormat="1" applyFont="1" applyAlignment="1" applyProtection="1">
      <alignment horizontal="right"/>
      <protection hidden="1"/>
    </xf>
    <xf numFmtId="164" fontId="3" fillId="0" borderId="1" xfId="10" applyNumberFormat="1" applyBorder="1" applyProtection="1">
      <protection hidden="1"/>
    </xf>
    <xf numFmtId="165" fontId="4" fillId="0" borderId="1" xfId="10" quotePrefix="1" applyNumberFormat="1" applyFont="1" applyBorder="1" applyAlignment="1" applyProtection="1">
      <alignment horizontal="right"/>
      <protection hidden="1"/>
    </xf>
    <xf numFmtId="165" fontId="2" fillId="0" borderId="0" xfId="10" applyNumberFormat="1" applyFont="1" applyProtection="1">
      <protection hidden="1"/>
    </xf>
    <xf numFmtId="165" fontId="4" fillId="0" borderId="0" xfId="10" applyNumberFormat="1" applyFont="1" applyProtection="1">
      <protection hidden="1"/>
    </xf>
    <xf numFmtId="165" fontId="4" fillId="0" borderId="9" xfId="3" applyNumberFormat="1" applyFont="1" applyBorder="1" applyProtection="1">
      <protection hidden="1"/>
    </xf>
    <xf numFmtId="164" fontId="2" fillId="0" borderId="0" xfId="12" applyNumberFormat="1" applyFont="1" applyProtection="1">
      <protection hidden="1"/>
    </xf>
    <xf numFmtId="164" fontId="3" fillId="0" borderId="0" xfId="12" applyNumberFormat="1" applyProtection="1">
      <protection hidden="1"/>
    </xf>
    <xf numFmtId="164" fontId="3" fillId="0" borderId="1" xfId="12" applyNumberFormat="1" applyBorder="1" applyProtection="1">
      <protection hidden="1"/>
    </xf>
    <xf numFmtId="165" fontId="4" fillId="0" borderId="1" xfId="12" quotePrefix="1" applyNumberFormat="1" applyFont="1" applyBorder="1" applyAlignment="1" applyProtection="1">
      <alignment horizontal="right"/>
      <protection hidden="1"/>
    </xf>
    <xf numFmtId="165" fontId="2" fillId="0" borderId="0" xfId="12" applyNumberFormat="1" applyFont="1" applyProtection="1">
      <protection hidden="1"/>
    </xf>
    <xf numFmtId="165" fontId="4" fillId="0" borderId="0" xfId="12" applyNumberFormat="1" applyFont="1" applyProtection="1">
      <protection hidden="1"/>
    </xf>
    <xf numFmtId="165" fontId="3" fillId="0" borderId="0" xfId="18" applyNumberFormat="1" applyProtection="1">
      <protection hidden="1"/>
    </xf>
    <xf numFmtId="165" fontId="3" fillId="0" borderId="2" xfId="18" applyNumberFormat="1" applyBorder="1" applyProtection="1">
      <protection hidden="1"/>
    </xf>
    <xf numFmtId="165" fontId="4" fillId="0" borderId="8" xfId="18" applyNumberFormat="1" applyFont="1" applyBorder="1" applyProtection="1">
      <protection hidden="1"/>
    </xf>
    <xf numFmtId="165" fontId="4" fillId="0" borderId="5" xfId="18" applyNumberFormat="1" applyFont="1" applyBorder="1" applyProtection="1">
      <protection hidden="1"/>
    </xf>
    <xf numFmtId="164" fontId="2" fillId="0" borderId="0" xfId="14" applyNumberFormat="1" applyFont="1" applyProtection="1">
      <protection hidden="1"/>
    </xf>
    <xf numFmtId="164" fontId="3" fillId="0" borderId="0" xfId="14" applyNumberFormat="1" applyProtection="1">
      <protection hidden="1"/>
    </xf>
    <xf numFmtId="164" fontId="3" fillId="0" borderId="1" xfId="14" applyNumberFormat="1" applyBorder="1" applyProtection="1">
      <protection hidden="1"/>
    </xf>
    <xf numFmtId="165" fontId="4" fillId="0" borderId="1" xfId="14" quotePrefix="1" applyNumberFormat="1" applyFont="1" applyBorder="1" applyAlignment="1" applyProtection="1">
      <alignment horizontal="right"/>
      <protection hidden="1"/>
    </xf>
    <xf numFmtId="165" fontId="2" fillId="0" borderId="0" xfId="14" applyNumberFormat="1" applyFont="1" applyProtection="1">
      <protection hidden="1"/>
    </xf>
    <xf numFmtId="165" fontId="4" fillId="0" borderId="0" xfId="14" applyNumberFormat="1" applyFont="1" applyProtection="1">
      <protection hidden="1"/>
    </xf>
    <xf numFmtId="164" fontId="3" fillId="0" borderId="0" xfId="15" applyNumberFormat="1" applyProtection="1">
      <protection hidden="1"/>
    </xf>
    <xf numFmtId="165" fontId="3" fillId="0" borderId="2" xfId="15" applyNumberFormat="1" applyBorder="1" applyProtection="1">
      <protection hidden="1"/>
    </xf>
    <xf numFmtId="164" fontId="4" fillId="0" borderId="8" xfId="15" applyNumberFormat="1" applyFont="1" applyBorder="1" applyProtection="1">
      <protection hidden="1"/>
    </xf>
    <xf numFmtId="165" fontId="3" fillId="0" borderId="6" xfId="14" applyNumberFormat="1" applyBorder="1" applyProtection="1">
      <protection hidden="1"/>
    </xf>
    <xf numFmtId="165" fontId="4" fillId="0" borderId="10" xfId="14" applyNumberFormat="1" applyFont="1" applyBorder="1" applyProtection="1">
      <protection hidden="1"/>
    </xf>
    <xf numFmtId="165" fontId="3" fillId="0" borderId="0" xfId="14" quotePrefix="1" applyNumberFormat="1" applyProtection="1">
      <protection hidden="1"/>
    </xf>
    <xf numFmtId="2" fontId="3" fillId="0" borderId="0" xfId="19" applyNumberFormat="1" applyProtection="1"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164" fontId="4" fillId="0" borderId="0" xfId="3" applyNumberFormat="1" applyFont="1" applyAlignment="1" applyProtection="1">
      <alignment horizontal="center"/>
      <protection hidden="1"/>
    </xf>
    <xf numFmtId="164" fontId="4" fillId="0" borderId="0" xfId="5" applyNumberFormat="1" applyFont="1" applyAlignment="1" applyProtection="1">
      <alignment horizontal="center"/>
      <protection hidden="1"/>
    </xf>
    <xf numFmtId="164" fontId="4" fillId="0" borderId="0" xfId="6" applyNumberFormat="1" applyFont="1" applyAlignment="1" applyProtection="1">
      <alignment horizontal="center"/>
      <protection hidden="1"/>
    </xf>
    <xf numFmtId="164" fontId="4" fillId="0" borderId="0" xfId="4" applyNumberFormat="1" applyFont="1" applyAlignment="1" applyProtection="1">
      <alignment horizontal="center"/>
      <protection hidden="1"/>
    </xf>
    <xf numFmtId="164" fontId="4" fillId="0" borderId="0" xfId="9" applyNumberFormat="1" applyFont="1" applyAlignment="1" applyProtection="1">
      <alignment horizontal="center"/>
      <protection hidden="1"/>
    </xf>
    <xf numFmtId="164" fontId="4" fillId="0" borderId="0" xfId="11" applyNumberFormat="1" applyFont="1" applyAlignment="1" applyProtection="1">
      <alignment horizontal="center"/>
      <protection hidden="1"/>
    </xf>
    <xf numFmtId="164" fontId="4" fillId="0" borderId="0" xfId="13" applyNumberFormat="1" applyFont="1" applyAlignment="1" applyProtection="1">
      <alignment horizontal="center"/>
      <protection hidden="1"/>
    </xf>
    <xf numFmtId="164" fontId="4" fillId="0" borderId="0" xfId="10" applyNumberFormat="1" applyFont="1" applyAlignment="1" applyProtection="1">
      <alignment horizontal="center"/>
      <protection hidden="1"/>
    </xf>
    <xf numFmtId="164" fontId="4" fillId="0" borderId="0" xfId="12" applyNumberFormat="1" applyFont="1" applyAlignment="1" applyProtection="1">
      <alignment horizontal="center"/>
      <protection hidden="1"/>
    </xf>
    <xf numFmtId="164" fontId="4" fillId="0" borderId="0" xfId="14" applyNumberFormat="1" applyFont="1" applyAlignment="1" applyProtection="1">
      <alignment horizontal="center"/>
      <protection hidden="1"/>
    </xf>
  </cellXfs>
  <cellStyles count="20">
    <cellStyle name="Comma" xfId="1" builtinId="3"/>
    <cellStyle name="Normal" xfId="0" builtinId="0"/>
    <cellStyle name="Normal 51" xfId="5" xr:uid="{56AA4269-B2DC-40A5-9202-2A586FAFF185}"/>
    <cellStyle name="Normal 52" xfId="6" xr:uid="{8A5D0148-EE57-4E1D-959E-B59E7A18E739}"/>
    <cellStyle name="Normal 55" xfId="8" xr:uid="{EE031CFE-C29E-48AA-B397-7D55B7A5A2AB}"/>
    <cellStyle name="Normal_Baance Sheet" xfId="11" xr:uid="{A56B7070-7FDE-4F66-B89E-16935A74BCFA}"/>
    <cellStyle name="Normal_Balance Sheet" xfId="12" xr:uid="{D8F82BD1-AB1D-4C8D-B1A9-543F280E21BB}"/>
    <cellStyle name="Normal_Balance Sheet_1" xfId="18" xr:uid="{D1DBDFC5-64DE-450E-8BF9-C463770C125A}"/>
    <cellStyle name="Normal_Cash Flow" xfId="14" xr:uid="{18C0C5D2-C953-4F83-B022-A7FAA09EA8C5}"/>
    <cellStyle name="Normal_Cash Flow_1" xfId="15" xr:uid="{3E99FE84-363F-4073-966A-7A2FB9FC10E2}"/>
    <cellStyle name="Normal_Income Statement" xfId="10" xr:uid="{6C346714-1D59-4BA4-9B4C-A5C0DE0DAF24}"/>
    <cellStyle name="Normal_Income Statement_1" xfId="3" xr:uid="{A52C33BB-73E5-42A4-B3EE-34F5E7F5012D}"/>
    <cellStyle name="Normal_KPI Calculation" xfId="16" xr:uid="{D497582A-2EAF-4D6D-9FDF-3F34EB260314}"/>
    <cellStyle name="Normal_KPI Calculation_1" xfId="17" xr:uid="{5CDD456A-FEA0-486F-96FE-F101A9B2AECF}"/>
    <cellStyle name="Normal_KPIs" xfId="4" xr:uid="{469B86CD-0F47-496F-9BD8-1E4C1940A70B}"/>
    <cellStyle name="Normal_KPIs_1" xfId="19" xr:uid="{3C6FB0B9-B8A9-4CF2-BDAD-058FDDF9FABD}"/>
    <cellStyle name="Normal_Sheet1" xfId="9" xr:uid="{A822C052-4EA5-4D81-A845-0971A5B81069}"/>
    <cellStyle name="Normal_Sheet3" xfId="13" xr:uid="{B8EA2819-040F-412A-863C-5C008CB44EBE}"/>
    <cellStyle name="Percent" xfId="2" builtinId="5"/>
    <cellStyle name="Percent 2" xfId="7" xr:uid="{6A0A4C51-3652-4D57-8F9F-E37078F155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_CG_DATA/Projects_Folder/CG%20-%20Financial%20Services/Long_Term_Financial_Plan_SF5282/Long%20Term%20Financial%20Plans/LTFP%20v12%20Consolidated%20-%20DP-AOP/LTFP_Consolidated_Workfil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_CG_DATA/Projects_Folder/CG%20-%20Financial%20Services/Long_Term_Financial_Plan_SF5282/Long%20Term%20Financial%20Plans/LTFP%20v12%20Consolidated%20-%20DP-AOP/LTFP_Water_Main_Workfile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_CG_DATA/Projects_Folder/CG%20-%20Financial%20Services/Long_Term_Financial_Plan_SF5282/Long%20Term%20Financial%20Plans/LTFP%20v12%20Consolidated%20-%20DP-AOP/LTFP_General_Main_Workfile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ater%20Fund%20-%20LTFP%20Financials%20-%20v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ewer%20Fund%20-%20LTFP%20Financials%20-%20v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names"/>
      <sheetName val="Check Range names"/>
      <sheetName val="drop down list"/>
      <sheetName val="Cover Page"/>
      <sheetName val="Global Index Descr"/>
      <sheetName val="year"/>
      <sheetName val="Checklist"/>
      <sheetName val="General Model Assumptions"/>
      <sheetName val="Income Statement"/>
      <sheetName val="IS workings"/>
      <sheetName val="Income Statement - General"/>
      <sheetName val="Income Statement - Water"/>
      <sheetName val="Income Statement - Sewer"/>
      <sheetName val="Income Statement - Other 1"/>
      <sheetName val="Income Statement - Other 2"/>
      <sheetName val="Income Statement - Other 3"/>
      <sheetName val="Balance Sheet"/>
      <sheetName val="Balance Sheet - General"/>
      <sheetName val="Balance Sheet - Water"/>
      <sheetName val="Balance Sheet - Sewer"/>
      <sheetName val="Balance Sheet - Other 1"/>
      <sheetName val="Balance Sheet - Other 2"/>
      <sheetName val="Balance Sheet - Other 3"/>
      <sheetName val="Cash Flow"/>
      <sheetName val="Cash Flow - General"/>
      <sheetName val="Cash Flow - Water"/>
      <sheetName val="Cash Flow - Sewer"/>
      <sheetName val="Cash Flow - Other 1"/>
      <sheetName val="Cash Flow - Other 2"/>
      <sheetName val="Cash Flow - Other 3"/>
      <sheetName val="Equity Statement"/>
      <sheetName val="Equity Statement - General"/>
      <sheetName val="Equity Statement - Water"/>
      <sheetName val="Equity Statement - Sewer"/>
      <sheetName val="Equity Statement - Other 1"/>
      <sheetName val="Equity Statement - Other 2"/>
      <sheetName val="Equity Statement - Other 3"/>
      <sheetName val="TY-LY Comparison"/>
      <sheetName val="Historical Data"/>
      <sheetName val="Historical Data - General"/>
      <sheetName val="Historical Data - Water"/>
      <sheetName val="Historical Data - Sewer"/>
      <sheetName val="Historical Data - Other 1"/>
      <sheetName val="Historical Data - Other 2"/>
      <sheetName val="Historical Data - Other 3"/>
      <sheetName val="Interest Calculation"/>
      <sheetName val="Charts"/>
      <sheetName val="Chart Data"/>
      <sheetName val="Scenarios - Consolidated"/>
      <sheetName val="KPI - Snapshot - Consolidated"/>
      <sheetName val="KPI - Benchmark Targets"/>
      <sheetName val="KPI calculation"/>
      <sheetName val="Cap Exp Summary"/>
      <sheetName val="Exp Type Summary"/>
      <sheetName val="Budget Summary 1"/>
      <sheetName val="IS-BS table"/>
      <sheetName val="Budget Summary 2"/>
      <sheetName val="Budget Reconciliation"/>
      <sheetName val="Working Capital"/>
      <sheetName val="Summary L1"/>
      <sheetName val="Summary L2"/>
      <sheetName val="Summary L3"/>
      <sheetName val="Summary L4"/>
      <sheetName val="Summary L5"/>
      <sheetName val="Summary L6"/>
      <sheetName val="Summary F1"/>
      <sheetName val="Summary F2"/>
      <sheetName val="Summary F3"/>
      <sheetName val="Summary F4"/>
      <sheetName val="Dev Contr - Summary"/>
      <sheetName val="CAPEX - Summary"/>
      <sheetName val="Major Projects summary"/>
      <sheetName val="RE Dev Summary"/>
      <sheetName val="Assets - Disposals &amp; Transfers"/>
      <sheetName val="IPP&amp;E Reconciliation"/>
      <sheetName val="Loans - External"/>
      <sheetName val="Loans Payable - Internal"/>
      <sheetName val="Loans Receivable - Internal"/>
      <sheetName val="Leases"/>
      <sheetName val="Internal Reserves"/>
      <sheetName val="External Reserves"/>
      <sheetName val="Chart 1"/>
      <sheetName val="Chart 2"/>
      <sheetName val="Group Data"/>
      <sheetName val="Reserves"/>
      <sheetName val="Global Indexation"/>
      <sheetName val="Population Indexation"/>
    </sheetNames>
    <sheetDataSet>
      <sheetData sheetId="0" refreshError="1"/>
      <sheetData sheetId="1" refreshError="1"/>
      <sheetData sheetId="2" refreshError="1"/>
      <sheetData sheetId="3">
        <row r="11">
          <cell r="G11" t="str">
            <v>Rolled over from V11 - 19/20 base year</v>
          </cell>
        </row>
      </sheetData>
      <sheetData sheetId="4" refreshError="1"/>
      <sheetData sheetId="5">
        <row r="4">
          <cell r="D4">
            <v>2021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875">
          <cell r="A875" t="str">
            <v>Inventories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names"/>
      <sheetName val="Check Range names"/>
      <sheetName val="drop down list"/>
      <sheetName val="Cover Page"/>
      <sheetName val="year"/>
      <sheetName val="Checklist"/>
      <sheetName val="IS-BS table general"/>
      <sheetName val="Income Statement"/>
      <sheetName val="IS Workings"/>
      <sheetName val="Balance Sheet"/>
      <sheetName val="BS workings"/>
      <sheetName val="Cash Flow"/>
      <sheetName val="CF workings"/>
      <sheetName val="Equity Statement"/>
      <sheetName val="EQS workings"/>
      <sheetName val="Target %"/>
      <sheetName val="TY-LY Comparison"/>
      <sheetName val="Interest Calculation"/>
      <sheetName val="Budget Summary 1"/>
      <sheetName val="Budget Reconciliation"/>
      <sheetName val="Budget Summary 2"/>
      <sheetName val="Budget Summary 1 by level"/>
      <sheetName val="Budget Summary 2 by level"/>
      <sheetName val="Cap Exp Summary"/>
      <sheetName val="Exp Type Summary"/>
      <sheetName val="Working Capital"/>
      <sheetName val="Historical Data"/>
      <sheetName val="Summary L1"/>
      <sheetName val="Summary L2"/>
      <sheetName val="Summary L3"/>
      <sheetName val="Summary L4"/>
      <sheetName val="Summary L5"/>
      <sheetName val="Summary L6"/>
      <sheetName val="Summary F1"/>
      <sheetName val="Summary F2"/>
      <sheetName val="Summary F3"/>
      <sheetName val="Summary F4"/>
      <sheetName val="KPI - Snapshot"/>
      <sheetName val="KPI - Benchmark Targets"/>
      <sheetName val="KPI calculation"/>
      <sheetName val="Charts"/>
      <sheetName val="Chart Data"/>
      <sheetName val="Chart 1 General"/>
      <sheetName val="Chart 2 General"/>
      <sheetName val="Scenarios"/>
      <sheetName val="S94 - Plan Summary"/>
      <sheetName val="S94 Plans"/>
      <sheetName val="S94 Plans --&gt;"/>
      <sheetName val="S94 specific Plans --&gt;"/>
      <sheetName val="S94 - Plan 1"/>
      <sheetName val="&lt;-- S94 specific Plans"/>
      <sheetName val="S94 Plan reconciling --&gt;"/>
      <sheetName val="S94 - Not under Plan"/>
      <sheetName val="&lt;-- S94 Plan reconciling"/>
      <sheetName val="&lt;-- S94 Plans"/>
      <sheetName val="S94 - Plan spare"/>
      <sheetName val="CAPEX Summary"/>
      <sheetName val="CAPEX program"/>
      <sheetName val="Major Projects summary"/>
      <sheetName val="Major Projects dump"/>
      <sheetName val="RE Dev Summary"/>
      <sheetName val="RE Dev --&gt;"/>
      <sheetName val="RE Dev Reconciling --&gt;"/>
      <sheetName val="RE Dev 1"/>
      <sheetName val="&lt;-- RE Dev Reconciling"/>
      <sheetName val="RE Dev additional --&gt;"/>
      <sheetName val="&lt;-- RE Dev additional"/>
      <sheetName val="&lt;-- RE Dev"/>
      <sheetName val="RE Dev spare"/>
      <sheetName val="Assets - Disposals &amp; Transfers"/>
      <sheetName val="IPP&amp;E Reconciliation"/>
      <sheetName val="Loans - External"/>
      <sheetName val="Loans Payable - Internal"/>
      <sheetName val="Loans Receivable - Internal"/>
      <sheetName val="Leases"/>
      <sheetName val="Internal Reserves"/>
      <sheetName val="External Reserves"/>
      <sheetName val="Leave Entitlements General"/>
      <sheetName val="Group Data General"/>
      <sheetName val="Global Indexation"/>
      <sheetName val="Population Indexation"/>
      <sheetName val="GL Table"/>
      <sheetName val="CoA - Op Exp"/>
      <sheetName val="CoA - Op Inc"/>
      <sheetName val="CoA - Cap Exp"/>
      <sheetName val="CoA - Cap Inc"/>
      <sheetName val="CoA - Res Exp"/>
      <sheetName val="CoA - Res Inc"/>
      <sheetName val="CoA - Int Exp"/>
      <sheetName val="CoA - Int Inc"/>
      <sheetName val="check s94"/>
      <sheetName val="check RE Dev"/>
      <sheetName val="Database Extract"/>
      <sheetName val="Database"/>
      <sheetName val="Data Dump"/>
      <sheetName val="writing errors"/>
      <sheetName val="Levels (Org Structure)"/>
      <sheetName val="Fcts (Fctional Struct)"/>
      <sheetName val="Acct Components"/>
      <sheetName val="LSOp --&gt;"/>
      <sheetName val="LSGOp1"/>
      <sheetName val="LSGOp2"/>
      <sheetName val="LSGOp3"/>
      <sheetName val="LSGOp4"/>
      <sheetName val="LSGOp5"/>
      <sheetName val="LSGOp6"/>
      <sheetName val="LSGOp7"/>
      <sheetName val="LSGOp8"/>
      <sheetName val="LSGOp9"/>
      <sheetName val="LSGOp10"/>
      <sheetName val="LSGOp11"/>
      <sheetName val="LSGOp12"/>
      <sheetName val="LSGOp13"/>
      <sheetName val="LSGOp14"/>
      <sheetName val="LSGOp15"/>
      <sheetName val="LSGOp16"/>
      <sheetName val="LSGOp17"/>
      <sheetName val="LSGOp18"/>
      <sheetName val="LSGOp19"/>
      <sheetName val="LSGOp20"/>
      <sheetName val="&lt;-- LSOp"/>
      <sheetName val="LSCap --&gt;"/>
      <sheetName val="LSGCap1"/>
      <sheetName val="LSGCap2"/>
      <sheetName val="LSGCap3"/>
      <sheetName val="LSGCap4"/>
      <sheetName val="LSGCap5"/>
      <sheetName val="LSGCap6"/>
      <sheetName val="LSGCap7"/>
      <sheetName val="LSGCap8"/>
      <sheetName val="LSGCap9"/>
      <sheetName val="LSGCap10"/>
      <sheetName val="LSGCap11"/>
      <sheetName val="LSGCap12"/>
      <sheetName val="LSGCap13"/>
      <sheetName val="LSGCap14"/>
      <sheetName val="LSGCap15"/>
      <sheetName val="LSGCap16"/>
      <sheetName val="LSGCap17"/>
      <sheetName val="LSGCap18"/>
      <sheetName val="LSGCap19"/>
      <sheetName val="LSGCap20"/>
      <sheetName val="&lt;-- LSCap"/>
      <sheetName val="LSMajor --&gt;"/>
      <sheetName val="LSGMajor1"/>
      <sheetName val="LSGMajor2"/>
      <sheetName val="LSGMajor3"/>
      <sheetName val="LSGMajor4"/>
      <sheetName val="LSGMajor5"/>
      <sheetName val="LSGMajor6"/>
      <sheetName val="LSGMajor7"/>
      <sheetName val="LSGMajor8"/>
      <sheetName val="LSGMajor9"/>
      <sheetName val="LSGMajor10"/>
      <sheetName val="&lt;-- LSMajor"/>
      <sheetName val="FLS --&gt;"/>
      <sheetName val="FinLSG1"/>
      <sheetName val="FinLSG2"/>
      <sheetName val="FinLSG3"/>
      <sheetName val="FinLSG4"/>
      <sheetName val="FinLSG5"/>
      <sheetName val="FinLSG6"/>
      <sheetName val="FinLSG7"/>
      <sheetName val="FinLSG8"/>
      <sheetName val="FinLSG9"/>
      <sheetName val="FinLSG10"/>
      <sheetName val="&lt;-- FLS"/>
      <sheetName val="LSInt --&gt;"/>
      <sheetName val="LSGInt1"/>
      <sheetName val="LSGInt2"/>
      <sheetName val="LSGInt3"/>
      <sheetName val="LSGInt4"/>
      <sheetName val="LSGInt5"/>
      <sheetName val="LSGInt6"/>
      <sheetName val="LSGInt7"/>
      <sheetName val="LSGInt8"/>
      <sheetName val="LSGInt9"/>
      <sheetName val="LSGInt10"/>
      <sheetName val="&lt;-- LSInt"/>
    </sheetNames>
    <sheetDataSet>
      <sheetData sheetId="0"/>
      <sheetData sheetId="1"/>
      <sheetData sheetId="2"/>
      <sheetData sheetId="3">
        <row r="11">
          <cell r="E11" t="str">
            <v>Rolled over from V11 - 19/20 base year</v>
          </cell>
        </row>
      </sheetData>
      <sheetData sheetId="4">
        <row r="5">
          <cell r="E5">
            <v>2021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names"/>
      <sheetName val="Check Range names"/>
      <sheetName val="drop down list"/>
      <sheetName val="Cover Page"/>
      <sheetName val="year"/>
      <sheetName val="Checklist"/>
      <sheetName val="IS-BS table general"/>
      <sheetName val="Income Statement"/>
      <sheetName val="IS Workings"/>
      <sheetName val="Balance Sheet"/>
      <sheetName val="BS workings"/>
      <sheetName val="Cash Flow"/>
      <sheetName val="CF workings"/>
      <sheetName val="Equity Statement"/>
      <sheetName val="EQS workings"/>
      <sheetName val="Target %"/>
      <sheetName val="TY-LY Comparison"/>
      <sheetName val="Interest Calculation"/>
      <sheetName val="Budget Summary 1"/>
      <sheetName val="Budget Reconciliation"/>
      <sheetName val="Budget Summary 2"/>
      <sheetName val="Budget Summary 1 by level"/>
      <sheetName val="Budget Summary 2 by level"/>
      <sheetName val="Cap Exp Summary"/>
      <sheetName val="Exp Type Summary"/>
      <sheetName val="Working Capital"/>
      <sheetName val="Historical Data"/>
      <sheetName val="Summary L1"/>
      <sheetName val="Summary L2"/>
      <sheetName val="Summary L3"/>
      <sheetName val="Summary L4"/>
      <sheetName val="Summary L5"/>
      <sheetName val="Summary L6"/>
      <sheetName val="Summary F1"/>
      <sheetName val="Summary F2"/>
      <sheetName val="Summary F3"/>
      <sheetName val="Summary F4"/>
      <sheetName val="KPI - Snapshot"/>
      <sheetName val="KPI - Benchmark Targets"/>
      <sheetName val="KPI calculation"/>
      <sheetName val="Charts"/>
      <sheetName val="Chart Data"/>
      <sheetName val="Chart 1 General"/>
      <sheetName val="Chart 2 General"/>
      <sheetName val="Scenarios"/>
      <sheetName val="S94 - Plan Summary"/>
      <sheetName val="S94 Plans"/>
      <sheetName val="S94 Plans --&gt;"/>
      <sheetName val="S94 specific Plans --&gt;"/>
      <sheetName val="S94 - Plan 1"/>
      <sheetName val="&lt;-- S94 specific Plans"/>
      <sheetName val="S94 Plan reconciling --&gt;"/>
      <sheetName val="S94 - Not under Plan"/>
      <sheetName val="&lt;-- S94 Plan reconciling"/>
      <sheetName val="&lt;-- S94 Plans"/>
      <sheetName val="S94 - Plan spare"/>
      <sheetName val="CAPEX Summary"/>
      <sheetName val="CAPEX program"/>
      <sheetName val="Major Projects summary"/>
      <sheetName val="Major Projects dump"/>
      <sheetName val="RE Dev Summary"/>
      <sheetName val="RE Dev --&gt;"/>
      <sheetName val="RE Dev Reconciling --&gt;"/>
      <sheetName val="RE Dev 1"/>
      <sheetName val="&lt;-- RE Dev Reconciling"/>
      <sheetName val="RE Dev additional --&gt;"/>
      <sheetName val="&lt;-- RE Dev additional"/>
      <sheetName val="&lt;-- RE Dev"/>
      <sheetName val="RE Dev spare"/>
      <sheetName val="Assets - Disposals &amp; Transfers"/>
      <sheetName val="IPP&amp;E Reconciliation"/>
      <sheetName val="Loans - External"/>
      <sheetName val="Loans Payable - Internal"/>
      <sheetName val="Loans Receivable - Internal"/>
      <sheetName val="Leases"/>
      <sheetName val="Internal Reserves"/>
      <sheetName val="External Reserves"/>
      <sheetName val="Leave Entitlements General"/>
      <sheetName val="Group Data General"/>
      <sheetName val="Global Indexation"/>
      <sheetName val="Population Indexation"/>
      <sheetName val="GL Table"/>
      <sheetName val="CoA - Op Exp"/>
      <sheetName val="CoA - Op Inc"/>
      <sheetName val="CoA - Cap Exp"/>
      <sheetName val="CoA - Cap Inc"/>
      <sheetName val="CoA - Int Exp"/>
      <sheetName val="CoA - Res Exp"/>
      <sheetName val="CoA - Res Inc"/>
      <sheetName val="CoA - Int Inc"/>
      <sheetName val="check s94"/>
      <sheetName val="check RE Dev"/>
      <sheetName val="Database Extract"/>
      <sheetName val="Database"/>
      <sheetName val="Data Dump"/>
      <sheetName val="writing errors"/>
      <sheetName val="Levels (Org Structure)"/>
      <sheetName val="Fcts (Fctional Struct)"/>
      <sheetName val="Acct Components"/>
      <sheetName val="LSOp --&gt;"/>
      <sheetName val="LSGOp1"/>
      <sheetName val="LSGOp2"/>
      <sheetName val="LSGOp3"/>
      <sheetName val="LSGOp4"/>
      <sheetName val="LSGOp5"/>
      <sheetName val="LSGOp6"/>
      <sheetName val="LSGOp7"/>
      <sheetName val="LSGOp8"/>
      <sheetName val="LSGOp9"/>
      <sheetName val="LSGOp10"/>
      <sheetName val="LSGOp11"/>
      <sheetName val="LSGOp12"/>
      <sheetName val="LSGOp13"/>
      <sheetName val="LSGOp14"/>
      <sheetName val="LSGOp15"/>
      <sheetName val="LSGOp16"/>
      <sheetName val="LSGOp17"/>
      <sheetName val="LSGOp18"/>
      <sheetName val="LSGOp19"/>
      <sheetName val="LSGOp20"/>
      <sheetName val="&lt;-- LSOp"/>
      <sheetName val="LSCap --&gt;"/>
      <sheetName val="LSGCap1"/>
      <sheetName val="LSGCap2"/>
      <sheetName val="LSGCap3"/>
      <sheetName val="LSGCap4"/>
      <sheetName val="LSGCap5"/>
      <sheetName val="LSGCap6"/>
      <sheetName val="LSGCap7"/>
      <sheetName val="LSGCap8"/>
      <sheetName val="LSGCap9"/>
      <sheetName val="LSGCap10"/>
      <sheetName val="LSGCap11"/>
      <sheetName val="LSGCap12"/>
      <sheetName val="LSGCap13"/>
      <sheetName val="LSGCap14"/>
      <sheetName val="LSGCap15"/>
      <sheetName val="LSGCap16"/>
      <sheetName val="LSGCap17"/>
      <sheetName val="LSGCap18"/>
      <sheetName val="LSGCap19"/>
      <sheetName val="LSGCap20"/>
      <sheetName val="&lt;-- LSCap"/>
      <sheetName val="LSMajor --&gt;"/>
      <sheetName val="LSGMajor1"/>
      <sheetName val="LSGMajor2"/>
      <sheetName val="LSGMajor3"/>
      <sheetName val="LSGMajor4"/>
      <sheetName val="LSGMajor5"/>
      <sheetName val="LSGMajor6"/>
      <sheetName val="LSGMajor7"/>
      <sheetName val="LSGMajor8"/>
      <sheetName val="LSGMajor9"/>
      <sheetName val="LSGMajor10"/>
      <sheetName val="&lt;-- LSMajor"/>
      <sheetName val="FLS --&gt;"/>
      <sheetName val="FinLSG1"/>
      <sheetName val="FinLSG2"/>
      <sheetName val="FinLSG3"/>
      <sheetName val="FinLSG4"/>
      <sheetName val="FinLSG5"/>
      <sheetName val="FinLSG6"/>
      <sheetName val="FinLSG7"/>
      <sheetName val="FinLSG8"/>
      <sheetName val="FinLSG9"/>
      <sheetName val="FinLSG10"/>
      <sheetName val="&lt;-- FLS"/>
      <sheetName val="LSInt --&gt;"/>
      <sheetName val="LSGInt1"/>
      <sheetName val="LSGInt2"/>
      <sheetName val="LSGInt3"/>
      <sheetName val="LSGInt4"/>
      <sheetName val="LSGInt5"/>
      <sheetName val="LSGInt6"/>
      <sheetName val="LSGInt7"/>
      <sheetName val="LSGInt8"/>
      <sheetName val="LSGInt9"/>
      <sheetName val="LSGInt10"/>
      <sheetName val="&lt;-- LS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866">
          <cell r="A866" t="str">
            <v>Contract assets</v>
          </cell>
        </row>
        <row r="868">
          <cell r="A868" t="str">
            <v>Other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sh Flow"/>
      <sheetName val="KPI Calculation"/>
      <sheetName val="Capital Works Program"/>
      <sheetName val="External Restrictions"/>
    </sheetNames>
    <sheetDataSet>
      <sheetData sheetId="0"/>
      <sheetData sheetId="1">
        <row r="9">
          <cell r="B9">
            <v>20195628.02944766</v>
          </cell>
          <cell r="C9">
            <v>21414864.403546695</v>
          </cell>
          <cell r="D9">
            <v>22981890.0350837</v>
          </cell>
          <cell r="E9">
            <v>24358948.904621486</v>
          </cell>
          <cell r="F9">
            <v>19429957.350341793</v>
          </cell>
          <cell r="G9">
            <v>20736480.424786605</v>
          </cell>
          <cell r="H9">
            <v>22435838.940203689</v>
          </cell>
          <cell r="I9">
            <v>24187149.939192254</v>
          </cell>
          <cell r="J9">
            <v>24432028.456246119</v>
          </cell>
          <cell r="K9">
            <v>22058023.653025184</v>
          </cell>
        </row>
        <row r="15">
          <cell r="B15">
            <v>4355418.7405462461</v>
          </cell>
          <cell r="C15">
            <v>4618361.0439578332</v>
          </cell>
          <cell r="D15">
            <v>4956308.0883657048</v>
          </cell>
          <cell r="E15">
            <v>5253286.6224561017</v>
          </cell>
          <cell r="F15">
            <v>4190293.0796852964</v>
          </cell>
          <cell r="G15">
            <v>4472059.7608251786</v>
          </cell>
          <cell r="H15">
            <v>4838545.9089242741</v>
          </cell>
          <cell r="I15">
            <v>5216236.2057745364</v>
          </cell>
          <cell r="J15">
            <v>5269047.0656684907</v>
          </cell>
          <cell r="K15">
            <v>4757065.710346506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sh Flow"/>
      <sheetName val="KPIs"/>
      <sheetName val="Capital Works Program"/>
      <sheetName val="External Restrictions"/>
    </sheetNames>
    <sheetDataSet>
      <sheetData sheetId="0"/>
      <sheetData sheetId="1">
        <row r="9">
          <cell r="B9">
            <v>39938948.745115504</v>
          </cell>
          <cell r="C9">
            <v>40462272.107015893</v>
          </cell>
          <cell r="D9">
            <v>44024379.707229629</v>
          </cell>
          <cell r="E9">
            <v>48175488.748322085</v>
          </cell>
          <cell r="F9">
            <v>52216639.802582614</v>
          </cell>
          <cell r="G9">
            <v>58814883.037178233</v>
          </cell>
          <cell r="H9">
            <v>63147213.997179694</v>
          </cell>
          <cell r="I9">
            <v>67884090.389438823</v>
          </cell>
          <cell r="J9">
            <v>75129567.324101418</v>
          </cell>
          <cell r="K9">
            <v>85225795.749669999</v>
          </cell>
        </row>
        <row r="15">
          <cell r="B15">
            <v>9137499.5744320285</v>
          </cell>
          <cell r="C15">
            <v>9257228.9901252724</v>
          </cell>
          <cell r="D15">
            <v>10072191.769660495</v>
          </cell>
          <cell r="E15">
            <v>11021910.234672474</v>
          </cell>
          <cell r="F15">
            <v>11946471.776694462</v>
          </cell>
          <cell r="G15">
            <v>13456061.954765689</v>
          </cell>
          <cell r="H15">
            <v>14447241.581348961</v>
          </cell>
          <cell r="I15">
            <v>15530975.815182505</v>
          </cell>
          <cell r="J15">
            <v>17188644.444107883</v>
          </cell>
          <cell r="K15">
            <v>19498527.048448689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74A1A-0BC9-4141-9211-6DBA08946D66}">
  <dimension ref="A1:K31"/>
  <sheetViews>
    <sheetView tabSelected="1" workbookViewId="0">
      <selection activeCell="E14" sqref="E14"/>
    </sheetView>
  </sheetViews>
  <sheetFormatPr defaultRowHeight="15" x14ac:dyDescent="0.25"/>
  <cols>
    <col min="1" max="1" width="59.7109375" bestFit="1" customWidth="1"/>
    <col min="2" max="11" width="12.28515625" bestFit="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1</v>
      </c>
      <c r="B3" s="159" t="s">
        <v>2</v>
      </c>
      <c r="C3" s="159"/>
      <c r="D3" s="159"/>
      <c r="E3" s="159"/>
      <c r="F3" s="159"/>
      <c r="G3" s="159"/>
      <c r="H3" s="159"/>
      <c r="I3" s="159"/>
      <c r="J3" s="159"/>
      <c r="K3" s="159"/>
    </row>
    <row r="4" spans="1:11" x14ac:dyDescent="0.25">
      <c r="A4" s="1" t="s">
        <v>101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106</v>
      </c>
    </row>
    <row r="5" spans="1:11" ht="15.75" thickBot="1" x14ac:dyDescent="0.3">
      <c r="A5" s="6"/>
      <c r="B5" s="7" t="s">
        <v>12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12</v>
      </c>
      <c r="H5" s="7" t="s">
        <v>12</v>
      </c>
      <c r="I5" s="7" t="s">
        <v>12</v>
      </c>
      <c r="J5" s="7" t="s">
        <v>12</v>
      </c>
      <c r="K5" s="7" t="s">
        <v>12</v>
      </c>
    </row>
    <row r="6" spans="1:11" x14ac:dyDescent="0.25">
      <c r="A6" s="8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0" t="s">
        <v>14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9" t="s">
        <v>15</v>
      </c>
      <c r="B8" s="9">
        <v>75264300</v>
      </c>
      <c r="C8" s="9">
        <v>77758017</v>
      </c>
      <c r="D8" s="9">
        <v>79313174</v>
      </c>
      <c r="E8" s="9">
        <v>80899441</v>
      </c>
      <c r="F8" s="9">
        <v>82520572.599999994</v>
      </c>
      <c r="G8" s="9">
        <v>84174075.290000021</v>
      </c>
      <c r="H8" s="9">
        <v>85860595.730000004</v>
      </c>
      <c r="I8" s="9">
        <v>87580793.369999975</v>
      </c>
      <c r="J8" s="9">
        <v>89335341.080000013</v>
      </c>
      <c r="K8" s="9">
        <v>91113818.179999992</v>
      </c>
    </row>
    <row r="9" spans="1:11" x14ac:dyDescent="0.25">
      <c r="A9" s="9" t="s">
        <v>16</v>
      </c>
      <c r="B9" s="9">
        <v>41080458</v>
      </c>
      <c r="C9" s="9">
        <v>43550869</v>
      </c>
      <c r="D9" s="9">
        <v>44416813</v>
      </c>
      <c r="E9" s="9">
        <v>45330509</v>
      </c>
      <c r="F9" s="9">
        <v>45975450.800000004</v>
      </c>
      <c r="G9" s="9">
        <v>46909189.070000008</v>
      </c>
      <c r="H9" s="9">
        <v>45388613.980000004</v>
      </c>
      <c r="I9" s="9">
        <v>46213156.930000022</v>
      </c>
      <c r="J9" s="9">
        <v>47032193.589999996</v>
      </c>
      <c r="K9" s="9">
        <v>47846043.130000003</v>
      </c>
    </row>
    <row r="10" spans="1:11" x14ac:dyDescent="0.25">
      <c r="A10" s="9" t="s">
        <v>18</v>
      </c>
      <c r="B10" s="9">
        <v>3875682</v>
      </c>
      <c r="C10" s="9">
        <v>8918110</v>
      </c>
      <c r="D10" s="9">
        <v>9093410</v>
      </c>
      <c r="E10" s="9">
        <v>9272214</v>
      </c>
      <c r="F10" s="9">
        <v>9455528.1599999964</v>
      </c>
      <c r="G10" s="9">
        <v>9644132.4600000009</v>
      </c>
      <c r="H10" s="9">
        <v>9836508.7700000014</v>
      </c>
      <c r="I10" s="9">
        <v>10032732.570000002</v>
      </c>
      <c r="J10" s="9">
        <v>10232880.93</v>
      </c>
      <c r="K10" s="9">
        <v>10436865.270000001</v>
      </c>
    </row>
    <row r="11" spans="1:11" x14ac:dyDescent="0.25">
      <c r="A11" s="9" t="s">
        <v>19</v>
      </c>
      <c r="B11" s="9">
        <v>22952447</v>
      </c>
      <c r="C11" s="9">
        <v>20527035</v>
      </c>
      <c r="D11" s="9">
        <v>20789545</v>
      </c>
      <c r="E11" s="9">
        <v>20527311</v>
      </c>
      <c r="F11" s="9">
        <v>20856625.890000001</v>
      </c>
      <c r="G11" s="9">
        <v>21146856.249999996</v>
      </c>
      <c r="H11" s="9">
        <v>21465472.829999998</v>
      </c>
      <c r="I11" s="9">
        <v>21883568.889999997</v>
      </c>
      <c r="J11" s="9">
        <v>22142241.399999999</v>
      </c>
      <c r="K11" s="9">
        <v>22454589.099999998</v>
      </c>
    </row>
    <row r="12" spans="1:11" x14ac:dyDescent="0.25">
      <c r="A12" s="9" t="s">
        <v>20</v>
      </c>
      <c r="B12" s="9">
        <v>31881532</v>
      </c>
      <c r="C12" s="9">
        <v>5400486</v>
      </c>
      <c r="D12" s="9">
        <v>5485268</v>
      </c>
      <c r="E12" s="9">
        <v>5553414</v>
      </c>
      <c r="F12" s="9">
        <v>5655598</v>
      </c>
      <c r="G12" s="9">
        <v>9506075</v>
      </c>
      <c r="H12" s="9">
        <v>6153806</v>
      </c>
      <c r="I12" s="9">
        <v>6174579</v>
      </c>
      <c r="J12" s="9">
        <v>6085184</v>
      </c>
      <c r="K12" s="9">
        <v>6198004</v>
      </c>
    </row>
    <row r="13" spans="1:11" x14ac:dyDescent="0.25">
      <c r="A13" s="9" t="s">
        <v>17</v>
      </c>
      <c r="B13" s="9">
        <v>1227599</v>
      </c>
      <c r="C13" s="9">
        <v>1176811</v>
      </c>
      <c r="D13" s="9">
        <v>1172365</v>
      </c>
      <c r="E13" s="9">
        <v>1199667</v>
      </c>
      <c r="F13" s="9">
        <v>1719101.06</v>
      </c>
      <c r="G13" s="9">
        <v>1983581.69</v>
      </c>
      <c r="H13" s="9">
        <v>2282534.5699999998</v>
      </c>
      <c r="I13" s="9">
        <v>2483109.44</v>
      </c>
      <c r="J13" s="9">
        <v>2810347.0999999996</v>
      </c>
      <c r="K13" s="9">
        <v>2862679.42</v>
      </c>
    </row>
    <row r="14" spans="1:11" x14ac:dyDescent="0.25">
      <c r="A14" s="10" t="s">
        <v>21</v>
      </c>
      <c r="B14" s="12">
        <f>SUM(B8:B13)</f>
        <v>176282018</v>
      </c>
      <c r="C14" s="12">
        <f t="shared" ref="C14:K14" si="0">SUM(C8:C13)</f>
        <v>157331328</v>
      </c>
      <c r="D14" s="12">
        <f t="shared" si="0"/>
        <v>160270575</v>
      </c>
      <c r="E14" s="12">
        <f t="shared" si="0"/>
        <v>162782556</v>
      </c>
      <c r="F14" s="12">
        <f t="shared" si="0"/>
        <v>166182876.50999999</v>
      </c>
      <c r="G14" s="12">
        <f t="shared" si="0"/>
        <v>173363909.76000002</v>
      </c>
      <c r="H14" s="12">
        <f t="shared" si="0"/>
        <v>170987531.88</v>
      </c>
      <c r="I14" s="12">
        <f t="shared" si="0"/>
        <v>174367940.19999999</v>
      </c>
      <c r="J14" s="12">
        <f t="shared" si="0"/>
        <v>177638188.10000002</v>
      </c>
      <c r="K14" s="12">
        <f t="shared" si="0"/>
        <v>180911999.09999999</v>
      </c>
    </row>
    <row r="15" spans="1:1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 t="s">
        <v>23</v>
      </c>
      <c r="B17" s="9">
        <v>54524989</v>
      </c>
      <c r="C17" s="9">
        <v>55904335</v>
      </c>
      <c r="D17" s="9">
        <v>57278599</v>
      </c>
      <c r="E17" s="9">
        <v>58685722</v>
      </c>
      <c r="F17" s="9">
        <v>60099589.579999976</v>
      </c>
      <c r="G17" s="9">
        <v>61300781.529999942</v>
      </c>
      <c r="H17" s="9">
        <v>62525997.060000099</v>
      </c>
      <c r="I17" s="9">
        <v>63775717.590000071</v>
      </c>
      <c r="J17" s="9">
        <v>65050431.25999999</v>
      </c>
      <c r="K17" s="9">
        <v>66355231.030000016</v>
      </c>
    </row>
    <row r="18" spans="1:11" x14ac:dyDescent="0.25">
      <c r="A18" s="9" t="s">
        <v>24</v>
      </c>
      <c r="B18" s="9">
        <v>3959042.6019194187</v>
      </c>
      <c r="C18" s="9">
        <v>3750048.5798112461</v>
      </c>
      <c r="D18" s="9">
        <v>3417002.3413633592</v>
      </c>
      <c r="E18" s="9">
        <v>3076721.6656288081</v>
      </c>
      <c r="F18" s="9">
        <v>2626560.9505530712</v>
      </c>
      <c r="G18" s="9">
        <v>2176070.3295607995</v>
      </c>
      <c r="H18" s="9">
        <v>1738312.105985682</v>
      </c>
      <c r="I18" s="9">
        <v>1300574.2846082402</v>
      </c>
      <c r="J18" s="9">
        <v>868523.56595283328</v>
      </c>
      <c r="K18" s="9">
        <v>650120.34047526401</v>
      </c>
    </row>
    <row r="19" spans="1:11" x14ac:dyDescent="0.25">
      <c r="A19" s="9" t="s">
        <v>25</v>
      </c>
      <c r="B19" s="9">
        <v>34361323</v>
      </c>
      <c r="C19" s="9">
        <v>33234427</v>
      </c>
      <c r="D19" s="9">
        <v>34079823</v>
      </c>
      <c r="E19" s="9">
        <v>33464253</v>
      </c>
      <c r="F19" s="9">
        <v>33963774.23999998</v>
      </c>
      <c r="G19" s="9">
        <v>35776467.839999944</v>
      </c>
      <c r="H19" s="9">
        <v>35445148.580000028</v>
      </c>
      <c r="I19" s="9">
        <v>36113241.529999971</v>
      </c>
      <c r="J19" s="9">
        <v>37474438.899999909</v>
      </c>
      <c r="K19" s="9">
        <v>37190429.380000025</v>
      </c>
    </row>
    <row r="20" spans="1:11" x14ac:dyDescent="0.25">
      <c r="A20" s="9" t="s">
        <v>26</v>
      </c>
      <c r="B20" s="9">
        <v>38903358</v>
      </c>
      <c r="C20" s="9">
        <v>40247124</v>
      </c>
      <c r="D20" s="9">
        <v>40591069</v>
      </c>
      <c r="E20" s="9">
        <v>40730561</v>
      </c>
      <c r="F20" s="9">
        <v>40857510</v>
      </c>
      <c r="G20" s="9">
        <v>41213127</v>
      </c>
      <c r="H20" s="9">
        <v>41286013</v>
      </c>
      <c r="I20" s="9">
        <v>41345629</v>
      </c>
      <c r="J20" s="9">
        <v>41413281</v>
      </c>
      <c r="K20" s="9">
        <v>41723118</v>
      </c>
    </row>
    <row r="21" spans="1:11" x14ac:dyDescent="0.25">
      <c r="A21" s="9" t="s">
        <v>27</v>
      </c>
      <c r="B21" s="9">
        <v>11312002</v>
      </c>
      <c r="C21" s="9">
        <v>11702554</v>
      </c>
      <c r="D21" s="9">
        <v>11853838</v>
      </c>
      <c r="E21" s="9">
        <v>12008144</v>
      </c>
      <c r="F21" s="9">
        <v>12719149.870000001</v>
      </c>
      <c r="G21" s="9">
        <v>12530872.070000002</v>
      </c>
      <c r="H21" s="9">
        <v>12800968.24</v>
      </c>
      <c r="I21" s="9">
        <v>13077372.85</v>
      </c>
      <c r="J21" s="9">
        <v>13850227.890000001</v>
      </c>
      <c r="K21" s="9">
        <v>13625142.460000001</v>
      </c>
    </row>
    <row r="22" spans="1:11" x14ac:dyDescent="0.25">
      <c r="A22" s="10" t="s">
        <v>28</v>
      </c>
      <c r="B22" s="12">
        <f>SUM(B17:B21)</f>
        <v>143060714.60191941</v>
      </c>
      <c r="C22" s="12">
        <f t="shared" ref="C22:K22" si="1">SUM(C17:C21)</f>
        <v>144838488.57981125</v>
      </c>
      <c r="D22" s="12">
        <f t="shared" si="1"/>
        <v>147220331.34136337</v>
      </c>
      <c r="E22" s="12">
        <f t="shared" si="1"/>
        <v>147965401.66562879</v>
      </c>
      <c r="F22" s="12">
        <f t="shared" si="1"/>
        <v>150266584.64055303</v>
      </c>
      <c r="G22" s="12">
        <f t="shared" si="1"/>
        <v>152997318.76956069</v>
      </c>
      <c r="H22" s="12">
        <f t="shared" si="1"/>
        <v>153796438.98598582</v>
      </c>
      <c r="I22" s="12">
        <f t="shared" si="1"/>
        <v>155612535.25460827</v>
      </c>
      <c r="J22" s="12">
        <f t="shared" si="1"/>
        <v>158656902.61595273</v>
      </c>
      <c r="K22" s="12">
        <f t="shared" si="1"/>
        <v>159544041.2104753</v>
      </c>
    </row>
    <row r="23" spans="1:11" x14ac:dyDescent="0.25">
      <c r="A23" s="10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x14ac:dyDescent="0.25">
      <c r="A24" s="8" t="s">
        <v>29</v>
      </c>
      <c r="B24" s="12">
        <f>+B14-B22</f>
        <v>33221303.398080587</v>
      </c>
      <c r="C24" s="12">
        <f t="shared" ref="C24:K24" si="2">+C14-C22</f>
        <v>12492839.420188755</v>
      </c>
      <c r="D24" s="12">
        <f t="shared" si="2"/>
        <v>13050243.65863663</v>
      </c>
      <c r="E24" s="12">
        <f t="shared" si="2"/>
        <v>14817154.334371209</v>
      </c>
      <c r="F24" s="12">
        <f t="shared" si="2"/>
        <v>15916291.869446963</v>
      </c>
      <c r="G24" s="12">
        <f t="shared" si="2"/>
        <v>20366590.990439326</v>
      </c>
      <c r="H24" s="12">
        <f t="shared" si="2"/>
        <v>17191092.89401418</v>
      </c>
      <c r="I24" s="12">
        <f t="shared" si="2"/>
        <v>18755404.945391715</v>
      </c>
      <c r="J24" s="12">
        <f t="shared" si="2"/>
        <v>18981285.484047294</v>
      </c>
      <c r="K24" s="12">
        <f t="shared" si="2"/>
        <v>21367957.889524698</v>
      </c>
    </row>
    <row r="25" spans="1:1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25">
      <c r="A26" s="10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5.75" thickBot="1" x14ac:dyDescent="0.3">
      <c r="A27" s="8" t="s">
        <v>30</v>
      </c>
      <c r="B27" s="13">
        <f>+B24</f>
        <v>33221303.398080587</v>
      </c>
      <c r="C27" s="13">
        <f t="shared" ref="C27:K27" si="3">+C24</f>
        <v>12492839.420188755</v>
      </c>
      <c r="D27" s="13">
        <f t="shared" si="3"/>
        <v>13050243.65863663</v>
      </c>
      <c r="E27" s="13">
        <f t="shared" si="3"/>
        <v>14817154.334371209</v>
      </c>
      <c r="F27" s="13">
        <f t="shared" si="3"/>
        <v>15916291.869446963</v>
      </c>
      <c r="G27" s="13">
        <f t="shared" si="3"/>
        <v>20366590.990439326</v>
      </c>
      <c r="H27" s="13">
        <f t="shared" si="3"/>
        <v>17191092.89401418</v>
      </c>
      <c r="I27" s="13">
        <f t="shared" si="3"/>
        <v>18755404.945391715</v>
      </c>
      <c r="J27" s="13">
        <f t="shared" si="3"/>
        <v>18981285.484047294</v>
      </c>
      <c r="K27" s="13">
        <f t="shared" si="3"/>
        <v>21367957.889524698</v>
      </c>
    </row>
    <row r="28" spans="1:11" ht="15.75" thickTop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25">
      <c r="A29" s="14" t="s">
        <v>31</v>
      </c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14" t="s">
        <v>32</v>
      </c>
      <c r="B30" s="14">
        <f>+B27-B12</f>
        <v>1339771.3980805874</v>
      </c>
      <c r="C30" s="14">
        <f t="shared" ref="C30:K30" si="4">+C27-C12</f>
        <v>7092353.4201887548</v>
      </c>
      <c r="D30" s="14">
        <f t="shared" si="4"/>
        <v>7564975.6586366296</v>
      </c>
      <c r="E30" s="14">
        <f t="shared" si="4"/>
        <v>9263740.3343712091</v>
      </c>
      <c r="F30" s="14">
        <f t="shared" si="4"/>
        <v>10260693.869446963</v>
      </c>
      <c r="G30" s="14">
        <f t="shared" si="4"/>
        <v>10860515.990439326</v>
      </c>
      <c r="H30" s="14">
        <f t="shared" si="4"/>
        <v>11037286.89401418</v>
      </c>
      <c r="I30" s="14">
        <f t="shared" si="4"/>
        <v>12580825.945391715</v>
      </c>
      <c r="J30" s="14">
        <f t="shared" si="4"/>
        <v>12896101.484047294</v>
      </c>
      <c r="K30" s="14">
        <f t="shared" si="4"/>
        <v>15169953.889524698</v>
      </c>
    </row>
    <row r="31" spans="1:1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</sheetData>
  <mergeCells count="1">
    <mergeCell ref="B3:K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E3A9E-DAC1-444D-A502-B54137AB30AE}">
  <dimension ref="A1:K38"/>
  <sheetViews>
    <sheetView topLeftCell="A10" workbookViewId="0">
      <selection sqref="A1:XFD1048576"/>
    </sheetView>
  </sheetViews>
  <sheetFormatPr defaultRowHeight="15" x14ac:dyDescent="0.25"/>
  <cols>
    <col min="1" max="1" width="60.7109375" customWidth="1"/>
    <col min="2" max="11" width="12.7109375" customWidth="1"/>
  </cols>
  <sheetData>
    <row r="1" spans="1:11" x14ac:dyDescent="0.2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x14ac:dyDescent="0.25">
      <c r="A2" s="94" t="s">
        <v>105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x14ac:dyDescent="0.25">
      <c r="A3" s="94" t="s">
        <v>129</v>
      </c>
      <c r="B3" s="165" t="s">
        <v>2</v>
      </c>
      <c r="C3" s="165"/>
      <c r="D3" s="165"/>
      <c r="E3" s="165"/>
      <c r="F3" s="165"/>
      <c r="G3" s="165"/>
      <c r="H3" s="165"/>
      <c r="I3" s="165"/>
      <c r="J3" s="165"/>
      <c r="K3" s="165"/>
    </row>
    <row r="4" spans="1:11" x14ac:dyDescent="0.25">
      <c r="A4" s="82" t="s">
        <v>101</v>
      </c>
      <c r="B4" s="29" t="str">
        <f>Starting_year_general&amp;"/"&amp;RIGHT(Starting_year_general+1,2)</f>
        <v>2021/22</v>
      </c>
      <c r="C4" s="29" t="str">
        <f>Starting_year_general+1&amp;"/"&amp;RIGHT(Starting_year_general+2,2)</f>
        <v>2022/23</v>
      </c>
      <c r="D4" s="29" t="str">
        <f>Starting_year_general+2&amp;"/"&amp;RIGHT(Starting_year_general+3,2)</f>
        <v>2023/24</v>
      </c>
      <c r="E4" s="29" t="str">
        <f>Starting_year_general+3&amp;"/"&amp;RIGHT(Starting_year_general+4,2)</f>
        <v>2024/25</v>
      </c>
      <c r="F4" s="29" t="str">
        <f>Starting_year_general+4&amp;"/"&amp;RIGHT(Starting_year_general+5,2)</f>
        <v>2025/26</v>
      </c>
      <c r="G4" s="29" t="str">
        <f>Starting_year_general+5&amp;"/"&amp;RIGHT(Starting_year_general+6,2)</f>
        <v>2026/27</v>
      </c>
      <c r="H4" s="29" t="str">
        <f>Starting_year_general+6&amp;"/"&amp;RIGHT(Starting_year_general+7,2)</f>
        <v>2027/28</v>
      </c>
      <c r="I4" s="29" t="str">
        <f>Starting_year_general+7&amp;"/"&amp;RIGHT(Starting_year_general+8,2)</f>
        <v>2028/29</v>
      </c>
      <c r="J4" s="29" t="str">
        <f>Starting_year_general+8&amp;"/"&amp;RIGHT(Starting_year_general+9,2)</f>
        <v>2029/30</v>
      </c>
      <c r="K4" s="29" t="str">
        <f>Starting_year_general+9&amp;"/"&amp;RIGHT(Starting_year_general+10,2)</f>
        <v>2030/31</v>
      </c>
    </row>
    <row r="5" spans="1:11" ht="15.75" thickBot="1" x14ac:dyDescent="0.3">
      <c r="A5" s="96"/>
      <c r="B5" s="97" t="s">
        <v>12</v>
      </c>
      <c r="C5" s="97" t="s">
        <v>12</v>
      </c>
      <c r="D5" s="97" t="s">
        <v>12</v>
      </c>
      <c r="E5" s="97" t="s">
        <v>12</v>
      </c>
      <c r="F5" s="97" t="s">
        <v>12</v>
      </c>
      <c r="G5" s="97" t="s">
        <v>12</v>
      </c>
      <c r="H5" s="97" t="s">
        <v>12</v>
      </c>
      <c r="I5" s="97" t="s">
        <v>12</v>
      </c>
      <c r="J5" s="97" t="s">
        <v>12</v>
      </c>
      <c r="K5" s="97" t="s">
        <v>12</v>
      </c>
    </row>
    <row r="6" spans="1:11" x14ac:dyDescent="0.25">
      <c r="A6" s="98" t="s">
        <v>34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x14ac:dyDescent="0.25">
      <c r="A7" s="100" t="s">
        <v>35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x14ac:dyDescent="0.25">
      <c r="A8" s="99" t="s">
        <v>36</v>
      </c>
      <c r="B8" s="101">
        <v>629514.01974343322</v>
      </c>
      <c r="C8" s="101">
        <v>667518.60121806478</v>
      </c>
      <c r="D8" s="101">
        <v>716364.05444742064</v>
      </c>
      <c r="E8" s="101">
        <v>759288.090437887</v>
      </c>
      <c r="F8" s="101">
        <v>605647.44692377187</v>
      </c>
      <c r="G8" s="101">
        <v>646372.82527209725</v>
      </c>
      <c r="H8" s="101">
        <v>699343.20125969127</v>
      </c>
      <c r="I8" s="101">
        <v>753932.97807607148</v>
      </c>
      <c r="J8" s="101">
        <v>761566.03902345151</v>
      </c>
      <c r="K8" s="101">
        <v>687566.39393260749</v>
      </c>
    </row>
    <row r="9" spans="1:11" x14ac:dyDescent="0.25">
      <c r="A9" s="99" t="s">
        <v>37</v>
      </c>
      <c r="B9" s="101">
        <v>20195628.02944766</v>
      </c>
      <c r="C9" s="101">
        <v>21414864.403546695</v>
      </c>
      <c r="D9" s="101">
        <v>22981890.0350837</v>
      </c>
      <c r="E9" s="101">
        <v>24358948.904621486</v>
      </c>
      <c r="F9" s="101">
        <v>19429957.350341793</v>
      </c>
      <c r="G9" s="101">
        <v>20736480.424786605</v>
      </c>
      <c r="H9" s="101">
        <v>22435838.940203689</v>
      </c>
      <c r="I9" s="101">
        <v>24187149.939192254</v>
      </c>
      <c r="J9" s="101">
        <v>24432028.456246119</v>
      </c>
      <c r="K9" s="101">
        <v>22058023.653025184</v>
      </c>
    </row>
    <row r="10" spans="1:11" x14ac:dyDescent="0.25">
      <c r="A10" s="99" t="s">
        <v>38</v>
      </c>
      <c r="B10" s="101">
        <v>2198320.1605828246</v>
      </c>
      <c r="C10" s="101">
        <v>2325715.8698582505</v>
      </c>
      <c r="D10" s="101">
        <v>2372230.0770217408</v>
      </c>
      <c r="E10" s="101">
        <v>2419675.1049289093</v>
      </c>
      <c r="F10" s="101">
        <v>2468068.6070274878</v>
      </c>
      <c r="G10" s="101">
        <v>2517429.9784862832</v>
      </c>
      <c r="H10" s="101">
        <v>2567778.5827595768</v>
      </c>
      <c r="I10" s="101">
        <v>2619134.1556982477</v>
      </c>
      <c r="J10" s="101">
        <v>2671516.84071864</v>
      </c>
      <c r="K10" s="101">
        <v>2724947.1752354973</v>
      </c>
    </row>
    <row r="11" spans="1:11" x14ac:dyDescent="0.25">
      <c r="A11" s="99" t="s">
        <v>40</v>
      </c>
      <c r="B11" s="101">
        <v>7272.9593967252295</v>
      </c>
      <c r="C11" s="101">
        <v>7375.1229670929915</v>
      </c>
      <c r="D11" s="101">
        <v>7485.0563221412867</v>
      </c>
      <c r="E11" s="101">
        <v>7605.0808954194572</v>
      </c>
      <c r="F11" s="101">
        <v>7807.4510577363035</v>
      </c>
      <c r="G11" s="101">
        <v>8030.1629336831556</v>
      </c>
      <c r="H11" s="101">
        <v>8087.9920915485682</v>
      </c>
      <c r="I11" s="101">
        <v>8283.4639942135436</v>
      </c>
      <c r="J11" s="101">
        <v>8415.2718424913965</v>
      </c>
      <c r="K11" s="101">
        <v>8693.1771921951058</v>
      </c>
    </row>
    <row r="12" spans="1:11" x14ac:dyDescent="0.25">
      <c r="A12" s="100" t="s">
        <v>42</v>
      </c>
      <c r="B12" s="102">
        <f>SUM(B8:B11)</f>
        <v>23030735.169170644</v>
      </c>
      <c r="C12" s="102">
        <f t="shared" ref="C12:K12" si="0">SUM(C8:C11)</f>
        <v>24415473.997590102</v>
      </c>
      <c r="D12" s="102">
        <f t="shared" si="0"/>
        <v>26077969.222875003</v>
      </c>
      <c r="E12" s="102">
        <f t="shared" si="0"/>
        <v>27545517.180883702</v>
      </c>
      <c r="F12" s="102">
        <f t="shared" si="0"/>
        <v>22511480.855350789</v>
      </c>
      <c r="G12" s="102">
        <f t="shared" si="0"/>
        <v>23908313.391478673</v>
      </c>
      <c r="H12" s="102">
        <f t="shared" si="0"/>
        <v>25711048.716314506</v>
      </c>
      <c r="I12" s="102">
        <f t="shared" si="0"/>
        <v>27568500.536960784</v>
      </c>
      <c r="J12" s="102">
        <f t="shared" si="0"/>
        <v>27873526.6078307</v>
      </c>
      <c r="K12" s="102">
        <f t="shared" si="0"/>
        <v>25479230.399385486</v>
      </c>
    </row>
    <row r="13" spans="1:11" x14ac:dyDescent="0.2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spans="1:11" x14ac:dyDescent="0.25">
      <c r="A14" s="100" t="s">
        <v>43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</row>
    <row r="15" spans="1:11" x14ac:dyDescent="0.25">
      <c r="A15" s="99" t="s">
        <v>37</v>
      </c>
      <c r="B15" s="101">
        <v>4355418.7405462461</v>
      </c>
      <c r="C15" s="101">
        <v>4618361.0439578332</v>
      </c>
      <c r="D15" s="101">
        <v>4956308.0883657048</v>
      </c>
      <c r="E15" s="101">
        <v>5253286.6224561017</v>
      </c>
      <c r="F15" s="101">
        <v>4190293.0796852964</v>
      </c>
      <c r="G15" s="101">
        <v>4472059.7608251786</v>
      </c>
      <c r="H15" s="101">
        <v>4838545.9089242741</v>
      </c>
      <c r="I15" s="101">
        <v>5216236.2057745364</v>
      </c>
      <c r="J15" s="101">
        <v>5269047.0656684907</v>
      </c>
      <c r="K15" s="101">
        <v>4757065.710346506</v>
      </c>
    </row>
    <row r="16" spans="1:11" x14ac:dyDescent="0.25">
      <c r="A16" s="99" t="s">
        <v>44</v>
      </c>
      <c r="B16" s="101">
        <v>290942573</v>
      </c>
      <c r="C16" s="101">
        <v>289326496</v>
      </c>
      <c r="D16" s="101">
        <v>287606531</v>
      </c>
      <c r="E16" s="101">
        <v>286371087</v>
      </c>
      <c r="F16" s="101">
        <v>293317408.47000003</v>
      </c>
      <c r="G16" s="101">
        <v>292726935.47000003</v>
      </c>
      <c r="H16" s="101">
        <v>291978124.47000003</v>
      </c>
      <c r="I16" s="101">
        <v>291643935.47000003</v>
      </c>
      <c r="J16" s="101">
        <v>293438830.47000003</v>
      </c>
      <c r="K16" s="101">
        <v>298774813.47000003</v>
      </c>
    </row>
    <row r="17" spans="1:11" x14ac:dyDescent="0.25">
      <c r="A17" s="99" t="s">
        <v>46</v>
      </c>
      <c r="B17" s="101">
        <v>1183000</v>
      </c>
      <c r="C17" s="101">
        <v>1183000</v>
      </c>
      <c r="D17" s="101">
        <v>1183000</v>
      </c>
      <c r="E17" s="101">
        <v>1183000</v>
      </c>
      <c r="F17" s="101">
        <v>1183000</v>
      </c>
      <c r="G17" s="101">
        <v>1183000</v>
      </c>
      <c r="H17" s="101">
        <v>1183000</v>
      </c>
      <c r="I17" s="101">
        <v>1183000</v>
      </c>
      <c r="J17" s="101">
        <v>1183000</v>
      </c>
      <c r="K17" s="101">
        <v>1183000</v>
      </c>
    </row>
    <row r="18" spans="1:11" x14ac:dyDescent="0.25">
      <c r="A18" s="100" t="s">
        <v>47</v>
      </c>
      <c r="B18" s="102">
        <f>SUM(B15:B17)</f>
        <v>296480991.74054623</v>
      </c>
      <c r="C18" s="102">
        <f t="shared" ref="C18:K18" si="1">SUM(C15:C17)</f>
        <v>295127857.04395783</v>
      </c>
      <c r="D18" s="102">
        <f t="shared" si="1"/>
        <v>293745839.08836573</v>
      </c>
      <c r="E18" s="102">
        <f t="shared" si="1"/>
        <v>292807373.62245607</v>
      </c>
      <c r="F18" s="102">
        <f t="shared" si="1"/>
        <v>298690701.5496853</v>
      </c>
      <c r="G18" s="102">
        <f t="shared" si="1"/>
        <v>298381995.23082519</v>
      </c>
      <c r="H18" s="102">
        <f t="shared" si="1"/>
        <v>297999670.37892431</v>
      </c>
      <c r="I18" s="102">
        <f t="shared" si="1"/>
        <v>298043171.67577457</v>
      </c>
      <c r="J18" s="102">
        <f t="shared" si="1"/>
        <v>299890877.53566849</v>
      </c>
      <c r="K18" s="102">
        <f t="shared" si="1"/>
        <v>304714879.18034655</v>
      </c>
    </row>
    <row r="19" spans="1:11" ht="15.75" thickBot="1" x14ac:dyDescent="0.3">
      <c r="A19" s="100" t="s">
        <v>48</v>
      </c>
      <c r="B19" s="103">
        <f>+B12+B18</f>
        <v>319511726.90971684</v>
      </c>
      <c r="C19" s="103">
        <f t="shared" ref="C19:K19" si="2">+C12+C18</f>
        <v>319543331.04154795</v>
      </c>
      <c r="D19" s="103">
        <f t="shared" si="2"/>
        <v>319823808.31124073</v>
      </c>
      <c r="E19" s="103">
        <f t="shared" si="2"/>
        <v>320352890.80333978</v>
      </c>
      <c r="F19" s="103">
        <f t="shared" si="2"/>
        <v>321202182.40503609</v>
      </c>
      <c r="G19" s="103">
        <f t="shared" si="2"/>
        <v>322290308.62230384</v>
      </c>
      <c r="H19" s="103">
        <f t="shared" si="2"/>
        <v>323710719.0952388</v>
      </c>
      <c r="I19" s="103">
        <f t="shared" si="2"/>
        <v>325611672.21273535</v>
      </c>
      <c r="J19" s="103">
        <f t="shared" si="2"/>
        <v>327764404.1434992</v>
      </c>
      <c r="K19" s="103">
        <f t="shared" si="2"/>
        <v>330194109.57973206</v>
      </c>
    </row>
    <row r="20" spans="1:11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</row>
    <row r="21" spans="1:11" x14ac:dyDescent="0.25">
      <c r="A21" s="98" t="s">
        <v>49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</row>
    <row r="22" spans="1:11" x14ac:dyDescent="0.25">
      <c r="A22" s="100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</row>
    <row r="23" spans="1:11" x14ac:dyDescent="0.25">
      <c r="A23" s="99" t="s">
        <v>51</v>
      </c>
      <c r="B23" s="101">
        <v>1928343.9097168907</v>
      </c>
      <c r="C23" s="101">
        <v>1943543.1351251095</v>
      </c>
      <c r="D23" s="101">
        <v>1959802.4983950453</v>
      </c>
      <c r="E23" s="101">
        <v>1978540.0840713135</v>
      </c>
      <c r="F23" s="101">
        <v>2009431.5893447548</v>
      </c>
      <c r="G23" s="101">
        <v>2043178.7001896801</v>
      </c>
      <c r="H23" s="101">
        <v>2055998.7767017849</v>
      </c>
      <c r="I23" s="101">
        <v>2088358.1977755013</v>
      </c>
      <c r="J23" s="101">
        <v>2112688.2621165463</v>
      </c>
      <c r="K23" s="101">
        <v>2157341.1219265135</v>
      </c>
    </row>
    <row r="24" spans="1:11" x14ac:dyDescent="0.25">
      <c r="A24" s="99" t="s">
        <v>52</v>
      </c>
      <c r="B24" s="101">
        <v>1897881.0890450536</v>
      </c>
      <c r="C24" s="101">
        <v>1970173.4459348591</v>
      </c>
      <c r="D24" s="101">
        <v>2017937.5225981497</v>
      </c>
      <c r="E24" s="101">
        <v>2068206.1374023724</v>
      </c>
      <c r="F24" s="101">
        <v>1838713.2055641604</v>
      </c>
      <c r="G24" s="101">
        <v>1906088.741096</v>
      </c>
      <c r="H24" s="101">
        <v>1660109.8587920296</v>
      </c>
      <c r="I24" s="101">
        <v>1717965.7762537494</v>
      </c>
      <c r="J24" s="101">
        <v>1515036.8159564496</v>
      </c>
      <c r="K24" s="101">
        <v>1559134.4073571763</v>
      </c>
    </row>
    <row r="25" spans="1:11" x14ac:dyDescent="0.25">
      <c r="A25" s="100" t="s">
        <v>54</v>
      </c>
      <c r="B25" s="102">
        <f>SUM(B23:B24)</f>
        <v>3826224.9987619445</v>
      </c>
      <c r="C25" s="102">
        <f t="shared" ref="C25:K25" si="3">SUM(C23:C24)</f>
        <v>3913716.5810599686</v>
      </c>
      <c r="D25" s="102">
        <f t="shared" si="3"/>
        <v>3977740.020993195</v>
      </c>
      <c r="E25" s="102">
        <f t="shared" si="3"/>
        <v>4046746.2214736859</v>
      </c>
      <c r="F25" s="102">
        <f t="shared" si="3"/>
        <v>3848144.7949089152</v>
      </c>
      <c r="G25" s="102">
        <f t="shared" si="3"/>
        <v>3949267.44128568</v>
      </c>
      <c r="H25" s="102">
        <f t="shared" si="3"/>
        <v>3716108.6354938145</v>
      </c>
      <c r="I25" s="102">
        <f t="shared" si="3"/>
        <v>3806323.9740292504</v>
      </c>
      <c r="J25" s="102">
        <f t="shared" si="3"/>
        <v>3627725.0780729959</v>
      </c>
      <c r="K25" s="102">
        <f t="shared" si="3"/>
        <v>3716475.5292836898</v>
      </c>
    </row>
    <row r="26" spans="1:11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</row>
    <row r="27" spans="1:11" x14ac:dyDescent="0.25">
      <c r="A27" s="100" t="s">
        <v>55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</row>
    <row r="28" spans="1:11" x14ac:dyDescent="0.25">
      <c r="A28" s="99" t="s">
        <v>52</v>
      </c>
      <c r="B28" s="101">
        <v>21938688</v>
      </c>
      <c r="C28" s="101">
        <v>19968514</v>
      </c>
      <c r="D28" s="101">
        <v>17950577</v>
      </c>
      <c r="E28" s="101">
        <v>15882371</v>
      </c>
      <c r="F28" s="101">
        <v>14043658</v>
      </c>
      <c r="G28" s="101">
        <v>12137569</v>
      </c>
      <c r="H28" s="101">
        <v>10477459</v>
      </c>
      <c r="I28" s="101">
        <v>8759493</v>
      </c>
      <c r="J28" s="101">
        <v>7244456</v>
      </c>
      <c r="K28" s="101">
        <v>5685322</v>
      </c>
    </row>
    <row r="29" spans="1:11" x14ac:dyDescent="0.25">
      <c r="A29" s="100" t="s">
        <v>56</v>
      </c>
      <c r="B29" s="104">
        <f>+B28</f>
        <v>21938688</v>
      </c>
      <c r="C29" s="104">
        <f t="shared" ref="C29:K29" si="4">+C28</f>
        <v>19968514</v>
      </c>
      <c r="D29" s="104">
        <f t="shared" si="4"/>
        <v>17950577</v>
      </c>
      <c r="E29" s="104">
        <f t="shared" si="4"/>
        <v>15882371</v>
      </c>
      <c r="F29" s="104">
        <f t="shared" si="4"/>
        <v>14043658</v>
      </c>
      <c r="G29" s="104">
        <f t="shared" si="4"/>
        <v>12137569</v>
      </c>
      <c r="H29" s="104">
        <f t="shared" si="4"/>
        <v>10477459</v>
      </c>
      <c r="I29" s="104">
        <f t="shared" si="4"/>
        <v>8759493</v>
      </c>
      <c r="J29" s="104">
        <f t="shared" si="4"/>
        <v>7244456</v>
      </c>
      <c r="K29" s="104">
        <f t="shared" si="4"/>
        <v>5685322</v>
      </c>
    </row>
    <row r="30" spans="1:11" ht="15.75" thickBot="1" x14ac:dyDescent="0.3">
      <c r="A30" s="100" t="s">
        <v>57</v>
      </c>
      <c r="B30" s="103">
        <f>+B25+B29</f>
        <v>25764912.998761944</v>
      </c>
      <c r="C30" s="103">
        <f t="shared" ref="C30:K30" si="5">+C25+C29</f>
        <v>23882230.58105997</v>
      </c>
      <c r="D30" s="103">
        <f t="shared" si="5"/>
        <v>21928317.020993195</v>
      </c>
      <c r="E30" s="103">
        <f t="shared" si="5"/>
        <v>19929117.221473686</v>
      </c>
      <c r="F30" s="103">
        <f t="shared" si="5"/>
        <v>17891802.794908915</v>
      </c>
      <c r="G30" s="103">
        <f t="shared" si="5"/>
        <v>16086836.441285681</v>
      </c>
      <c r="H30" s="103">
        <f t="shared" si="5"/>
        <v>14193567.635493815</v>
      </c>
      <c r="I30" s="103">
        <f t="shared" si="5"/>
        <v>12565816.97402925</v>
      </c>
      <c r="J30" s="103">
        <f t="shared" si="5"/>
        <v>10872181.078072995</v>
      </c>
      <c r="K30" s="103">
        <f t="shared" si="5"/>
        <v>9401797.5292836893</v>
      </c>
    </row>
    <row r="31" spans="1:11" ht="15.75" thickBot="1" x14ac:dyDescent="0.3">
      <c r="A31" s="98" t="s">
        <v>58</v>
      </c>
      <c r="B31" s="105">
        <f>+B19-B30</f>
        <v>293746813.91095489</v>
      </c>
      <c r="C31" s="105">
        <f t="shared" ref="C31:K31" si="6">+C19-C30</f>
        <v>295661100.46048796</v>
      </c>
      <c r="D31" s="105">
        <f t="shared" si="6"/>
        <v>297895491.29024756</v>
      </c>
      <c r="E31" s="105">
        <f t="shared" si="6"/>
        <v>300423773.58186609</v>
      </c>
      <c r="F31" s="105">
        <f t="shared" si="6"/>
        <v>303310379.61012715</v>
      </c>
      <c r="G31" s="105">
        <f t="shared" si="6"/>
        <v>306203472.18101817</v>
      </c>
      <c r="H31" s="105">
        <f t="shared" si="6"/>
        <v>309517151.45974499</v>
      </c>
      <c r="I31" s="105">
        <f t="shared" si="6"/>
        <v>313045855.23870611</v>
      </c>
      <c r="J31" s="105">
        <f t="shared" si="6"/>
        <v>316892223.06542623</v>
      </c>
      <c r="K31" s="105">
        <f t="shared" si="6"/>
        <v>320792312.05044836</v>
      </c>
    </row>
    <row r="32" spans="1:11" ht="15.75" thickTop="1" x14ac:dyDescent="0.2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</row>
    <row r="33" spans="1:11" x14ac:dyDescent="0.25">
      <c r="A33" s="98" t="s">
        <v>59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</row>
    <row r="34" spans="1:11" x14ac:dyDescent="0.25">
      <c r="A34" s="99" t="s">
        <v>60</v>
      </c>
      <c r="B34" s="101">
        <v>188626814</v>
      </c>
      <c r="C34" s="101">
        <v>190541099.9954679</v>
      </c>
      <c r="D34" s="101">
        <v>192775491.34782559</v>
      </c>
      <c r="E34" s="101">
        <v>195303773.77684656</v>
      </c>
      <c r="F34" s="101">
        <v>198190380.01067176</v>
      </c>
      <c r="G34" s="101">
        <v>201083472.32265878</v>
      </c>
      <c r="H34" s="101">
        <v>204397151.4601776</v>
      </c>
      <c r="I34" s="101">
        <v>207925855.01539245</v>
      </c>
      <c r="J34" s="101">
        <v>211772222.65806901</v>
      </c>
      <c r="K34" s="101">
        <v>215672312.0504483</v>
      </c>
    </row>
    <row r="35" spans="1:11" x14ac:dyDescent="0.25">
      <c r="A35" s="99" t="s">
        <v>61</v>
      </c>
      <c r="B35" s="101">
        <v>105120000</v>
      </c>
      <c r="C35" s="101">
        <v>105120000</v>
      </c>
      <c r="D35" s="101">
        <v>105120000</v>
      </c>
      <c r="E35" s="101">
        <v>105120000</v>
      </c>
      <c r="F35" s="101">
        <v>105120000</v>
      </c>
      <c r="G35" s="101">
        <v>105120000</v>
      </c>
      <c r="H35" s="101">
        <v>105120000</v>
      </c>
      <c r="I35" s="101">
        <v>105120000</v>
      </c>
      <c r="J35" s="101">
        <v>105120000</v>
      </c>
      <c r="K35" s="101">
        <v>105120000</v>
      </c>
    </row>
    <row r="36" spans="1:11" x14ac:dyDescent="0.25">
      <c r="A36" s="99" t="s">
        <v>62</v>
      </c>
      <c r="B36" s="102">
        <f>+B34+B35</f>
        <v>293746814</v>
      </c>
      <c r="C36" s="102">
        <f t="shared" ref="C36:K36" si="7">+C34+C35</f>
        <v>295661099.9954679</v>
      </c>
      <c r="D36" s="102">
        <f t="shared" si="7"/>
        <v>297895491.34782559</v>
      </c>
      <c r="E36" s="102">
        <f t="shared" si="7"/>
        <v>300423773.77684653</v>
      </c>
      <c r="F36" s="102">
        <f t="shared" si="7"/>
        <v>303310380.01067173</v>
      </c>
      <c r="G36" s="102">
        <f t="shared" si="7"/>
        <v>306203472.32265878</v>
      </c>
      <c r="H36" s="102">
        <f t="shared" si="7"/>
        <v>309517151.4601776</v>
      </c>
      <c r="I36" s="102">
        <f t="shared" si="7"/>
        <v>313045855.01539242</v>
      </c>
      <c r="J36" s="102">
        <f t="shared" si="7"/>
        <v>316892222.65806901</v>
      </c>
      <c r="K36" s="102">
        <f t="shared" si="7"/>
        <v>320792312.0504483</v>
      </c>
    </row>
    <row r="37" spans="1:11" ht="15.75" thickBot="1" x14ac:dyDescent="0.3">
      <c r="A37" s="98" t="s">
        <v>64</v>
      </c>
      <c r="B37" s="105">
        <f>+B36</f>
        <v>293746814</v>
      </c>
      <c r="C37" s="105">
        <f t="shared" ref="C37:K37" si="8">+C36</f>
        <v>295661099.9954679</v>
      </c>
      <c r="D37" s="105">
        <f t="shared" si="8"/>
        <v>297895491.34782559</v>
      </c>
      <c r="E37" s="105">
        <f t="shared" si="8"/>
        <v>300423773.77684653</v>
      </c>
      <c r="F37" s="105">
        <f t="shared" si="8"/>
        <v>303310380.01067173</v>
      </c>
      <c r="G37" s="105">
        <f t="shared" si="8"/>
        <v>306203472.32265878</v>
      </c>
      <c r="H37" s="105">
        <f t="shared" si="8"/>
        <v>309517151.4601776</v>
      </c>
      <c r="I37" s="105">
        <f t="shared" si="8"/>
        <v>313045855.01539242</v>
      </c>
      <c r="J37" s="105">
        <f t="shared" si="8"/>
        <v>316892222.65806901</v>
      </c>
      <c r="K37" s="105">
        <f t="shared" si="8"/>
        <v>320792312.0504483</v>
      </c>
    </row>
    <row r="38" spans="1:11" ht="15.75" thickTop="1" x14ac:dyDescent="0.25"/>
  </sheetData>
  <mergeCells count="1">
    <mergeCell ref="B3:K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EAC3A-AE70-4ECE-A5B9-42BE07F249C2}">
  <dimension ref="A1:K54"/>
  <sheetViews>
    <sheetView topLeftCell="A31" workbookViewId="0">
      <selection sqref="A1:XFD1048576"/>
    </sheetView>
  </sheetViews>
  <sheetFormatPr defaultRowHeight="15" x14ac:dyDescent="0.25"/>
  <cols>
    <col min="1" max="1" width="58.85546875" customWidth="1"/>
    <col min="2" max="11" width="14.7109375" customWidth="1"/>
  </cols>
  <sheetData>
    <row r="1" spans="1:11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x14ac:dyDescent="0.25">
      <c r="A2" s="106" t="s">
        <v>105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x14ac:dyDescent="0.25">
      <c r="A3" s="106" t="s">
        <v>130</v>
      </c>
      <c r="B3" s="166" t="s">
        <v>2</v>
      </c>
      <c r="C3" s="166"/>
      <c r="D3" s="166"/>
      <c r="E3" s="166"/>
      <c r="F3" s="166"/>
      <c r="G3" s="166"/>
      <c r="H3" s="166"/>
      <c r="I3" s="166"/>
      <c r="J3" s="166"/>
      <c r="K3" s="166"/>
    </row>
    <row r="4" spans="1:11" x14ac:dyDescent="0.25">
      <c r="A4" s="82" t="s">
        <v>101</v>
      </c>
      <c r="B4" s="29" t="str">
        <f>Starting_year_general&amp;"/"&amp;RIGHT(Starting_year_general+1,2)</f>
        <v>2021/22</v>
      </c>
      <c r="C4" s="29" t="str">
        <f>Starting_year_general+1&amp;"/"&amp;RIGHT(Starting_year_general+2,2)</f>
        <v>2022/23</v>
      </c>
      <c r="D4" s="29" t="str">
        <f>Starting_year_general+2&amp;"/"&amp;RIGHT(Starting_year_general+3,2)</f>
        <v>2023/24</v>
      </c>
      <c r="E4" s="29" t="str">
        <f>Starting_year_general+3&amp;"/"&amp;RIGHT(Starting_year_general+4,2)</f>
        <v>2024/25</v>
      </c>
      <c r="F4" s="29" t="str">
        <f>Starting_year_general+4&amp;"/"&amp;RIGHT(Starting_year_general+5,2)</f>
        <v>2025/26</v>
      </c>
      <c r="G4" s="29" t="str">
        <f>Starting_year_general+5&amp;"/"&amp;RIGHT(Starting_year_general+6,2)</f>
        <v>2026/27</v>
      </c>
      <c r="H4" s="29" t="str">
        <f>Starting_year_general+6&amp;"/"&amp;RIGHT(Starting_year_general+7,2)</f>
        <v>2027/28</v>
      </c>
      <c r="I4" s="29" t="str">
        <f>Starting_year_general+7&amp;"/"&amp;RIGHT(Starting_year_general+8,2)</f>
        <v>2028/29</v>
      </c>
      <c r="J4" s="29" t="str">
        <f>Starting_year_general+8&amp;"/"&amp;RIGHT(Starting_year_general+9,2)</f>
        <v>2029/30</v>
      </c>
      <c r="K4" s="29" t="str">
        <f>Starting_year_general+9&amp;"/"&amp;RIGHT(Starting_year_general+10,2)</f>
        <v>2030/31</v>
      </c>
    </row>
    <row r="5" spans="1:11" ht="15.75" thickBot="1" x14ac:dyDescent="0.3">
      <c r="A5" s="108"/>
      <c r="B5" s="109" t="s">
        <v>12</v>
      </c>
      <c r="C5" s="109" t="s">
        <v>12</v>
      </c>
      <c r="D5" s="109" t="s">
        <v>12</v>
      </c>
      <c r="E5" s="109" t="s">
        <v>12</v>
      </c>
      <c r="F5" s="109" t="s">
        <v>12</v>
      </c>
      <c r="G5" s="109" t="s">
        <v>12</v>
      </c>
      <c r="H5" s="109" t="s">
        <v>12</v>
      </c>
      <c r="I5" s="109" t="s">
        <v>12</v>
      </c>
      <c r="J5" s="109" t="s">
        <v>12</v>
      </c>
      <c r="K5" s="109" t="s">
        <v>12</v>
      </c>
    </row>
    <row r="6" spans="1:11" x14ac:dyDescent="0.25">
      <c r="A6" s="110" t="s">
        <v>66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x14ac:dyDescent="0.25">
      <c r="A7" s="112" t="s">
        <v>67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</row>
    <row r="8" spans="1:11" x14ac:dyDescent="0.25">
      <c r="A8" s="111" t="s">
        <v>15</v>
      </c>
      <c r="B8" s="113">
        <v>7344093.8519831896</v>
      </c>
      <c r="C8" s="113">
        <v>8402689.2841530871</v>
      </c>
      <c r="D8" s="113">
        <v>8654171.5622110795</v>
      </c>
      <c r="E8" s="113">
        <v>8827258.2451890558</v>
      </c>
      <c r="F8" s="113">
        <v>9003803.7173296046</v>
      </c>
      <c r="G8" s="113">
        <v>9183879.7854501568</v>
      </c>
      <c r="H8" s="113">
        <v>9367557.3818670306</v>
      </c>
      <c r="I8" s="113">
        <v>9554908.5384122469</v>
      </c>
      <c r="J8" s="113">
        <v>9746006.714385638</v>
      </c>
      <c r="K8" s="113">
        <v>9940926.8448667638</v>
      </c>
    </row>
    <row r="9" spans="1:11" x14ac:dyDescent="0.25">
      <c r="A9" s="111" t="s">
        <v>16</v>
      </c>
      <c r="B9" s="113">
        <v>12428821.25708388</v>
      </c>
      <c r="C9" s="113">
        <v>13026943.583627084</v>
      </c>
      <c r="D9" s="113">
        <v>13287481.985443838</v>
      </c>
      <c r="E9" s="113">
        <v>13553231.659484994</v>
      </c>
      <c r="F9" s="113">
        <v>13824296.30736059</v>
      </c>
      <c r="G9" s="113">
        <v>14100782.239475602</v>
      </c>
      <c r="H9" s="113">
        <v>14382797.908617463</v>
      </c>
      <c r="I9" s="113">
        <v>14670453.875335367</v>
      </c>
      <c r="J9" s="113">
        <v>14963862.960597308</v>
      </c>
      <c r="K9" s="113">
        <v>15263140.212714231</v>
      </c>
    </row>
    <row r="10" spans="1:11" x14ac:dyDescent="0.25">
      <c r="A10" s="111" t="s">
        <v>68</v>
      </c>
      <c r="B10" s="113">
        <v>218580</v>
      </c>
      <c r="C10" s="113">
        <v>193210</v>
      </c>
      <c r="D10" s="113">
        <v>203864</v>
      </c>
      <c r="E10" s="113">
        <v>214774</v>
      </c>
      <c r="F10" s="113">
        <v>401277.44</v>
      </c>
      <c r="G10" s="113">
        <v>354295.35</v>
      </c>
      <c r="H10" s="113">
        <v>377067.24</v>
      </c>
      <c r="I10" s="113">
        <v>400481.62</v>
      </c>
      <c r="J10" s="113">
        <v>424553.03</v>
      </c>
      <c r="K10" s="113">
        <v>447692.01</v>
      </c>
    </row>
    <row r="11" spans="1:11" x14ac:dyDescent="0.25">
      <c r="A11" s="111" t="s">
        <v>69</v>
      </c>
      <c r="B11" s="113">
        <v>2237547</v>
      </c>
      <c r="C11" s="113">
        <v>2078298</v>
      </c>
      <c r="D11" s="113">
        <v>2119863</v>
      </c>
      <c r="E11" s="113">
        <v>2162259</v>
      </c>
      <c r="F11" s="113">
        <v>2205153.1</v>
      </c>
      <c r="G11" s="113">
        <v>2248904.58</v>
      </c>
      <c r="H11" s="113">
        <v>2293531.17</v>
      </c>
      <c r="I11" s="113">
        <v>2339051.63</v>
      </c>
      <c r="J11" s="113">
        <v>2385481.7599999998</v>
      </c>
      <c r="K11" s="113">
        <v>2432840.4</v>
      </c>
    </row>
    <row r="12" spans="1:11" x14ac:dyDescent="0.25">
      <c r="A12" s="111" t="s">
        <v>40</v>
      </c>
      <c r="B12" s="113">
        <v>64552.940424575194</v>
      </c>
      <c r="C12" s="113">
        <v>39190.422944403108</v>
      </c>
      <c r="D12" s="113">
        <v>39974.245181592807</v>
      </c>
      <c r="E12" s="113">
        <v>40774.067418782513</v>
      </c>
      <c r="F12" s="113">
        <v>41589.653211228419</v>
      </c>
      <c r="G12" s="113">
        <v>42421.443615449622</v>
      </c>
      <c r="H12" s="113">
        <v>43269.875242211099</v>
      </c>
      <c r="I12" s="113">
        <v>44135.273313716381</v>
      </c>
      <c r="J12" s="113">
        <v>45017.979996660186</v>
      </c>
      <c r="K12" s="113">
        <v>45918.33790214426</v>
      </c>
    </row>
    <row r="13" spans="1:11" x14ac:dyDescent="0.25">
      <c r="A13" s="112" t="s">
        <v>70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x14ac:dyDescent="0.25">
      <c r="A14" s="111" t="s">
        <v>23</v>
      </c>
      <c r="B14" s="107">
        <v>-2966036</v>
      </c>
      <c r="C14" s="107">
        <v>-3025357</v>
      </c>
      <c r="D14" s="107">
        <v>-3085866</v>
      </c>
      <c r="E14" s="107">
        <v>-3147584</v>
      </c>
      <c r="F14" s="107">
        <v>-3210535.6799999992</v>
      </c>
      <c r="G14" s="107">
        <v>-3274746.4000000004</v>
      </c>
      <c r="H14" s="107">
        <v>-3340241.3200000003</v>
      </c>
      <c r="I14" s="107">
        <v>-3407046.1599999997</v>
      </c>
      <c r="J14" s="107">
        <v>-3475187.0400000024</v>
      </c>
      <c r="K14" s="107">
        <v>-3544690.8299999996</v>
      </c>
    </row>
    <row r="15" spans="1:11" x14ac:dyDescent="0.25">
      <c r="A15" s="111" t="s">
        <v>25</v>
      </c>
      <c r="B15" s="107">
        <v>-12128273.028987864</v>
      </c>
      <c r="C15" s="107">
        <v>-10947979.389866857</v>
      </c>
      <c r="D15" s="107">
        <v>-11127292.416435195</v>
      </c>
      <c r="E15" s="107">
        <v>-11322898.442069352</v>
      </c>
      <c r="F15" s="107">
        <v>-12769799.234766817</v>
      </c>
      <c r="G15" s="107">
        <v>-13116673.070007952</v>
      </c>
      <c r="H15" s="107">
        <v>-13220654.604914812</v>
      </c>
      <c r="I15" s="107">
        <v>-13507727.939067677</v>
      </c>
      <c r="J15" s="107">
        <v>-13716878.231653415</v>
      </c>
      <c r="K15" s="107">
        <v>-14134310.948415184</v>
      </c>
    </row>
    <row r="16" spans="1:11" x14ac:dyDescent="0.25">
      <c r="A16" s="111" t="s">
        <v>24</v>
      </c>
      <c r="B16" s="107">
        <v>-654607.86069858668</v>
      </c>
      <c r="C16" s="107">
        <v>-776449.06365153752</v>
      </c>
      <c r="D16" s="107">
        <v>-702153.4058714438</v>
      </c>
      <c r="E16" s="107">
        <v>-647489.09105129761</v>
      </c>
      <c r="F16" s="107">
        <v>-571983.8964003867</v>
      </c>
      <c r="G16" s="107">
        <v>-492150.78245788993</v>
      </c>
      <c r="H16" s="107">
        <v>-424913.27986112621</v>
      </c>
      <c r="I16" s="107">
        <v>-356457.88176932372</v>
      </c>
      <c r="J16" s="107">
        <v>-298046.87893219886</v>
      </c>
      <c r="K16" s="107">
        <v>-246998.08340899154</v>
      </c>
    </row>
    <row r="17" spans="1:11" x14ac:dyDescent="0.25">
      <c r="A17" s="111" t="s">
        <v>40</v>
      </c>
      <c r="B17" s="107">
        <v>-2191187.1216415069</v>
      </c>
      <c r="C17" s="107">
        <v>-2287138.4891758673</v>
      </c>
      <c r="D17" s="107">
        <v>-2312483.3954207827</v>
      </c>
      <c r="E17" s="107">
        <v>-2337397.4767553806</v>
      </c>
      <c r="F17" s="107">
        <v>-2395563.6498964624</v>
      </c>
      <c r="G17" s="107">
        <v>-2458768.7765781861</v>
      </c>
      <c r="H17" s="107">
        <v>-2521906.1603509961</v>
      </c>
      <c r="I17" s="107">
        <v>-2586703.6947770906</v>
      </c>
      <c r="J17" s="107">
        <v>-2653230.1502450411</v>
      </c>
      <c r="K17" s="107">
        <v>-2721533.5413362803</v>
      </c>
    </row>
    <row r="18" spans="1:11" x14ac:dyDescent="0.25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1" x14ac:dyDescent="0.25">
      <c r="A19" s="112" t="s">
        <v>71</v>
      </c>
      <c r="B19" s="114">
        <f>SUM(B8:B18)</f>
        <v>4353491.0381636862</v>
      </c>
      <c r="C19" s="114">
        <f t="shared" ref="C19:K19" si="0">SUM(C8:C18)</f>
        <v>6703407.3480303138</v>
      </c>
      <c r="D19" s="114">
        <f t="shared" si="0"/>
        <v>7077559.5751090925</v>
      </c>
      <c r="E19" s="114">
        <f t="shared" si="0"/>
        <v>7342927.9622168038</v>
      </c>
      <c r="F19" s="114">
        <f t="shared" si="0"/>
        <v>6528237.756837762</v>
      </c>
      <c r="G19" s="114">
        <f t="shared" si="0"/>
        <v>6587944.3694971856</v>
      </c>
      <c r="H19" s="114">
        <f t="shared" si="0"/>
        <v>6956508.210599768</v>
      </c>
      <c r="I19" s="114">
        <f t="shared" si="0"/>
        <v>7151095.2614472415</v>
      </c>
      <c r="J19" s="114">
        <f t="shared" si="0"/>
        <v>7421580.1441489514</v>
      </c>
      <c r="K19" s="114">
        <f t="shared" si="0"/>
        <v>7482984.4023226826</v>
      </c>
    </row>
    <row r="20" spans="1:11" x14ac:dyDescent="0.25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1" x14ac:dyDescent="0.25">
      <c r="A21" s="110" t="s">
        <v>72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1" x14ac:dyDescent="0.25">
      <c r="A22" s="112" t="s">
        <v>67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</row>
    <row r="23" spans="1:11" x14ac:dyDescent="0.25">
      <c r="A23" s="111" t="s">
        <v>73</v>
      </c>
      <c r="B23" s="111">
        <v>11248391.662790406</v>
      </c>
      <c r="C23" s="111">
        <v>0</v>
      </c>
      <c r="D23" s="111">
        <v>0</v>
      </c>
      <c r="E23" s="111">
        <v>0</v>
      </c>
      <c r="F23" s="111">
        <v>5991985.0970504992</v>
      </c>
      <c r="G23" s="111">
        <v>0</v>
      </c>
      <c r="H23" s="111">
        <v>0</v>
      </c>
      <c r="I23" s="111">
        <v>0</v>
      </c>
      <c r="J23" s="111">
        <v>0</v>
      </c>
      <c r="K23" s="111">
        <v>2885986.1585429199</v>
      </c>
    </row>
    <row r="24" spans="1:11" x14ac:dyDescent="0.25">
      <c r="A24" s="112" t="s">
        <v>70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</row>
    <row r="25" spans="1:11" x14ac:dyDescent="0.25">
      <c r="A25" s="111" t="s">
        <v>75</v>
      </c>
      <c r="B25" s="107">
        <v>0</v>
      </c>
      <c r="C25" s="107">
        <v>-1482178.6775106234</v>
      </c>
      <c r="D25" s="107">
        <v>-1904972.6759448762</v>
      </c>
      <c r="E25" s="107">
        <v>-1674037.4036281866</v>
      </c>
      <c r="F25" s="107">
        <v>0</v>
      </c>
      <c r="G25" s="107">
        <v>-1588289.7555846954</v>
      </c>
      <c r="H25" s="107">
        <v>-2065844.6635161797</v>
      </c>
      <c r="I25" s="107">
        <v>-2129001.2958388301</v>
      </c>
      <c r="J25" s="107">
        <v>-297689.37694781739</v>
      </c>
      <c r="K25" s="107">
        <v>0</v>
      </c>
    </row>
    <row r="26" spans="1:11" x14ac:dyDescent="0.25">
      <c r="A26" s="111" t="s">
        <v>76</v>
      </c>
      <c r="B26" s="107">
        <v>-21141988</v>
      </c>
      <c r="C26" s="107">
        <v>-3285343</v>
      </c>
      <c r="D26" s="107">
        <v>-3153568</v>
      </c>
      <c r="E26" s="107">
        <v>-3608029</v>
      </c>
      <c r="F26" s="107">
        <v>-10605657.359999999</v>
      </c>
      <c r="G26" s="107">
        <v>-3120216.03</v>
      </c>
      <c r="H26" s="107">
        <v>-2931604.43</v>
      </c>
      <c r="I26" s="107">
        <v>-3307394.33</v>
      </c>
      <c r="J26" s="107">
        <v>-5398291.9299999997</v>
      </c>
      <c r="K26" s="107">
        <v>-8927933.3899999987</v>
      </c>
    </row>
    <row r="27" spans="1:11" x14ac:dyDescent="0.25">
      <c r="A27" s="111"/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11" x14ac:dyDescent="0.25">
      <c r="A28" s="112" t="s">
        <v>77</v>
      </c>
      <c r="B28" s="114">
        <f>SUM(B23:B26)</f>
        <v>-9893596.3372095935</v>
      </c>
      <c r="C28" s="114">
        <f t="shared" ref="C28:K28" si="1">SUM(C23:C26)</f>
        <v>-4767521.6775106229</v>
      </c>
      <c r="D28" s="114">
        <f t="shared" si="1"/>
        <v>-5058540.6759448759</v>
      </c>
      <c r="E28" s="114">
        <f t="shared" si="1"/>
        <v>-5282066.4036281863</v>
      </c>
      <c r="F28" s="114">
        <f t="shared" si="1"/>
        <v>-4613672.2629495002</v>
      </c>
      <c r="G28" s="114">
        <f t="shared" si="1"/>
        <v>-4708505.7855846956</v>
      </c>
      <c r="H28" s="114">
        <f t="shared" si="1"/>
        <v>-4997449.0935161803</v>
      </c>
      <c r="I28" s="114">
        <f t="shared" si="1"/>
        <v>-5436395.6258388301</v>
      </c>
      <c r="J28" s="114">
        <f t="shared" si="1"/>
        <v>-5695981.3069478171</v>
      </c>
      <c r="K28" s="114">
        <f t="shared" si="1"/>
        <v>-6041947.2314570788</v>
      </c>
    </row>
    <row r="29" spans="1:11" x14ac:dyDescent="0.25">
      <c r="A29" s="111"/>
      <c r="B29" s="107"/>
      <c r="C29" s="107"/>
      <c r="D29" s="107"/>
      <c r="E29" s="107"/>
      <c r="F29" s="107"/>
      <c r="G29" s="107"/>
      <c r="H29" s="107"/>
      <c r="I29" s="107"/>
      <c r="J29" s="107"/>
      <c r="K29" s="107"/>
    </row>
    <row r="30" spans="1:11" x14ac:dyDescent="0.25">
      <c r="A30" s="110" t="s">
        <v>78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</row>
    <row r="31" spans="1:11" x14ac:dyDescent="0.25">
      <c r="A31" s="110" t="s">
        <v>67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11" x14ac:dyDescent="0.25">
      <c r="A32" s="111" t="s">
        <v>79</v>
      </c>
      <c r="B32" s="107">
        <v>6500000</v>
      </c>
      <c r="C32" s="107">
        <v>0</v>
      </c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107">
        <v>0</v>
      </c>
      <c r="J32" s="107">
        <v>0</v>
      </c>
      <c r="K32" s="107">
        <v>0</v>
      </c>
    </row>
    <row r="33" spans="1:11" x14ac:dyDescent="0.25">
      <c r="A33" s="112" t="s">
        <v>70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</row>
    <row r="34" spans="1:11" x14ac:dyDescent="0.25">
      <c r="A34" s="111" t="s">
        <v>80</v>
      </c>
      <c r="B34" s="107">
        <v>-1248315</v>
      </c>
      <c r="C34" s="107">
        <v>-1897881.0890450536</v>
      </c>
      <c r="D34" s="107">
        <v>-1970173.4459348591</v>
      </c>
      <c r="E34" s="107">
        <v>-2017937.5225981497</v>
      </c>
      <c r="F34" s="107">
        <v>-2068206.1374023724</v>
      </c>
      <c r="G34" s="107">
        <v>-1838713.2055641604</v>
      </c>
      <c r="H34" s="107">
        <v>-1906088.741096</v>
      </c>
      <c r="I34" s="107">
        <v>-1660109.8587920296</v>
      </c>
      <c r="J34" s="107">
        <v>-1717965.7762537494</v>
      </c>
      <c r="K34" s="107">
        <v>-1515036.8159564496</v>
      </c>
    </row>
    <row r="35" spans="1:11" x14ac:dyDescent="0.25">
      <c r="A35" s="111"/>
      <c r="B35" s="107"/>
      <c r="C35" s="107"/>
      <c r="D35" s="107"/>
      <c r="E35" s="107"/>
      <c r="F35" s="107"/>
      <c r="G35" s="107"/>
      <c r="H35" s="107"/>
      <c r="I35" s="107"/>
      <c r="J35" s="107"/>
      <c r="K35" s="107"/>
    </row>
    <row r="36" spans="1:11" x14ac:dyDescent="0.25">
      <c r="A36" s="112" t="s">
        <v>81</v>
      </c>
      <c r="B36" s="115">
        <f>SUM(B32:B34)</f>
        <v>5251685</v>
      </c>
      <c r="C36" s="115">
        <f t="shared" ref="C36:K36" si="2">SUM(C32:C34)</f>
        <v>-1897881.0890450536</v>
      </c>
      <c r="D36" s="115">
        <f t="shared" si="2"/>
        <v>-1970173.4459348591</v>
      </c>
      <c r="E36" s="115">
        <f t="shared" si="2"/>
        <v>-2017937.5225981497</v>
      </c>
      <c r="F36" s="115">
        <f t="shared" si="2"/>
        <v>-2068206.1374023724</v>
      </c>
      <c r="G36" s="115">
        <f t="shared" si="2"/>
        <v>-1838713.2055641604</v>
      </c>
      <c r="H36" s="115">
        <f t="shared" si="2"/>
        <v>-1906088.741096</v>
      </c>
      <c r="I36" s="115">
        <f t="shared" si="2"/>
        <v>-1660109.8587920296</v>
      </c>
      <c r="J36" s="115">
        <f t="shared" si="2"/>
        <v>-1717965.7762537494</v>
      </c>
      <c r="K36" s="115">
        <f t="shared" si="2"/>
        <v>-1515036.8159564496</v>
      </c>
    </row>
    <row r="37" spans="1:11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x14ac:dyDescent="0.25">
      <c r="A38" s="112" t="s">
        <v>82</v>
      </c>
      <c r="B38" s="107">
        <f>+B19+B28+B36</f>
        <v>-288420.29904590733</v>
      </c>
      <c r="C38" s="107">
        <f t="shared" ref="C38:K38" si="3">+C19+C28+C36</f>
        <v>38004.58147463738</v>
      </c>
      <c r="D38" s="107">
        <f t="shared" si="3"/>
        <v>48845.453229357488</v>
      </c>
      <c r="E38" s="107">
        <f t="shared" si="3"/>
        <v>42924.035990467761</v>
      </c>
      <c r="F38" s="107">
        <f t="shared" si="3"/>
        <v>-153640.64351411071</v>
      </c>
      <c r="G38" s="107">
        <f t="shared" si="3"/>
        <v>40725.37834832957</v>
      </c>
      <c r="H38" s="107">
        <f t="shared" si="3"/>
        <v>52970.375987587729</v>
      </c>
      <c r="I38" s="107">
        <f t="shared" si="3"/>
        <v>54589.77681638184</v>
      </c>
      <c r="J38" s="107">
        <f t="shared" si="3"/>
        <v>7633.0609473849181</v>
      </c>
      <c r="K38" s="107">
        <f t="shared" si="3"/>
        <v>-73999.645090845879</v>
      </c>
    </row>
    <row r="39" spans="1:11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x14ac:dyDescent="0.25">
      <c r="A40" s="112" t="s">
        <v>83</v>
      </c>
      <c r="B40" s="116">
        <v>917934.31878934242</v>
      </c>
      <c r="C40" s="116">
        <f>+B42</f>
        <v>629514.01974343508</v>
      </c>
      <c r="D40" s="116">
        <f t="shared" ref="D40:K40" si="4">+C42</f>
        <v>667518.60121807246</v>
      </c>
      <c r="E40" s="116">
        <f t="shared" si="4"/>
        <v>716364.05444742995</v>
      </c>
      <c r="F40" s="116">
        <f t="shared" si="4"/>
        <v>759288.09043789771</v>
      </c>
      <c r="G40" s="116">
        <f t="shared" si="4"/>
        <v>605647.44692378701</v>
      </c>
      <c r="H40" s="116">
        <f t="shared" si="4"/>
        <v>646372.82527211658</v>
      </c>
      <c r="I40" s="116">
        <f t="shared" si="4"/>
        <v>699343.20125970431</v>
      </c>
      <c r="J40" s="116">
        <f t="shared" si="4"/>
        <v>753932.97807608615</v>
      </c>
      <c r="K40" s="116">
        <f t="shared" si="4"/>
        <v>761566.03902347106</v>
      </c>
    </row>
    <row r="41" spans="1:11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</row>
    <row r="42" spans="1:11" ht="15.75" thickBot="1" x14ac:dyDescent="0.3">
      <c r="A42" s="112" t="s">
        <v>84</v>
      </c>
      <c r="B42" s="117">
        <f>+B38+B40</f>
        <v>629514.01974343508</v>
      </c>
      <c r="C42" s="117">
        <f t="shared" ref="C42:K42" si="5">+C38+C40</f>
        <v>667518.60121807246</v>
      </c>
      <c r="D42" s="117">
        <f t="shared" si="5"/>
        <v>716364.05444742995</v>
      </c>
      <c r="E42" s="117">
        <f t="shared" si="5"/>
        <v>759288.09043789771</v>
      </c>
      <c r="F42" s="117">
        <f t="shared" si="5"/>
        <v>605647.44692378701</v>
      </c>
      <c r="G42" s="117">
        <f t="shared" si="5"/>
        <v>646372.82527211658</v>
      </c>
      <c r="H42" s="117">
        <f t="shared" si="5"/>
        <v>699343.20125970431</v>
      </c>
      <c r="I42" s="117">
        <f t="shared" si="5"/>
        <v>753932.97807608615</v>
      </c>
      <c r="J42" s="117">
        <f t="shared" si="5"/>
        <v>761566.03902347106</v>
      </c>
      <c r="K42" s="117">
        <f t="shared" si="5"/>
        <v>687566.39393262519</v>
      </c>
    </row>
    <row r="43" spans="1:11" x14ac:dyDescent="0.2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</row>
    <row r="44" spans="1:11" x14ac:dyDescent="0.25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</row>
    <row r="45" spans="1:11" x14ac:dyDescent="0.2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</row>
    <row r="46" spans="1:11" x14ac:dyDescent="0.25">
      <c r="A46" s="111" t="s">
        <v>84</v>
      </c>
      <c r="B46" s="116">
        <v>629514.01974343508</v>
      </c>
      <c r="C46" s="116">
        <f>+C42</f>
        <v>667518.60121807246</v>
      </c>
      <c r="D46" s="116">
        <f t="shared" ref="D46:K46" si="6">+D42</f>
        <v>716364.05444742995</v>
      </c>
      <c r="E46" s="116">
        <f t="shared" si="6"/>
        <v>759288.09043789771</v>
      </c>
      <c r="F46" s="116">
        <f t="shared" si="6"/>
        <v>605647.44692378701</v>
      </c>
      <c r="G46" s="116">
        <f t="shared" si="6"/>
        <v>646372.82527211658</v>
      </c>
      <c r="H46" s="116">
        <f t="shared" si="6"/>
        <v>699343.20125970431</v>
      </c>
      <c r="I46" s="116">
        <f t="shared" si="6"/>
        <v>753932.97807608615</v>
      </c>
      <c r="J46" s="116">
        <f t="shared" si="6"/>
        <v>761566.03902347106</v>
      </c>
      <c r="K46" s="116">
        <f t="shared" si="6"/>
        <v>687566.39393262519</v>
      </c>
    </row>
    <row r="47" spans="1:11" x14ac:dyDescent="0.25">
      <c r="A47" s="111" t="s">
        <v>85</v>
      </c>
      <c r="B47" s="116">
        <f>+'[4]Balance Sheet'!B9+'[4]Balance Sheet'!B15</f>
        <v>24551046.769993905</v>
      </c>
      <c r="C47" s="116">
        <f>+'[4]Balance Sheet'!C9+'[4]Balance Sheet'!C15</f>
        <v>26033225.447504528</v>
      </c>
      <c r="D47" s="116">
        <f>+'[4]Balance Sheet'!D9+'[4]Balance Sheet'!D15</f>
        <v>27938198.123449404</v>
      </c>
      <c r="E47" s="116">
        <f>+'[4]Balance Sheet'!E9+'[4]Balance Sheet'!E15</f>
        <v>29612235.527077585</v>
      </c>
      <c r="F47" s="116">
        <f>+'[4]Balance Sheet'!F9+'[4]Balance Sheet'!F15</f>
        <v>23620250.43002709</v>
      </c>
      <c r="G47" s="116">
        <f>+'[4]Balance Sheet'!G9+'[4]Balance Sheet'!G15</f>
        <v>25208540.185611784</v>
      </c>
      <c r="H47" s="116">
        <f>+'[4]Balance Sheet'!H9+'[4]Balance Sheet'!H15</f>
        <v>27274384.849127963</v>
      </c>
      <c r="I47" s="116">
        <f>+'[4]Balance Sheet'!I9+'[4]Balance Sheet'!I15</f>
        <v>29403386.144966789</v>
      </c>
      <c r="J47" s="116">
        <f>+'[4]Balance Sheet'!J9+'[4]Balance Sheet'!J15</f>
        <v>29701075.521914609</v>
      </c>
      <c r="K47" s="116">
        <f>+'[4]Balance Sheet'!K9+'[4]Balance Sheet'!K15</f>
        <v>26815089.363371689</v>
      </c>
    </row>
    <row r="48" spans="1:11" x14ac:dyDescent="0.25">
      <c r="A48" s="119" t="s">
        <v>86</v>
      </c>
      <c r="B48" s="120">
        <f>SUM(B46:B47)</f>
        <v>25180560.78973734</v>
      </c>
      <c r="C48" s="120">
        <f t="shared" ref="C48:K48" si="7">SUM(C46:C47)</f>
        <v>26700744.048722599</v>
      </c>
      <c r="D48" s="120">
        <f t="shared" si="7"/>
        <v>28654562.177896835</v>
      </c>
      <c r="E48" s="120">
        <f t="shared" si="7"/>
        <v>30371523.617515482</v>
      </c>
      <c r="F48" s="120">
        <f t="shared" si="7"/>
        <v>24225897.876950879</v>
      </c>
      <c r="G48" s="120">
        <f t="shared" si="7"/>
        <v>25854913.010883901</v>
      </c>
      <c r="H48" s="120">
        <f t="shared" si="7"/>
        <v>27973728.050387666</v>
      </c>
      <c r="I48" s="120">
        <f t="shared" si="7"/>
        <v>30157319.123042874</v>
      </c>
      <c r="J48" s="120">
        <f t="shared" si="7"/>
        <v>30462641.560938079</v>
      </c>
      <c r="K48" s="120">
        <f t="shared" si="7"/>
        <v>27502655.757304315</v>
      </c>
    </row>
    <row r="49" spans="1:11" x14ac:dyDescent="0.25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</row>
    <row r="50" spans="1:11" x14ac:dyDescent="0.25">
      <c r="A50" s="110" t="s">
        <v>87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</row>
    <row r="51" spans="1:11" x14ac:dyDescent="0.25">
      <c r="A51" s="121" t="s">
        <v>88</v>
      </c>
      <c r="B51" s="116">
        <v>12935092</v>
      </c>
      <c r="C51" s="116">
        <v>14820952</v>
      </c>
      <c r="D51" s="116">
        <v>16753319</v>
      </c>
      <c r="E51" s="116">
        <v>18733166</v>
      </c>
      <c r="F51" s="116">
        <v>13905131</v>
      </c>
      <c r="G51" s="116">
        <v>16049848</v>
      </c>
      <c r="H51" s="116">
        <v>18256145</v>
      </c>
      <c r="I51" s="116">
        <v>20525442</v>
      </c>
      <c r="J51" s="116">
        <v>22698670</v>
      </c>
      <c r="K51" s="116">
        <v>19324441</v>
      </c>
    </row>
    <row r="52" spans="1:11" x14ac:dyDescent="0.25">
      <c r="A52" s="121" t="s">
        <v>115</v>
      </c>
      <c r="B52" s="116">
        <v>10350403</v>
      </c>
      <c r="C52" s="116">
        <v>9662262</v>
      </c>
      <c r="D52" s="116">
        <v>9176958</v>
      </c>
      <c r="E52" s="116">
        <v>8408144</v>
      </c>
      <c r="F52" s="116">
        <v>6887746.8600000003</v>
      </c>
      <c r="G52" s="116">
        <v>6103455.4800000004</v>
      </c>
      <c r="H52" s="116">
        <v>5855528.5</v>
      </c>
      <c r="I52" s="116">
        <v>5616571.6799999997</v>
      </c>
      <c r="J52" s="116">
        <v>3545708.6399999997</v>
      </c>
      <c r="K52" s="116">
        <v>3717583.8</v>
      </c>
    </row>
    <row r="53" spans="1:11" x14ac:dyDescent="0.25">
      <c r="A53" s="121" t="s">
        <v>90</v>
      </c>
      <c r="B53" s="116">
        <v>1895065.7897373401</v>
      </c>
      <c r="C53" s="116">
        <v>2217530.0487225987</v>
      </c>
      <c r="D53" s="116">
        <v>2724285.1778968349</v>
      </c>
      <c r="E53" s="116">
        <v>3230213.617515482</v>
      </c>
      <c r="F53" s="116">
        <v>3433020.0169508783</v>
      </c>
      <c r="G53" s="116">
        <v>3701609.5308839008</v>
      </c>
      <c r="H53" s="116">
        <v>3862054.5503876656</v>
      </c>
      <c r="I53" s="116">
        <v>4015305.4430428743</v>
      </c>
      <c r="J53" s="116">
        <v>4218262.9209380792</v>
      </c>
      <c r="K53" s="116">
        <v>4460630.9573043147</v>
      </c>
    </row>
    <row r="54" spans="1:11" ht="15.75" thickBot="1" x14ac:dyDescent="0.3">
      <c r="A54" s="111"/>
      <c r="B54" s="117">
        <f>SUM(B51:B53)</f>
        <v>25180560.78973734</v>
      </c>
      <c r="C54" s="117">
        <f t="shared" ref="C54:K54" si="8">SUM(C51:C53)</f>
        <v>26700744.048722599</v>
      </c>
      <c r="D54" s="117">
        <f t="shared" si="8"/>
        <v>28654562.177896835</v>
      </c>
      <c r="E54" s="117">
        <f t="shared" si="8"/>
        <v>30371523.617515482</v>
      </c>
      <c r="F54" s="117">
        <f t="shared" si="8"/>
        <v>24225897.876950879</v>
      </c>
      <c r="G54" s="117">
        <f t="shared" si="8"/>
        <v>25854913.010883901</v>
      </c>
      <c r="H54" s="117">
        <f t="shared" si="8"/>
        <v>27973728.050387666</v>
      </c>
      <c r="I54" s="117">
        <f t="shared" si="8"/>
        <v>30157319.123042874</v>
      </c>
      <c r="J54" s="117">
        <f t="shared" si="8"/>
        <v>30462641.560938079</v>
      </c>
      <c r="K54" s="117">
        <f t="shared" si="8"/>
        <v>27502655.757304315</v>
      </c>
    </row>
  </sheetData>
  <mergeCells count="1">
    <mergeCell ref="B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21199-8E00-4BF0-8761-002DF2708FC3}">
  <dimension ref="A1:K19"/>
  <sheetViews>
    <sheetView workbookViewId="0">
      <selection sqref="A1:XFD1048576"/>
    </sheetView>
  </sheetViews>
  <sheetFormatPr defaultRowHeight="15" x14ac:dyDescent="0.25"/>
  <cols>
    <col min="1" max="1" width="61.140625" customWidth="1"/>
  </cols>
  <sheetData>
    <row r="1" spans="1:11" x14ac:dyDescent="0.25">
      <c r="A1" s="122" t="s">
        <v>0</v>
      </c>
    </row>
    <row r="2" spans="1:11" x14ac:dyDescent="0.25">
      <c r="A2" s="122" t="s">
        <v>105</v>
      </c>
    </row>
    <row r="3" spans="1:11" x14ac:dyDescent="0.25">
      <c r="A3" s="122" t="s">
        <v>131</v>
      </c>
    </row>
    <row r="4" spans="1:11" x14ac:dyDescent="0.25">
      <c r="A4" s="82" t="s">
        <v>101</v>
      </c>
    </row>
    <row r="5" spans="1:11" x14ac:dyDescent="0.25">
      <c r="A5" s="123"/>
      <c r="B5" s="166" t="s">
        <v>2</v>
      </c>
      <c r="C5" s="166"/>
      <c r="D5" s="166"/>
      <c r="E5" s="166"/>
      <c r="F5" s="166"/>
      <c r="G5" s="166"/>
      <c r="H5" s="166"/>
      <c r="I5" s="166"/>
      <c r="J5" s="166"/>
      <c r="K5" s="166"/>
    </row>
    <row r="6" spans="1:11" x14ac:dyDescent="0.25">
      <c r="B6" s="124" t="s">
        <v>3</v>
      </c>
      <c r="C6" s="124" t="s">
        <v>4</v>
      </c>
      <c r="D6" s="124" t="s">
        <v>5</v>
      </c>
      <c r="E6" s="124" t="s">
        <v>6</v>
      </c>
      <c r="F6" s="124" t="s">
        <v>7</v>
      </c>
      <c r="G6" s="124" t="s">
        <v>8</v>
      </c>
      <c r="H6" s="124" t="s">
        <v>9</v>
      </c>
      <c r="I6" s="124" t="s">
        <v>10</v>
      </c>
      <c r="J6" s="124" t="s">
        <v>11</v>
      </c>
      <c r="K6" s="124" t="s">
        <v>106</v>
      </c>
    </row>
    <row r="7" spans="1:11" ht="15.75" thickBot="1" x14ac:dyDescent="0.3">
      <c r="B7" s="109" t="s">
        <v>12</v>
      </c>
      <c r="C7" s="109" t="s">
        <v>12</v>
      </c>
      <c r="D7" s="109" t="s">
        <v>12</v>
      </c>
      <c r="E7" s="109" t="s">
        <v>12</v>
      </c>
      <c r="F7" s="109" t="s">
        <v>12</v>
      </c>
      <c r="G7" s="109" t="s">
        <v>12</v>
      </c>
      <c r="H7" s="109" t="s">
        <v>12</v>
      </c>
      <c r="I7" s="109" t="s">
        <v>12</v>
      </c>
      <c r="J7" s="109" t="s">
        <v>12</v>
      </c>
      <c r="K7" s="109" t="s">
        <v>12</v>
      </c>
    </row>
    <row r="10" spans="1:11" x14ac:dyDescent="0.25">
      <c r="A10" s="125" t="s">
        <v>92</v>
      </c>
    </row>
    <row r="11" spans="1:11" x14ac:dyDescent="0.25">
      <c r="A11" s="123" t="s">
        <v>93</v>
      </c>
      <c r="B11" s="79">
        <v>-2.1739022960293512E-2</v>
      </c>
      <c r="C11" s="79">
        <v>2.2577706127884108E-3</v>
      </c>
      <c r="D11" s="79">
        <v>1.4810325678297953E-2</v>
      </c>
      <c r="E11" s="79">
        <v>2.5685429043903162E-2</v>
      </c>
      <c r="F11" s="79">
        <v>3.8566812515514012E-2</v>
      </c>
      <c r="G11" s="79">
        <v>3.6526254088980761E-2</v>
      </c>
      <c r="H11" s="79">
        <v>5.1343567945044515E-2</v>
      </c>
      <c r="I11" s="79">
        <v>5.7279327433613962E-2</v>
      </c>
      <c r="J11" s="79">
        <v>6.6950973091053703E-2</v>
      </c>
      <c r="K11" s="79">
        <v>6.6029685119140979E-2</v>
      </c>
    </row>
    <row r="12" spans="1:11" x14ac:dyDescent="0.25">
      <c r="A12" s="123" t="s">
        <v>94</v>
      </c>
      <c r="B12" s="79">
        <v>0.9012549471335608</v>
      </c>
      <c r="C12" s="79">
        <v>0.91292434340312334</v>
      </c>
      <c r="D12" s="79">
        <v>0.91294865293501704</v>
      </c>
      <c r="E12" s="79">
        <v>0.91297265342286815</v>
      </c>
      <c r="F12" s="79">
        <v>0.91360645988440004</v>
      </c>
      <c r="G12" s="79">
        <v>0.91343589953173954</v>
      </c>
      <c r="H12" s="79">
        <v>0.91349922018617302</v>
      </c>
      <c r="I12" s="79">
        <v>0.91356178045958003</v>
      </c>
      <c r="J12" s="79">
        <v>0.91362365919588906</v>
      </c>
      <c r="K12" s="79">
        <v>0.91367992915984697</v>
      </c>
    </row>
    <row r="13" spans="1:11" x14ac:dyDescent="0.25">
      <c r="A13" s="123" t="s">
        <v>95</v>
      </c>
      <c r="B13" s="126">
        <v>3.776845824381168</v>
      </c>
      <c r="C13" s="126">
        <v>3.6315565389506563</v>
      </c>
      <c r="D13" s="126">
        <v>3.5902191284172762</v>
      </c>
      <c r="E13" s="126">
        <v>3.4757894450365563</v>
      </c>
      <c r="F13" s="126">
        <v>3.3254057778610639</v>
      </c>
      <c r="G13" s="126">
        <v>3.1222309797002916</v>
      </c>
      <c r="H13" s="126">
        <v>3.3081513031723215</v>
      </c>
      <c r="I13" s="126">
        <v>3.2207701778359215</v>
      </c>
      <c r="J13" s="126">
        <v>2.8789126653023183</v>
      </c>
      <c r="K13" s="126">
        <v>2.9360761355087228</v>
      </c>
    </row>
    <row r="14" spans="1:11" x14ac:dyDescent="0.25">
      <c r="A14" s="123" t="s">
        <v>96</v>
      </c>
      <c r="B14" s="126">
        <v>3.0695378746874917</v>
      </c>
      <c r="C14" s="126">
        <v>2.6690668442861112</v>
      </c>
      <c r="D14" s="126">
        <v>2.7503297964035727</v>
      </c>
      <c r="E14" s="126">
        <v>2.8335966990180848</v>
      </c>
      <c r="F14" s="126">
        <v>2.9569588884921769</v>
      </c>
      <c r="G14" s="126">
        <v>3.3464670118845072</v>
      </c>
      <c r="H14" s="126">
        <v>3.4920121538130298</v>
      </c>
      <c r="I14" s="126">
        <v>4.0981749907621561</v>
      </c>
      <c r="J14" s="126">
        <v>4.217308032015695</v>
      </c>
      <c r="K14" s="126">
        <v>4.8294811029363194</v>
      </c>
    </row>
    <row r="15" spans="1:11" x14ac:dyDescent="0.25">
      <c r="A15" s="123" t="s">
        <v>97</v>
      </c>
      <c r="B15" s="79">
        <v>7.8019265568507648E-2</v>
      </c>
      <c r="C15" s="79">
        <v>7.8654028882302274E-2</v>
      </c>
      <c r="D15" s="79">
        <v>7.7954884325206197E-2</v>
      </c>
      <c r="E15" s="79">
        <v>7.7954887437697212E-2</v>
      </c>
      <c r="F15" s="79">
        <v>7.795488498500705E-2</v>
      </c>
      <c r="G15" s="79">
        <v>7.7954884980603018E-2</v>
      </c>
      <c r="H15" s="79">
        <v>7.7954884985895978E-2</v>
      </c>
      <c r="I15" s="79">
        <v>7.7954884990983062E-2</v>
      </c>
      <c r="J15" s="79">
        <v>7.7954884987936471E-2</v>
      </c>
      <c r="K15" s="79">
        <v>7.7954884982254738E-2</v>
      </c>
    </row>
    <row r="16" spans="1:11" x14ac:dyDescent="0.25">
      <c r="A16" s="123" t="s">
        <v>98</v>
      </c>
      <c r="B16" s="126">
        <v>0.39368372310723287</v>
      </c>
      <c r="C16" s="126">
        <v>0.42304228647666053</v>
      </c>
      <c r="D16" s="126">
        <v>0.44777490806306852</v>
      </c>
      <c r="E16" s="126">
        <v>0.46789470858788917</v>
      </c>
      <c r="F16" s="126">
        <v>0.345819314999259</v>
      </c>
      <c r="G16" s="126">
        <v>0.36619870520840764</v>
      </c>
      <c r="H16" s="126">
        <v>0.39190226890501495</v>
      </c>
      <c r="I16" s="126">
        <v>0.42044690919753425</v>
      </c>
      <c r="J16" s="126">
        <v>0.41803502498832346</v>
      </c>
      <c r="K16" s="126">
        <v>0.37228519281009875</v>
      </c>
    </row>
    <row r="17" spans="1:11" x14ac:dyDescent="0.25">
      <c r="A17" s="123" t="s">
        <v>99</v>
      </c>
      <c r="B17" s="79">
        <v>1.0683183450793634</v>
      </c>
      <c r="C17" s="79">
        <v>0.8436436607537996</v>
      </c>
      <c r="D17" s="79">
        <v>0.84025003816919563</v>
      </c>
      <c r="E17" s="79">
        <v>0.73048227344043748</v>
      </c>
      <c r="F17" s="79">
        <v>0.78592719778302444</v>
      </c>
      <c r="G17" s="79">
        <v>0.62006726802301482</v>
      </c>
      <c r="H17" s="79">
        <v>0.68668699774038744</v>
      </c>
      <c r="I17" s="79">
        <v>0.72491563892490185</v>
      </c>
      <c r="J17" s="79">
        <v>0.70066517819423668</v>
      </c>
      <c r="K17" s="79">
        <v>0.70907612034440204</v>
      </c>
    </row>
    <row r="19" spans="1:11" x14ac:dyDescent="0.25">
      <c r="A19" s="127" t="s">
        <v>100</v>
      </c>
      <c r="B19" s="79">
        <v>9.4991786426322763E-2</v>
      </c>
      <c r="C19" s="79">
        <v>0.12212110255744507</v>
      </c>
      <c r="D19" s="79">
        <v>0.11957697805484435</v>
      </c>
      <c r="E19" s="79">
        <v>0.1168779544824385</v>
      </c>
      <c r="F19" s="79">
        <v>0.11259348557461295</v>
      </c>
      <c r="G19" s="79">
        <v>9.7675001918141491E-2</v>
      </c>
      <c r="H19" s="79">
        <v>9.5683876370975529E-2</v>
      </c>
      <c r="I19" s="79">
        <v>8.109849663495064E-2</v>
      </c>
      <c r="J19" s="79">
        <v>7.9419551420915321E-2</v>
      </c>
      <c r="K19" s="79">
        <v>6.80107866139186E-2</v>
      </c>
    </row>
  </sheetData>
  <mergeCells count="1">
    <mergeCell ref="B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3D3C1-7792-4551-8A40-B18499D48758}">
  <dimension ref="A1:K31"/>
  <sheetViews>
    <sheetView topLeftCell="A10" workbookViewId="0">
      <selection sqref="A1:XFD1048576"/>
    </sheetView>
  </sheetViews>
  <sheetFormatPr defaultRowHeight="15" x14ac:dyDescent="0.25"/>
  <cols>
    <col min="1" max="1" width="60.28515625" customWidth="1"/>
    <col min="2" max="11" width="12.42578125" customWidth="1"/>
  </cols>
  <sheetData>
    <row r="1" spans="1:11" x14ac:dyDescent="0.25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x14ac:dyDescent="0.25">
      <c r="A2" s="128" t="s">
        <v>105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x14ac:dyDescent="0.25">
      <c r="A3" s="128" t="s">
        <v>132</v>
      </c>
      <c r="B3" s="167" t="s">
        <v>2</v>
      </c>
      <c r="C3" s="167"/>
      <c r="D3" s="167"/>
      <c r="E3" s="167"/>
      <c r="F3" s="167"/>
      <c r="G3" s="167"/>
      <c r="H3" s="167"/>
      <c r="I3" s="167"/>
      <c r="J3" s="167"/>
      <c r="K3" s="167"/>
    </row>
    <row r="4" spans="1:11" x14ac:dyDescent="0.25">
      <c r="A4" s="128" t="s">
        <v>101</v>
      </c>
      <c r="B4" s="130" t="s">
        <v>3</v>
      </c>
      <c r="C4" s="130" t="s">
        <v>4</v>
      </c>
      <c r="D4" s="130" t="s">
        <v>5</v>
      </c>
      <c r="E4" s="130" t="s">
        <v>6</v>
      </c>
      <c r="F4" s="130" t="s">
        <v>7</v>
      </c>
      <c r="G4" s="130" t="s">
        <v>8</v>
      </c>
      <c r="H4" s="130" t="s">
        <v>9</v>
      </c>
      <c r="I4" s="130" t="s">
        <v>10</v>
      </c>
      <c r="J4" s="130" t="s">
        <v>11</v>
      </c>
      <c r="K4" s="130" t="s">
        <v>106</v>
      </c>
    </row>
    <row r="5" spans="1:11" ht="15.75" thickBot="1" x14ac:dyDescent="0.3">
      <c r="A5" s="131"/>
      <c r="B5" s="132" t="s">
        <v>12</v>
      </c>
      <c r="C5" s="132" t="s">
        <v>12</v>
      </c>
      <c r="D5" s="132" t="s">
        <v>12</v>
      </c>
      <c r="E5" s="132" t="s">
        <v>12</v>
      </c>
      <c r="F5" s="132" t="s">
        <v>12</v>
      </c>
      <c r="G5" s="132" t="s">
        <v>12</v>
      </c>
      <c r="H5" s="132" t="s">
        <v>12</v>
      </c>
      <c r="I5" s="132" t="s">
        <v>12</v>
      </c>
      <c r="J5" s="132" t="s">
        <v>12</v>
      </c>
      <c r="K5" s="132" t="s">
        <v>12</v>
      </c>
    </row>
    <row r="6" spans="1:11" x14ac:dyDescent="0.25">
      <c r="A6" s="133" t="s">
        <v>13</v>
      </c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1" x14ac:dyDescent="0.25">
      <c r="A7" s="134" t="s">
        <v>14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1" x14ac:dyDescent="0.25">
      <c r="A8" s="89" t="s">
        <v>15</v>
      </c>
      <c r="B8" s="38">
        <v>19986391</v>
      </c>
      <c r="C8" s="38">
        <v>20386117</v>
      </c>
      <c r="D8" s="38">
        <v>20793840</v>
      </c>
      <c r="E8" s="38">
        <v>21209718</v>
      </c>
      <c r="F8" s="38">
        <v>21633912.359999996</v>
      </c>
      <c r="G8" s="38">
        <v>22066590.649999999</v>
      </c>
      <c r="H8" s="38">
        <v>22507922.449999999</v>
      </c>
      <c r="I8" s="38">
        <v>22958080.859999996</v>
      </c>
      <c r="J8" s="38">
        <v>23417242.430000003</v>
      </c>
      <c r="K8" s="38">
        <v>23885587.27</v>
      </c>
    </row>
    <row r="9" spans="1:11" x14ac:dyDescent="0.25">
      <c r="A9" s="89" t="s">
        <v>16</v>
      </c>
      <c r="B9" s="38">
        <v>3448093</v>
      </c>
      <c r="C9" s="38">
        <v>3517056</v>
      </c>
      <c r="D9" s="38">
        <v>3587396</v>
      </c>
      <c r="E9" s="38">
        <v>3659145</v>
      </c>
      <c r="F9" s="38">
        <v>3445614.4000000004</v>
      </c>
      <c r="G9" s="38">
        <v>3514657.57</v>
      </c>
      <c r="H9" s="38">
        <v>3585081.6400000015</v>
      </c>
      <c r="I9" s="38">
        <v>3656914.16</v>
      </c>
      <c r="J9" s="38">
        <v>3730183.3200000003</v>
      </c>
      <c r="K9" s="38">
        <v>3804917.88</v>
      </c>
    </row>
    <row r="10" spans="1:11" x14ac:dyDescent="0.25">
      <c r="A10" s="89" t="s">
        <v>18</v>
      </c>
      <c r="B10" s="38">
        <v>69438</v>
      </c>
      <c r="C10" s="38">
        <v>70827</v>
      </c>
      <c r="D10" s="38">
        <v>72244</v>
      </c>
      <c r="E10" s="38">
        <v>73688</v>
      </c>
      <c r="F10" s="38">
        <v>75161.759999999995</v>
      </c>
      <c r="G10" s="38">
        <v>76664.989999999991</v>
      </c>
      <c r="H10" s="38">
        <v>78198.290000000008</v>
      </c>
      <c r="I10" s="38">
        <v>79762.25</v>
      </c>
      <c r="J10" s="38">
        <v>81357.489999999991</v>
      </c>
      <c r="K10" s="38">
        <v>82984.639999999999</v>
      </c>
    </row>
    <row r="11" spans="1:11" x14ac:dyDescent="0.25">
      <c r="A11" s="89" t="s">
        <v>19</v>
      </c>
      <c r="B11" s="38">
        <v>198000</v>
      </c>
      <c r="C11" s="38">
        <v>201960</v>
      </c>
      <c r="D11" s="38">
        <v>205999</v>
      </c>
      <c r="E11" s="38">
        <v>210119</v>
      </c>
      <c r="F11" s="38">
        <v>214321.38</v>
      </c>
      <c r="G11" s="38">
        <v>218607.81</v>
      </c>
      <c r="H11" s="38">
        <v>222979.97</v>
      </c>
      <c r="I11" s="38">
        <v>227439.57</v>
      </c>
      <c r="J11" s="38">
        <v>231988.36</v>
      </c>
      <c r="K11" s="38">
        <v>236628.13</v>
      </c>
    </row>
    <row r="12" spans="1:11" x14ac:dyDescent="0.25">
      <c r="A12" s="89" t="s">
        <v>20</v>
      </c>
      <c r="B12" s="38">
        <v>943000</v>
      </c>
      <c r="C12" s="38">
        <v>961860</v>
      </c>
      <c r="D12" s="38">
        <v>981097</v>
      </c>
      <c r="E12" s="38">
        <v>1000720</v>
      </c>
      <c r="F12" s="38">
        <v>1020733</v>
      </c>
      <c r="G12" s="38">
        <v>1041148</v>
      </c>
      <c r="H12" s="38">
        <v>1061971</v>
      </c>
      <c r="I12" s="38">
        <v>1083211</v>
      </c>
      <c r="J12" s="38">
        <v>1104875</v>
      </c>
      <c r="K12" s="38">
        <v>1126972</v>
      </c>
    </row>
    <row r="13" spans="1:11" x14ac:dyDescent="0.25">
      <c r="A13" s="89" t="s">
        <v>17</v>
      </c>
      <c r="B13" s="38">
        <v>523498</v>
      </c>
      <c r="C13" s="38">
        <v>469931</v>
      </c>
      <c r="D13" s="38">
        <v>637081</v>
      </c>
      <c r="E13" s="38">
        <v>545991</v>
      </c>
      <c r="F13" s="38">
        <v>787920</v>
      </c>
      <c r="G13" s="38">
        <v>816448</v>
      </c>
      <c r="H13" s="38">
        <v>879044</v>
      </c>
      <c r="I13" s="38">
        <v>889954</v>
      </c>
      <c r="J13" s="38">
        <v>1176186</v>
      </c>
      <c r="K13" s="38">
        <v>1187746</v>
      </c>
    </row>
    <row r="14" spans="1:11" x14ac:dyDescent="0.25">
      <c r="A14" s="134" t="s">
        <v>21</v>
      </c>
      <c r="B14" s="90">
        <f>SUM(B8:B13)</f>
        <v>25168420</v>
      </c>
      <c r="C14" s="90">
        <f t="shared" ref="C14:K14" si="0">SUM(C8:C13)</f>
        <v>25607751</v>
      </c>
      <c r="D14" s="90">
        <f t="shared" si="0"/>
        <v>26277657</v>
      </c>
      <c r="E14" s="90">
        <f t="shared" si="0"/>
        <v>26699381</v>
      </c>
      <c r="F14" s="90">
        <f t="shared" si="0"/>
        <v>27177662.899999999</v>
      </c>
      <c r="G14" s="90">
        <f t="shared" si="0"/>
        <v>27734117.019999996</v>
      </c>
      <c r="H14" s="90">
        <f t="shared" si="0"/>
        <v>28335197.349999998</v>
      </c>
      <c r="I14" s="90">
        <f t="shared" si="0"/>
        <v>28895361.839999996</v>
      </c>
      <c r="J14" s="90">
        <f t="shared" si="0"/>
        <v>29741832.600000001</v>
      </c>
      <c r="K14" s="90">
        <f t="shared" si="0"/>
        <v>30324835.919999998</v>
      </c>
    </row>
    <row r="15" spans="1:11" x14ac:dyDescent="0.2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</row>
    <row r="16" spans="1:11" x14ac:dyDescent="0.25">
      <c r="A16" s="133" t="s">
        <v>22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</row>
    <row r="17" spans="1:11" x14ac:dyDescent="0.25">
      <c r="A17" s="89" t="s">
        <v>23</v>
      </c>
      <c r="B17" s="38">
        <v>2491287</v>
      </c>
      <c r="C17" s="38">
        <v>2541107</v>
      </c>
      <c r="D17" s="38">
        <v>2591927</v>
      </c>
      <c r="E17" s="38">
        <v>2643770</v>
      </c>
      <c r="F17" s="38">
        <v>2696645.4000000013</v>
      </c>
      <c r="G17" s="38">
        <v>2750578.4000000013</v>
      </c>
      <c r="H17" s="38">
        <v>2805590.0000000005</v>
      </c>
      <c r="I17" s="38">
        <v>2861701.8400000008</v>
      </c>
      <c r="J17" s="38">
        <v>2918935.959999999</v>
      </c>
      <c r="K17" s="38">
        <v>2977314.7300000028</v>
      </c>
    </row>
    <row r="18" spans="1:11" x14ac:dyDescent="0.25">
      <c r="A18" s="89" t="s">
        <v>24</v>
      </c>
      <c r="B18" s="38">
        <v>1904412</v>
      </c>
      <c r="C18" s="38">
        <v>1724477</v>
      </c>
      <c r="D18" s="38">
        <v>1655071.7673693206</v>
      </c>
      <c r="E18" s="38">
        <v>1538669.8837141879</v>
      </c>
      <c r="F18" s="38">
        <v>1304397.0522677321</v>
      </c>
      <c r="G18" s="38">
        <v>1069988.9226092026</v>
      </c>
      <c r="H18" s="38">
        <v>822645.52904453676</v>
      </c>
      <c r="I18" s="38">
        <v>550559.82616922108</v>
      </c>
      <c r="J18" s="38">
        <v>262980.68726611155</v>
      </c>
      <c r="K18" s="38">
        <v>164629.90267104952</v>
      </c>
    </row>
    <row r="19" spans="1:11" x14ac:dyDescent="0.25">
      <c r="A19" s="89" t="s">
        <v>25</v>
      </c>
      <c r="B19" s="38">
        <v>6920077</v>
      </c>
      <c r="C19" s="38">
        <v>6996514</v>
      </c>
      <c r="D19" s="38">
        <v>7894179</v>
      </c>
      <c r="E19" s="38">
        <v>7236003</v>
      </c>
      <c r="F19" s="38">
        <v>7365800.2399999965</v>
      </c>
      <c r="G19" s="38">
        <v>8765316.9100000076</v>
      </c>
      <c r="H19" s="38">
        <v>8177113.3499999978</v>
      </c>
      <c r="I19" s="38">
        <v>8327464.5800000075</v>
      </c>
      <c r="J19" s="38">
        <v>9413152.1599999983</v>
      </c>
      <c r="K19" s="38">
        <v>8625107.7800000049</v>
      </c>
    </row>
    <row r="20" spans="1:11" x14ac:dyDescent="0.25">
      <c r="A20" s="89" t="s">
        <v>26</v>
      </c>
      <c r="B20" s="38">
        <v>5946991</v>
      </c>
      <c r="C20" s="38">
        <v>6168484</v>
      </c>
      <c r="D20" s="38">
        <v>6297959</v>
      </c>
      <c r="E20" s="38">
        <v>6365286</v>
      </c>
      <c r="F20" s="38">
        <v>6411833</v>
      </c>
      <c r="G20" s="38">
        <v>6516361</v>
      </c>
      <c r="H20" s="38">
        <v>6516361</v>
      </c>
      <c r="I20" s="38">
        <v>6516361</v>
      </c>
      <c r="J20" s="38">
        <v>6516361</v>
      </c>
      <c r="K20" s="38">
        <v>6516361</v>
      </c>
    </row>
    <row r="21" spans="1:11" x14ac:dyDescent="0.25">
      <c r="A21" s="89" t="s">
        <v>27</v>
      </c>
      <c r="B21" s="38">
        <v>953420</v>
      </c>
      <c r="C21" s="38">
        <v>990282</v>
      </c>
      <c r="D21" s="38">
        <v>1009927</v>
      </c>
      <c r="E21" s="38">
        <v>1029968</v>
      </c>
      <c r="F21" s="38">
        <v>1060636.3</v>
      </c>
      <c r="G21" s="38">
        <v>1092220.78</v>
      </c>
      <c r="H21" s="38">
        <v>1124748.8699999999</v>
      </c>
      <c r="I21" s="38">
        <v>1158248.78</v>
      </c>
      <c r="J21" s="38">
        <v>1192749.6500000001</v>
      </c>
      <c r="K21" s="38">
        <v>1228281.42</v>
      </c>
    </row>
    <row r="22" spans="1:11" x14ac:dyDescent="0.25">
      <c r="A22" s="134" t="s">
        <v>28</v>
      </c>
      <c r="B22" s="40">
        <f>SUM(B17:B21)</f>
        <v>18216187</v>
      </c>
      <c r="C22" s="40">
        <f t="shared" ref="C22:K22" si="1">SUM(C17:C21)</f>
        <v>18420864</v>
      </c>
      <c r="D22" s="40">
        <f t="shared" si="1"/>
        <v>19449063.767369322</v>
      </c>
      <c r="E22" s="40">
        <f t="shared" si="1"/>
        <v>18813696.883714188</v>
      </c>
      <c r="F22" s="40">
        <f t="shared" si="1"/>
        <v>18839311.992267732</v>
      </c>
      <c r="G22" s="40">
        <f t="shared" si="1"/>
        <v>20194466.012609214</v>
      </c>
      <c r="H22" s="40">
        <f t="shared" si="1"/>
        <v>19446458.749044534</v>
      </c>
      <c r="I22" s="40">
        <f t="shared" si="1"/>
        <v>19414336.026169233</v>
      </c>
      <c r="J22" s="40">
        <f t="shared" si="1"/>
        <v>20304179.457266107</v>
      </c>
      <c r="K22" s="40">
        <f t="shared" si="1"/>
        <v>19511694.832671061</v>
      </c>
    </row>
    <row r="23" spans="1:11" x14ac:dyDescent="0.25">
      <c r="A23" s="134"/>
      <c r="B23" s="89"/>
      <c r="C23" s="89"/>
      <c r="D23" s="89"/>
      <c r="E23" s="89"/>
      <c r="F23" s="89"/>
      <c r="G23" s="89"/>
      <c r="H23" s="89"/>
      <c r="I23" s="89"/>
      <c r="J23" s="89"/>
      <c r="K23" s="89"/>
    </row>
    <row r="24" spans="1:11" x14ac:dyDescent="0.25">
      <c r="A24" s="133" t="s">
        <v>29</v>
      </c>
      <c r="B24" s="40">
        <f>+B14-B22</f>
        <v>6952233</v>
      </c>
      <c r="C24" s="40">
        <f t="shared" ref="C24:K24" si="2">+C14-C22</f>
        <v>7186887</v>
      </c>
      <c r="D24" s="40">
        <f t="shared" si="2"/>
        <v>6828593.2326306775</v>
      </c>
      <c r="E24" s="40">
        <f t="shared" si="2"/>
        <v>7885684.1162858121</v>
      </c>
      <c r="F24" s="40">
        <f t="shared" si="2"/>
        <v>8338350.9077322669</v>
      </c>
      <c r="G24" s="40">
        <f t="shared" si="2"/>
        <v>7539651.0073907822</v>
      </c>
      <c r="H24" s="40">
        <f t="shared" si="2"/>
        <v>8888738.6009554639</v>
      </c>
      <c r="I24" s="40">
        <f t="shared" si="2"/>
        <v>9481025.8138307631</v>
      </c>
      <c r="J24" s="40">
        <f t="shared" si="2"/>
        <v>9437653.1427338943</v>
      </c>
      <c r="K24" s="40">
        <f t="shared" si="2"/>
        <v>10813141.087328937</v>
      </c>
    </row>
    <row r="25" spans="1:11" x14ac:dyDescent="0.2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</row>
    <row r="26" spans="1:11" x14ac:dyDescent="0.25">
      <c r="A26" s="134"/>
      <c r="B26" s="89"/>
      <c r="C26" s="89"/>
      <c r="D26" s="89"/>
      <c r="E26" s="89"/>
      <c r="F26" s="89"/>
      <c r="G26" s="89"/>
      <c r="H26" s="89"/>
      <c r="I26" s="89"/>
      <c r="J26" s="89"/>
      <c r="K26" s="89"/>
    </row>
    <row r="27" spans="1:11" ht="15.75" thickBot="1" x14ac:dyDescent="0.3">
      <c r="A27" s="133" t="s">
        <v>30</v>
      </c>
      <c r="B27" s="135">
        <f>+B24</f>
        <v>6952233</v>
      </c>
      <c r="C27" s="135">
        <f t="shared" ref="C27:K27" si="3">+C24</f>
        <v>7186887</v>
      </c>
      <c r="D27" s="135">
        <f t="shared" si="3"/>
        <v>6828593.2326306775</v>
      </c>
      <c r="E27" s="135">
        <f t="shared" si="3"/>
        <v>7885684.1162858121</v>
      </c>
      <c r="F27" s="135">
        <f t="shared" si="3"/>
        <v>8338350.9077322669</v>
      </c>
      <c r="G27" s="135">
        <f t="shared" si="3"/>
        <v>7539651.0073907822</v>
      </c>
      <c r="H27" s="135">
        <f t="shared" si="3"/>
        <v>8888738.6009554639</v>
      </c>
      <c r="I27" s="135">
        <f t="shared" si="3"/>
        <v>9481025.8138307631</v>
      </c>
      <c r="J27" s="135">
        <f t="shared" si="3"/>
        <v>9437653.1427338943</v>
      </c>
      <c r="K27" s="135">
        <f t="shared" si="3"/>
        <v>10813141.087328937</v>
      </c>
    </row>
    <row r="28" spans="1:11" ht="15.75" thickTop="1" x14ac:dyDescent="0.25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</row>
    <row r="29" spans="1:11" x14ac:dyDescent="0.25">
      <c r="A29" s="93" t="s">
        <v>31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</row>
    <row r="30" spans="1:11" x14ac:dyDescent="0.25">
      <c r="A30" s="93" t="s">
        <v>32</v>
      </c>
      <c r="B30" s="42">
        <f>+B27-B12</f>
        <v>6009233</v>
      </c>
      <c r="C30" s="42">
        <f t="shared" ref="C30:K30" si="4">+C27-C12</f>
        <v>6225027</v>
      </c>
      <c r="D30" s="42">
        <f t="shared" si="4"/>
        <v>5847496.2326306775</v>
      </c>
      <c r="E30" s="42">
        <f t="shared" si="4"/>
        <v>6884964.1162858121</v>
      </c>
      <c r="F30" s="42">
        <f t="shared" si="4"/>
        <v>7317617.9077322669</v>
      </c>
      <c r="G30" s="42">
        <f t="shared" si="4"/>
        <v>6498503.0073907822</v>
      </c>
      <c r="H30" s="42">
        <f t="shared" si="4"/>
        <v>7826767.6009554639</v>
      </c>
      <c r="I30" s="42">
        <f t="shared" si="4"/>
        <v>8397814.8138307631</v>
      </c>
      <c r="J30" s="42">
        <f t="shared" si="4"/>
        <v>8332778.1427338943</v>
      </c>
      <c r="K30" s="42">
        <f t="shared" si="4"/>
        <v>9686169.0873289369</v>
      </c>
    </row>
    <row r="31" spans="1:11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</row>
  </sheetData>
  <mergeCells count="1">
    <mergeCell ref="B3:K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CE5E4-087A-4FE1-A89A-40AE4834E609}">
  <dimension ref="A1:K39"/>
  <sheetViews>
    <sheetView topLeftCell="A16" workbookViewId="0">
      <selection sqref="A1:XFD1048576"/>
    </sheetView>
  </sheetViews>
  <sheetFormatPr defaultRowHeight="15" x14ac:dyDescent="0.25"/>
  <cols>
    <col min="1" max="1" width="60.7109375" customWidth="1"/>
    <col min="2" max="11" width="15.7109375" customWidth="1"/>
  </cols>
  <sheetData>
    <row r="1" spans="1:11" x14ac:dyDescent="0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x14ac:dyDescent="0.25">
      <c r="A2" s="136" t="s">
        <v>105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x14ac:dyDescent="0.25">
      <c r="A3" s="136" t="s">
        <v>133</v>
      </c>
      <c r="B3" s="168" t="s">
        <v>2</v>
      </c>
      <c r="C3" s="168"/>
      <c r="D3" s="168"/>
      <c r="E3" s="168"/>
      <c r="F3" s="168"/>
      <c r="G3" s="168"/>
      <c r="H3" s="168"/>
      <c r="I3" s="168"/>
      <c r="J3" s="168"/>
      <c r="K3" s="168"/>
    </row>
    <row r="4" spans="1:11" x14ac:dyDescent="0.25">
      <c r="A4" s="128" t="s">
        <v>101</v>
      </c>
      <c r="B4" s="130" t="s">
        <v>3</v>
      </c>
      <c r="C4" s="130" t="s">
        <v>4</v>
      </c>
      <c r="D4" s="130" t="s">
        <v>5</v>
      </c>
      <c r="E4" s="130" t="s">
        <v>6</v>
      </c>
      <c r="F4" s="130" t="s">
        <v>7</v>
      </c>
      <c r="G4" s="130" t="s">
        <v>8</v>
      </c>
      <c r="H4" s="130" t="s">
        <v>9</v>
      </c>
      <c r="I4" s="130" t="s">
        <v>10</v>
      </c>
      <c r="J4" s="130" t="s">
        <v>11</v>
      </c>
      <c r="K4" s="130" t="s">
        <v>106</v>
      </c>
    </row>
    <row r="5" spans="1:11" ht="15.75" thickBot="1" x14ac:dyDescent="0.3">
      <c r="A5" s="138"/>
      <c r="B5" s="139" t="s">
        <v>12</v>
      </c>
      <c r="C5" s="139" t="s">
        <v>12</v>
      </c>
      <c r="D5" s="139" t="s">
        <v>12</v>
      </c>
      <c r="E5" s="139" t="s">
        <v>12</v>
      </c>
      <c r="F5" s="139" t="s">
        <v>12</v>
      </c>
      <c r="G5" s="139" t="s">
        <v>12</v>
      </c>
      <c r="H5" s="139" t="s">
        <v>12</v>
      </c>
      <c r="I5" s="139" t="s">
        <v>12</v>
      </c>
      <c r="J5" s="139" t="s">
        <v>12</v>
      </c>
      <c r="K5" s="139" t="s">
        <v>12</v>
      </c>
    </row>
    <row r="6" spans="1:11" x14ac:dyDescent="0.25">
      <c r="A6" s="140" t="s">
        <v>34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x14ac:dyDescent="0.25">
      <c r="A7" s="141" t="s">
        <v>35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x14ac:dyDescent="0.25">
      <c r="A8" s="101" t="s">
        <v>36</v>
      </c>
      <c r="B8" s="142">
        <v>1258370.4697319884</v>
      </c>
      <c r="C8" s="142">
        <v>1274859.0024907992</v>
      </c>
      <c r="D8" s="142">
        <v>1387091.5763305156</v>
      </c>
      <c r="E8" s="142">
        <v>1517882.0252049882</v>
      </c>
      <c r="F8" s="142">
        <v>1645207.9892122326</v>
      </c>
      <c r="G8" s="142">
        <v>1853101.1536395876</v>
      </c>
      <c r="H8" s="142">
        <v>1989601.4250904787</v>
      </c>
      <c r="I8" s="142">
        <v>2138847.8514005467</v>
      </c>
      <c r="J8" s="142">
        <v>2367133.6350822896</v>
      </c>
      <c r="K8" s="142">
        <v>2685239.0461056083</v>
      </c>
    </row>
    <row r="9" spans="1:11" x14ac:dyDescent="0.25">
      <c r="A9" s="101" t="s">
        <v>37</v>
      </c>
      <c r="B9" s="142">
        <v>39938948.745115504</v>
      </c>
      <c r="C9" s="142">
        <v>40462272.107015893</v>
      </c>
      <c r="D9" s="142">
        <v>44024379.707229629</v>
      </c>
      <c r="E9" s="142">
        <v>48175488.748322085</v>
      </c>
      <c r="F9" s="142">
        <v>52216639.802582614</v>
      </c>
      <c r="G9" s="142">
        <v>58814883.037178233</v>
      </c>
      <c r="H9" s="142">
        <v>63147213.997179694</v>
      </c>
      <c r="I9" s="142">
        <v>67884090.389438823</v>
      </c>
      <c r="J9" s="142">
        <v>75129567.324101418</v>
      </c>
      <c r="K9" s="142">
        <v>85225795.749669999</v>
      </c>
    </row>
    <row r="10" spans="1:11" x14ac:dyDescent="0.25">
      <c r="A10" s="101" t="s">
        <v>38</v>
      </c>
      <c r="B10" s="142">
        <v>5048448.7080191858</v>
      </c>
      <c r="C10" s="142">
        <v>5085417.8217024338</v>
      </c>
      <c r="D10" s="142">
        <v>5123126.23716156</v>
      </c>
      <c r="E10" s="142">
        <v>5161588.6804533657</v>
      </c>
      <c r="F10" s="142">
        <v>3561702.6651915112</v>
      </c>
      <c r="G10" s="142">
        <v>2000954.5960544071</v>
      </c>
      <c r="H10" s="142">
        <v>2040991.5516575973</v>
      </c>
      <c r="I10" s="142">
        <v>2081829.2694677266</v>
      </c>
      <c r="J10" s="142">
        <v>2123483.6928669675</v>
      </c>
      <c r="K10" s="142">
        <v>2165971.1954666665</v>
      </c>
    </row>
    <row r="11" spans="1:11" x14ac:dyDescent="0.25">
      <c r="A11" s="101" t="s">
        <v>40</v>
      </c>
      <c r="B11" s="142">
        <v>8335.5172836975689</v>
      </c>
      <c r="C11" s="142">
        <v>8455.4647190907181</v>
      </c>
      <c r="D11" s="142">
        <v>9426.6028753011815</v>
      </c>
      <c r="E11" s="142">
        <v>8751.0218314737249</v>
      </c>
      <c r="F11" s="142">
        <v>8920.9035602795939</v>
      </c>
      <c r="G11" s="142">
        <v>10435.982358245043</v>
      </c>
      <c r="H11" s="142">
        <v>9847.6996060814436</v>
      </c>
      <c r="I11" s="142">
        <v>10042.339212230727</v>
      </c>
      <c r="J11" s="142">
        <v>11228.260815550486</v>
      </c>
      <c r="K11" s="142">
        <v>10431.590433018391</v>
      </c>
    </row>
    <row r="12" spans="1:11" x14ac:dyDescent="0.25">
      <c r="A12" s="141" t="s">
        <v>42</v>
      </c>
      <c r="B12" s="143">
        <f>SUM(B8:B11)</f>
        <v>46254103.440150373</v>
      </c>
      <c r="C12" s="143">
        <f t="shared" ref="C12:K12" si="0">SUM(C8:C11)</f>
        <v>46831004.395928219</v>
      </c>
      <c r="D12" s="143">
        <f t="shared" si="0"/>
        <v>50544024.123597004</v>
      </c>
      <c r="E12" s="143">
        <f t="shared" si="0"/>
        <v>54863710.475811914</v>
      </c>
      <c r="F12" s="143">
        <f t="shared" si="0"/>
        <v>57432471.360546634</v>
      </c>
      <c r="G12" s="143">
        <f t="shared" si="0"/>
        <v>62679374.76923047</v>
      </c>
      <c r="H12" s="143">
        <f t="shared" si="0"/>
        <v>67187654.673533842</v>
      </c>
      <c r="I12" s="143">
        <f t="shared" si="0"/>
        <v>72114809.849519312</v>
      </c>
      <c r="J12" s="143">
        <f t="shared" si="0"/>
        <v>79631412.91286622</v>
      </c>
      <c r="K12" s="143">
        <f t="shared" si="0"/>
        <v>90087437.581675291</v>
      </c>
    </row>
    <row r="13" spans="1:11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 x14ac:dyDescent="0.25">
      <c r="A14" s="141" t="s">
        <v>43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x14ac:dyDescent="0.25">
      <c r="A15" s="101" t="s">
        <v>37</v>
      </c>
      <c r="B15" s="142">
        <v>9137499.5744320285</v>
      </c>
      <c r="C15" s="142">
        <v>9257228.9901252724</v>
      </c>
      <c r="D15" s="142">
        <v>10072191.769660495</v>
      </c>
      <c r="E15" s="142">
        <v>11021910.234672474</v>
      </c>
      <c r="F15" s="142">
        <v>11946471.776694462</v>
      </c>
      <c r="G15" s="142">
        <v>13456061.954765689</v>
      </c>
      <c r="H15" s="142">
        <v>14447241.581348961</v>
      </c>
      <c r="I15" s="142">
        <v>15530975.815182505</v>
      </c>
      <c r="J15" s="142">
        <v>17188644.444107883</v>
      </c>
      <c r="K15" s="142">
        <v>19498527.048448689</v>
      </c>
    </row>
    <row r="16" spans="1:11" x14ac:dyDescent="0.25">
      <c r="A16" s="101" t="s">
        <v>38</v>
      </c>
      <c r="B16" s="142">
        <v>11200000</v>
      </c>
      <c r="C16" s="142">
        <v>8000000</v>
      </c>
      <c r="D16" s="142">
        <v>4800000</v>
      </c>
      <c r="E16" s="142">
        <v>1600000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</row>
    <row r="17" spans="1:11" x14ac:dyDescent="0.25">
      <c r="A17" s="101" t="s">
        <v>44</v>
      </c>
      <c r="B17" s="142">
        <v>264314750</v>
      </c>
      <c r="C17" s="142">
        <v>278042386</v>
      </c>
      <c r="D17" s="142">
        <v>284923175</v>
      </c>
      <c r="E17" s="142">
        <v>286805598</v>
      </c>
      <c r="F17" s="142">
        <v>289380117</v>
      </c>
      <c r="G17" s="142">
        <v>286195872</v>
      </c>
      <c r="H17" s="142">
        <v>285175184</v>
      </c>
      <c r="I17" s="142">
        <v>284035821</v>
      </c>
      <c r="J17" s="142">
        <v>281111768</v>
      </c>
      <c r="K17" s="142">
        <v>278534432</v>
      </c>
    </row>
    <row r="18" spans="1:11" x14ac:dyDescent="0.25">
      <c r="A18" s="101" t="s">
        <v>46</v>
      </c>
      <c r="B18" s="142">
        <v>1386000</v>
      </c>
      <c r="C18" s="142">
        <v>1386000</v>
      </c>
      <c r="D18" s="142">
        <v>1386000</v>
      </c>
      <c r="E18" s="142">
        <v>1386000</v>
      </c>
      <c r="F18" s="142">
        <v>1386000</v>
      </c>
      <c r="G18" s="142">
        <v>1386000</v>
      </c>
      <c r="H18" s="142">
        <v>1386000</v>
      </c>
      <c r="I18" s="142">
        <v>1386000</v>
      </c>
      <c r="J18" s="142">
        <v>1386000</v>
      </c>
      <c r="K18" s="142">
        <v>1386000</v>
      </c>
    </row>
    <row r="19" spans="1:11" x14ac:dyDescent="0.25">
      <c r="A19" s="141" t="s">
        <v>47</v>
      </c>
      <c r="B19" s="143">
        <f>SUM(B15:B18)</f>
        <v>286038249.57443202</v>
      </c>
      <c r="C19" s="143">
        <f t="shared" ref="C19:K19" si="1">SUM(C15:C18)</f>
        <v>296685614.9901253</v>
      </c>
      <c r="D19" s="143">
        <f t="shared" si="1"/>
        <v>301181366.76966047</v>
      </c>
      <c r="E19" s="143">
        <f t="shared" si="1"/>
        <v>300813508.23467249</v>
      </c>
      <c r="F19" s="143">
        <f t="shared" si="1"/>
        <v>302712588.77669448</v>
      </c>
      <c r="G19" s="143">
        <f t="shared" si="1"/>
        <v>301037933.95476568</v>
      </c>
      <c r="H19" s="143">
        <f t="shared" si="1"/>
        <v>301008425.58134896</v>
      </c>
      <c r="I19" s="143">
        <f t="shared" si="1"/>
        <v>300952796.81518251</v>
      </c>
      <c r="J19" s="143">
        <f t="shared" si="1"/>
        <v>299686412.44410789</v>
      </c>
      <c r="K19" s="143">
        <f t="shared" si="1"/>
        <v>299418959.04844868</v>
      </c>
    </row>
    <row r="20" spans="1:11" ht="15.75" thickBot="1" x14ac:dyDescent="0.3">
      <c r="A20" s="141" t="s">
        <v>48</v>
      </c>
      <c r="B20" s="144">
        <f>+B12+B19</f>
        <v>332292353.0145824</v>
      </c>
      <c r="C20" s="144">
        <f t="shared" ref="C20:K20" si="2">+C12+C19</f>
        <v>343516619.3860535</v>
      </c>
      <c r="D20" s="144">
        <f t="shared" si="2"/>
        <v>351725390.8932575</v>
      </c>
      <c r="E20" s="144">
        <f t="shared" si="2"/>
        <v>355677218.71048439</v>
      </c>
      <c r="F20" s="144">
        <f t="shared" si="2"/>
        <v>360145060.13724113</v>
      </c>
      <c r="G20" s="144">
        <f t="shared" si="2"/>
        <v>363717308.72399616</v>
      </c>
      <c r="H20" s="144">
        <f t="shared" si="2"/>
        <v>368196080.25488281</v>
      </c>
      <c r="I20" s="144">
        <f t="shared" si="2"/>
        <v>373067606.66470182</v>
      </c>
      <c r="J20" s="144">
        <f t="shared" si="2"/>
        <v>379317825.35697412</v>
      </c>
      <c r="K20" s="144">
        <f t="shared" si="2"/>
        <v>389506396.63012397</v>
      </c>
    </row>
    <row r="21" spans="1:11" x14ac:dyDescent="0.25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x14ac:dyDescent="0.25">
      <c r="A22" s="140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</row>
    <row r="23" spans="1:11" x14ac:dyDescent="0.25">
      <c r="A23" s="141" t="s">
        <v>50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11" x14ac:dyDescent="0.25">
      <c r="A24" s="101" t="s">
        <v>51</v>
      </c>
      <c r="B24" s="142">
        <v>900655.01458241057</v>
      </c>
      <c r="C24" s="142">
        <v>914674.38605349138</v>
      </c>
      <c r="D24" s="142">
        <v>1005672.4193933669</v>
      </c>
      <c r="E24" s="142">
        <v>940230.94354118814</v>
      </c>
      <c r="F24" s="142">
        <v>953193.11721884354</v>
      </c>
      <c r="G24" s="142">
        <v>1090759.4808948571</v>
      </c>
      <c r="H24" s="142">
        <v>1033066.588702446</v>
      </c>
      <c r="I24" s="142">
        <v>1047792.0654424253</v>
      </c>
      <c r="J24" s="142">
        <v>1155412.6346356426</v>
      </c>
      <c r="K24" s="142">
        <v>1081127.6247064485</v>
      </c>
    </row>
    <row r="25" spans="1:11" x14ac:dyDescent="0.25">
      <c r="A25" s="101" t="s">
        <v>52</v>
      </c>
      <c r="B25" s="142">
        <v>2963640</v>
      </c>
      <c r="C25" s="142">
        <v>3460819.7587665403</v>
      </c>
      <c r="D25" s="142">
        <v>3868414.8232067511</v>
      </c>
      <c r="E25" s="142">
        <v>3883471.6546532069</v>
      </c>
      <c r="F25" s="142">
        <v>4104968.7843117365</v>
      </c>
      <c r="G25" s="142">
        <v>4352274.1778764026</v>
      </c>
      <c r="H25" s="142">
        <v>4624224.8807517178</v>
      </c>
      <c r="I25" s="142">
        <v>3295055.0196548277</v>
      </c>
      <c r="J25" s="142">
        <v>550284.80424988945</v>
      </c>
      <c r="K25" s="142">
        <v>561345.52881531231</v>
      </c>
    </row>
    <row r="26" spans="1:11" x14ac:dyDescent="0.25">
      <c r="A26" s="141" t="s">
        <v>54</v>
      </c>
      <c r="B26" s="143">
        <f>SUM(B24:B25)</f>
        <v>3864295.0145824105</v>
      </c>
      <c r="C26" s="143">
        <f t="shared" ref="C26:K26" si="3">SUM(C24:C25)</f>
        <v>4375494.1448200317</v>
      </c>
      <c r="D26" s="143">
        <f t="shared" si="3"/>
        <v>4874087.2426001178</v>
      </c>
      <c r="E26" s="143">
        <f t="shared" si="3"/>
        <v>4823702.5981943952</v>
      </c>
      <c r="F26" s="143">
        <f t="shared" si="3"/>
        <v>5058161.9015305797</v>
      </c>
      <c r="G26" s="143">
        <f t="shared" si="3"/>
        <v>5443033.6587712597</v>
      </c>
      <c r="H26" s="143">
        <f t="shared" si="3"/>
        <v>5657291.4694541637</v>
      </c>
      <c r="I26" s="143">
        <f t="shared" si="3"/>
        <v>4342847.0850972533</v>
      </c>
      <c r="J26" s="143">
        <f t="shared" si="3"/>
        <v>1705697.4388855321</v>
      </c>
      <c r="K26" s="143">
        <f t="shared" si="3"/>
        <v>1642473.1535217608</v>
      </c>
    </row>
    <row r="27" spans="1:11" x14ac:dyDescent="0.25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</row>
    <row r="28" spans="1:11" x14ac:dyDescent="0.25">
      <c r="A28" s="141" t="s">
        <v>55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</row>
    <row r="29" spans="1:11" x14ac:dyDescent="0.25">
      <c r="A29" s="101" t="s">
        <v>52</v>
      </c>
      <c r="B29" s="142">
        <v>24220611</v>
      </c>
      <c r="C29" s="142">
        <v>27746791</v>
      </c>
      <c r="D29" s="142">
        <v>28628376</v>
      </c>
      <c r="E29" s="142">
        <v>24744905</v>
      </c>
      <c r="F29" s="142">
        <v>20639936</v>
      </c>
      <c r="G29" s="142">
        <v>16287662</v>
      </c>
      <c r="H29" s="142">
        <v>11663437</v>
      </c>
      <c r="I29" s="142">
        <v>8368382</v>
      </c>
      <c r="J29" s="142">
        <v>7818097</v>
      </c>
      <c r="K29" s="142">
        <v>7256752</v>
      </c>
    </row>
    <row r="30" spans="1:11" x14ac:dyDescent="0.25">
      <c r="A30" s="141" t="s">
        <v>56</v>
      </c>
      <c r="B30" s="143">
        <f>+B29</f>
        <v>24220611</v>
      </c>
      <c r="C30" s="143">
        <f t="shared" ref="C30:K30" si="4">+C29</f>
        <v>27746791</v>
      </c>
      <c r="D30" s="143">
        <f t="shared" si="4"/>
        <v>28628376</v>
      </c>
      <c r="E30" s="143">
        <f t="shared" si="4"/>
        <v>24744905</v>
      </c>
      <c r="F30" s="143">
        <f t="shared" si="4"/>
        <v>20639936</v>
      </c>
      <c r="G30" s="143">
        <f t="shared" si="4"/>
        <v>16287662</v>
      </c>
      <c r="H30" s="143">
        <f t="shared" si="4"/>
        <v>11663437</v>
      </c>
      <c r="I30" s="143">
        <f t="shared" si="4"/>
        <v>8368382</v>
      </c>
      <c r="J30" s="143">
        <f t="shared" si="4"/>
        <v>7818097</v>
      </c>
      <c r="K30" s="143">
        <f t="shared" si="4"/>
        <v>7256752</v>
      </c>
    </row>
    <row r="31" spans="1:11" ht="15.75" thickBot="1" x14ac:dyDescent="0.3">
      <c r="A31" s="141" t="s">
        <v>57</v>
      </c>
      <c r="B31" s="144">
        <f>+B26+B30</f>
        <v>28084906.01458241</v>
      </c>
      <c r="C31" s="144">
        <f t="shared" ref="C31:K31" si="5">+C26+C30</f>
        <v>32122285.144820031</v>
      </c>
      <c r="D31" s="144">
        <f t="shared" si="5"/>
        <v>33502463.242600117</v>
      </c>
      <c r="E31" s="144">
        <f t="shared" si="5"/>
        <v>29568607.598194394</v>
      </c>
      <c r="F31" s="144">
        <f t="shared" si="5"/>
        <v>25698097.901530579</v>
      </c>
      <c r="G31" s="144">
        <f t="shared" si="5"/>
        <v>21730695.658771262</v>
      </c>
      <c r="H31" s="144">
        <f t="shared" si="5"/>
        <v>17320728.469454162</v>
      </c>
      <c r="I31" s="144">
        <f t="shared" si="5"/>
        <v>12711229.085097253</v>
      </c>
      <c r="J31" s="144">
        <f t="shared" si="5"/>
        <v>9523794.4388855323</v>
      </c>
      <c r="K31" s="144">
        <f t="shared" si="5"/>
        <v>8899225.1535217613</v>
      </c>
    </row>
    <row r="32" spans="1:11" ht="15.75" thickBot="1" x14ac:dyDescent="0.3">
      <c r="A32" s="140" t="s">
        <v>58</v>
      </c>
      <c r="B32" s="145">
        <f>+B20-B31</f>
        <v>304207447</v>
      </c>
      <c r="C32" s="145">
        <f t="shared" ref="C32:K32" si="6">+C20-C31</f>
        <v>311394334.24123347</v>
      </c>
      <c r="D32" s="145">
        <f t="shared" si="6"/>
        <v>318222927.65065736</v>
      </c>
      <c r="E32" s="145">
        <f t="shared" si="6"/>
        <v>326108611.11228997</v>
      </c>
      <c r="F32" s="145">
        <f t="shared" si="6"/>
        <v>334446962.23571056</v>
      </c>
      <c r="G32" s="145">
        <f t="shared" si="6"/>
        <v>341986613.06522489</v>
      </c>
      <c r="H32" s="145">
        <f t="shared" si="6"/>
        <v>350875351.78542864</v>
      </c>
      <c r="I32" s="145">
        <f t="shared" si="6"/>
        <v>360356377.57960457</v>
      </c>
      <c r="J32" s="145">
        <f t="shared" si="6"/>
        <v>369794030.91808861</v>
      </c>
      <c r="K32" s="145">
        <f t="shared" si="6"/>
        <v>380607171.4766022</v>
      </c>
    </row>
    <row r="33" spans="1:11" ht="15.75" thickTop="1" x14ac:dyDescent="0.2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</row>
    <row r="34" spans="1:11" x14ac:dyDescent="0.25">
      <c r="A34" s="140" t="s">
        <v>59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</row>
    <row r="35" spans="1:11" x14ac:dyDescent="0.25">
      <c r="A35" s="101" t="s">
        <v>60</v>
      </c>
      <c r="B35" s="142">
        <v>213813447</v>
      </c>
      <c r="C35" s="142">
        <v>221000334</v>
      </c>
      <c r="D35" s="142">
        <v>227828927.23263067</v>
      </c>
      <c r="E35" s="142">
        <v>235714611.34891647</v>
      </c>
      <c r="F35" s="142">
        <v>244052962.25664875</v>
      </c>
      <c r="G35" s="142">
        <v>251592613.26403952</v>
      </c>
      <c r="H35" s="142">
        <v>260481351.86499497</v>
      </c>
      <c r="I35" s="142">
        <v>269962377.67882574</v>
      </c>
      <c r="J35" s="142">
        <v>279400030.82155961</v>
      </c>
      <c r="K35" s="142">
        <v>290213171.90888852</v>
      </c>
    </row>
    <row r="36" spans="1:11" x14ac:dyDescent="0.25">
      <c r="A36" s="101" t="s">
        <v>61</v>
      </c>
      <c r="B36" s="142">
        <v>90394000</v>
      </c>
      <c r="C36" s="142">
        <v>90394000</v>
      </c>
      <c r="D36" s="142">
        <v>90394000</v>
      </c>
      <c r="E36" s="142">
        <v>90394000</v>
      </c>
      <c r="F36" s="142">
        <v>90394000</v>
      </c>
      <c r="G36" s="142">
        <v>90394000</v>
      </c>
      <c r="H36" s="142">
        <v>90394000</v>
      </c>
      <c r="I36" s="142">
        <v>90394000</v>
      </c>
      <c r="J36" s="142">
        <v>90394000</v>
      </c>
      <c r="K36" s="142">
        <v>90394000</v>
      </c>
    </row>
    <row r="37" spans="1:11" x14ac:dyDescent="0.25">
      <c r="A37" s="101" t="s">
        <v>62</v>
      </c>
      <c r="B37" s="143">
        <f>SUM(B35:B36)</f>
        <v>304207447</v>
      </c>
      <c r="C37" s="143">
        <f t="shared" ref="C37:K37" si="7">SUM(C35:C36)</f>
        <v>311394334</v>
      </c>
      <c r="D37" s="143">
        <f t="shared" si="7"/>
        <v>318222927.23263067</v>
      </c>
      <c r="E37" s="143">
        <f t="shared" si="7"/>
        <v>326108611.34891647</v>
      </c>
      <c r="F37" s="143">
        <f t="shared" si="7"/>
        <v>334446962.25664878</v>
      </c>
      <c r="G37" s="143">
        <f t="shared" si="7"/>
        <v>341986613.26403952</v>
      </c>
      <c r="H37" s="143">
        <f t="shared" si="7"/>
        <v>350875351.864995</v>
      </c>
      <c r="I37" s="143">
        <f t="shared" si="7"/>
        <v>360356377.67882574</v>
      </c>
      <c r="J37" s="143">
        <f t="shared" si="7"/>
        <v>369794030.82155961</v>
      </c>
      <c r="K37" s="143">
        <f t="shared" si="7"/>
        <v>380607171.90888852</v>
      </c>
    </row>
    <row r="38" spans="1:11" ht="15.75" thickBot="1" x14ac:dyDescent="0.3">
      <c r="A38" s="140" t="s">
        <v>64</v>
      </c>
      <c r="B38" s="145">
        <f>+B37</f>
        <v>304207447</v>
      </c>
      <c r="C38" s="145">
        <f t="shared" ref="C38:K38" si="8">+C37</f>
        <v>311394334</v>
      </c>
      <c r="D38" s="145">
        <f t="shared" si="8"/>
        <v>318222927.23263067</v>
      </c>
      <c r="E38" s="145">
        <f t="shared" si="8"/>
        <v>326108611.34891647</v>
      </c>
      <c r="F38" s="145">
        <f t="shared" si="8"/>
        <v>334446962.25664878</v>
      </c>
      <c r="G38" s="145">
        <f t="shared" si="8"/>
        <v>341986613.26403952</v>
      </c>
      <c r="H38" s="145">
        <f t="shared" si="8"/>
        <v>350875351.864995</v>
      </c>
      <c r="I38" s="145">
        <f t="shared" si="8"/>
        <v>360356377.67882574</v>
      </c>
      <c r="J38" s="145">
        <f t="shared" si="8"/>
        <v>369794030.82155961</v>
      </c>
      <c r="K38" s="145">
        <f t="shared" si="8"/>
        <v>380607171.90888852</v>
      </c>
    </row>
    <row r="39" spans="1:11" ht="15.75" thickTop="1" x14ac:dyDescent="0.25"/>
  </sheetData>
  <mergeCells count="1">
    <mergeCell ref="B3:K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5D7F6-4A37-4046-A2D4-5E73C3089981}">
  <dimension ref="A1:K55"/>
  <sheetViews>
    <sheetView workbookViewId="0">
      <selection sqref="A1:XFD1048576"/>
    </sheetView>
  </sheetViews>
  <sheetFormatPr defaultRowHeight="15" x14ac:dyDescent="0.25"/>
  <cols>
    <col min="1" max="1" width="58.85546875" customWidth="1"/>
    <col min="2" max="11" width="12.85546875" customWidth="1"/>
  </cols>
  <sheetData>
    <row r="1" spans="1:11" x14ac:dyDescent="0.25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x14ac:dyDescent="0.25">
      <c r="A2" s="146" t="s">
        <v>105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x14ac:dyDescent="0.25">
      <c r="A3" s="146" t="s">
        <v>134</v>
      </c>
      <c r="B3" s="169" t="s">
        <v>2</v>
      </c>
      <c r="C3" s="169"/>
      <c r="D3" s="169"/>
      <c r="E3" s="169"/>
      <c r="F3" s="169"/>
      <c r="G3" s="169"/>
      <c r="H3" s="169"/>
      <c r="I3" s="169"/>
      <c r="J3" s="169"/>
      <c r="K3" s="169"/>
    </row>
    <row r="4" spans="1:11" x14ac:dyDescent="0.25">
      <c r="A4" s="128" t="s">
        <v>101</v>
      </c>
      <c r="B4" s="130" t="s">
        <v>3</v>
      </c>
      <c r="C4" s="130" t="s">
        <v>4</v>
      </c>
      <c r="D4" s="130" t="s">
        <v>5</v>
      </c>
      <c r="E4" s="130" t="s">
        <v>6</v>
      </c>
      <c r="F4" s="130" t="s">
        <v>7</v>
      </c>
      <c r="G4" s="130" t="s">
        <v>8</v>
      </c>
      <c r="H4" s="130" t="s">
        <v>9</v>
      </c>
      <c r="I4" s="130" t="s">
        <v>10</v>
      </c>
      <c r="J4" s="130" t="s">
        <v>11</v>
      </c>
      <c r="K4" s="130" t="s">
        <v>106</v>
      </c>
    </row>
    <row r="5" spans="1:11" ht="15.75" thickBot="1" x14ac:dyDescent="0.3">
      <c r="A5" s="148"/>
      <c r="B5" s="149" t="s">
        <v>12</v>
      </c>
      <c r="C5" s="149" t="s">
        <v>12</v>
      </c>
      <c r="D5" s="149" t="s">
        <v>12</v>
      </c>
      <c r="E5" s="149" t="s">
        <v>12</v>
      </c>
      <c r="F5" s="149" t="s">
        <v>12</v>
      </c>
      <c r="G5" s="149" t="s">
        <v>12</v>
      </c>
      <c r="H5" s="149" t="s">
        <v>12</v>
      </c>
      <c r="I5" s="149" t="s">
        <v>12</v>
      </c>
      <c r="J5" s="149" t="s">
        <v>12</v>
      </c>
      <c r="K5" s="149" t="s">
        <v>12</v>
      </c>
    </row>
    <row r="6" spans="1:11" x14ac:dyDescent="0.25">
      <c r="A6" s="150" t="s">
        <v>66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</row>
    <row r="7" spans="1:11" x14ac:dyDescent="0.25">
      <c r="A7" s="151" t="s">
        <v>67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x14ac:dyDescent="0.25">
      <c r="A8" s="113" t="s">
        <v>15</v>
      </c>
      <c r="B8" s="116">
        <v>19951817.994867016</v>
      </c>
      <c r="C8" s="116">
        <v>20360481.518741373</v>
      </c>
      <c r="D8" s="116">
        <v>20767691.65006727</v>
      </c>
      <c r="E8" s="116">
        <v>21183046.648436993</v>
      </c>
      <c r="F8" s="116">
        <v>21606707.658364888</v>
      </c>
      <c r="G8" s="116">
        <v>22038841.851587314</v>
      </c>
      <c r="H8" s="116">
        <v>22479618.679197662</v>
      </c>
      <c r="I8" s="116">
        <v>22929211.015449058</v>
      </c>
      <c r="J8" s="116">
        <v>23387795.189083934</v>
      </c>
      <c r="K8" s="116">
        <v>23855551.081790093</v>
      </c>
    </row>
    <row r="9" spans="1:11" x14ac:dyDescent="0.25">
      <c r="A9" s="113" t="s">
        <v>16</v>
      </c>
      <c r="B9" s="116">
        <v>3452120.0103310011</v>
      </c>
      <c r="C9" s="116">
        <v>3507647.0450787083</v>
      </c>
      <c r="D9" s="116">
        <v>3577799.1743229893</v>
      </c>
      <c r="E9" s="116">
        <v>3649355.9376528314</v>
      </c>
      <c r="F9" s="116">
        <v>3474747.4103057645</v>
      </c>
      <c r="G9" s="116">
        <v>3505237.6770986891</v>
      </c>
      <c r="H9" s="116">
        <v>3575473.3442471498</v>
      </c>
      <c r="I9" s="116">
        <v>3647113.7026161454</v>
      </c>
      <c r="J9" s="116">
        <v>3720186.85488739</v>
      </c>
      <c r="K9" s="116">
        <v>3794721.4832930327</v>
      </c>
    </row>
    <row r="10" spans="1:11" x14ac:dyDescent="0.25">
      <c r="A10" s="113" t="s">
        <v>68</v>
      </c>
      <c r="B10" s="116">
        <v>523498</v>
      </c>
      <c r="C10" s="116">
        <v>469931</v>
      </c>
      <c r="D10" s="116">
        <v>637081</v>
      </c>
      <c r="E10" s="116">
        <v>545991</v>
      </c>
      <c r="F10" s="116">
        <v>787920</v>
      </c>
      <c r="G10" s="116">
        <v>816448</v>
      </c>
      <c r="H10" s="116">
        <v>879044</v>
      </c>
      <c r="I10" s="116">
        <v>889954</v>
      </c>
      <c r="J10" s="116">
        <v>1176186</v>
      </c>
      <c r="K10" s="116">
        <v>1187746</v>
      </c>
    </row>
    <row r="11" spans="1:11" x14ac:dyDescent="0.25">
      <c r="A11" s="113" t="s">
        <v>69</v>
      </c>
      <c r="B11" s="116">
        <v>1133284.9666797332</v>
      </c>
      <c r="C11" s="116">
        <v>1162478.1732653861</v>
      </c>
      <c r="D11" s="116">
        <v>1185727.3602508821</v>
      </c>
      <c r="E11" s="116">
        <v>1209442.9004312034</v>
      </c>
      <c r="F11" s="116">
        <v>1233630.5042649941</v>
      </c>
      <c r="G11" s="116">
        <v>1258303.3542963543</v>
      </c>
      <c r="H11" s="116">
        <v>1283469.4827401019</v>
      </c>
      <c r="I11" s="116">
        <v>1309139.4214308115</v>
      </c>
      <c r="J11" s="116">
        <v>1335322.0356174049</v>
      </c>
      <c r="K11" s="116">
        <v>1362027.9953469227</v>
      </c>
    </row>
    <row r="12" spans="1:11" x14ac:dyDescent="0.25">
      <c r="A12" s="113" t="s">
        <v>40</v>
      </c>
      <c r="B12" s="116">
        <v>69438</v>
      </c>
      <c r="C12" s="116">
        <v>70244.149231283431</v>
      </c>
      <c r="D12" s="116">
        <v>71649.399899732613</v>
      </c>
      <c r="E12" s="116">
        <v>73082.07018716578</v>
      </c>
      <c r="F12" s="116">
        <v>74543.342326203201</v>
      </c>
      <c r="G12" s="116">
        <v>76034.206154745974</v>
      </c>
      <c r="H12" s="116">
        <v>77554.888211898389</v>
      </c>
      <c r="I12" s="116">
        <v>79105.982693850267</v>
      </c>
      <c r="J12" s="116">
        <v>80688.097012032085</v>
      </c>
      <c r="K12" s="116">
        <v>82301.856970254012</v>
      </c>
    </row>
    <row r="13" spans="1:11" x14ac:dyDescent="0.25">
      <c r="A13" s="151" t="s">
        <v>70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</row>
    <row r="14" spans="1:11" x14ac:dyDescent="0.25">
      <c r="A14" s="113" t="s">
        <v>23</v>
      </c>
      <c r="B14" s="152">
        <v>-2491287</v>
      </c>
      <c r="C14" s="152">
        <v>-2541107</v>
      </c>
      <c r="D14" s="152">
        <v>-2591927</v>
      </c>
      <c r="E14" s="152">
        <v>-2643770</v>
      </c>
      <c r="F14" s="152">
        <v>-2696645.4000000013</v>
      </c>
      <c r="G14" s="152">
        <v>-2750578.4000000013</v>
      </c>
      <c r="H14" s="152">
        <v>-2805590.0000000005</v>
      </c>
      <c r="I14" s="152">
        <v>-2861701.8400000008</v>
      </c>
      <c r="J14" s="152">
        <v>-2918935.959999999</v>
      </c>
      <c r="K14" s="152">
        <v>-2977314.7300000028</v>
      </c>
    </row>
    <row r="15" spans="1:11" x14ac:dyDescent="0.25">
      <c r="A15" s="113" t="s">
        <v>25</v>
      </c>
      <c r="B15" s="152">
        <v>-7986875.7668990595</v>
      </c>
      <c r="C15" s="152">
        <v>-13601229.133527333</v>
      </c>
      <c r="D15" s="152">
        <v>-9140953.5899077412</v>
      </c>
      <c r="E15" s="152">
        <v>-7970791.8106738431</v>
      </c>
      <c r="F15" s="152">
        <v>-9705020.0314618424</v>
      </c>
      <c r="G15" s="152">
        <v>-11028214.35510869</v>
      </c>
      <c r="H15" s="152">
        <v>-10681026.768560506</v>
      </c>
      <c r="I15" s="152">
        <v>-10808545.900351044</v>
      </c>
      <c r="J15" s="152">
        <v>-11853264.925033452</v>
      </c>
      <c r="K15" s="152">
        <v>-11298096.223817239</v>
      </c>
    </row>
    <row r="16" spans="1:11" x14ac:dyDescent="0.25">
      <c r="A16" s="113" t="s">
        <v>24</v>
      </c>
      <c r="B16" s="152">
        <v>-1906435.5888067631</v>
      </c>
      <c r="C16" s="152">
        <v>-1721582.4424369801</v>
      </c>
      <c r="D16" s="152">
        <v>-1654144.2822779149</v>
      </c>
      <c r="E16" s="152">
        <v>-1541452.9678486953</v>
      </c>
      <c r="F16" s="152">
        <v>-1307190.9688570378</v>
      </c>
      <c r="G16" s="152">
        <v>-1072942.1926224728</v>
      </c>
      <c r="H16" s="152">
        <v>-825776.71992427611</v>
      </c>
      <c r="I16" s="152">
        <v>-553886.66868435394</v>
      </c>
      <c r="J16" s="152">
        <v>-265351.27464275906</v>
      </c>
      <c r="K16" s="152">
        <v>-165025.79840047879</v>
      </c>
    </row>
    <row r="17" spans="1:11" x14ac:dyDescent="0.25">
      <c r="A17" s="113" t="s">
        <v>40</v>
      </c>
      <c r="B17" s="152">
        <v>-953420</v>
      </c>
      <c r="C17" s="152">
        <v>-990282</v>
      </c>
      <c r="D17" s="152">
        <v>-1009927</v>
      </c>
      <c r="E17" s="152">
        <v>-1029968</v>
      </c>
      <c r="F17" s="152">
        <v>-1060636.3</v>
      </c>
      <c r="G17" s="152">
        <v>-1092220.78</v>
      </c>
      <c r="H17" s="152">
        <v>-1124748.8699999999</v>
      </c>
      <c r="I17" s="152">
        <v>-1158248.78</v>
      </c>
      <c r="J17" s="152">
        <v>-1192749.6500000001</v>
      </c>
      <c r="K17" s="152">
        <v>-1228281.42</v>
      </c>
    </row>
    <row r="18" spans="1:11" x14ac:dyDescent="0.25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</row>
    <row r="19" spans="1:11" x14ac:dyDescent="0.25">
      <c r="A19" s="151" t="s">
        <v>71</v>
      </c>
      <c r="B19" s="153">
        <f>SUM(B8:B17)</f>
        <v>11792140.616171926</v>
      </c>
      <c r="C19" s="153">
        <f t="shared" ref="C19:K19" si="0">SUM(C8:C17)</f>
        <v>6716581.3103524409</v>
      </c>
      <c r="D19" s="153">
        <f t="shared" si="0"/>
        <v>11842996.712355217</v>
      </c>
      <c r="E19" s="153">
        <f t="shared" si="0"/>
        <v>13474935.778185654</v>
      </c>
      <c r="F19" s="153">
        <f t="shared" si="0"/>
        <v>12408056.214942966</v>
      </c>
      <c r="G19" s="153">
        <f t="shared" si="0"/>
        <v>11750909.361405935</v>
      </c>
      <c r="H19" s="153">
        <f t="shared" si="0"/>
        <v>12858018.035912029</v>
      </c>
      <c r="I19" s="153">
        <f t="shared" si="0"/>
        <v>13472140.933154467</v>
      </c>
      <c r="J19" s="153">
        <f t="shared" si="0"/>
        <v>13469876.366924549</v>
      </c>
      <c r="K19" s="153">
        <f t="shared" si="0"/>
        <v>14613630.245182583</v>
      </c>
    </row>
    <row r="20" spans="1:11" x14ac:dyDescent="0.25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</row>
    <row r="21" spans="1:11" x14ac:dyDescent="0.25">
      <c r="A21" s="150" t="s">
        <v>72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</row>
    <row r="22" spans="1:11" x14ac:dyDescent="0.25">
      <c r="A22" s="151" t="s">
        <v>67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1" x14ac:dyDescent="0.25">
      <c r="A23" s="113" t="s">
        <v>73</v>
      </c>
      <c r="B23" s="113">
        <v>5725292.9992323704</v>
      </c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1" x14ac:dyDescent="0.25">
      <c r="A24" s="113" t="s">
        <v>135</v>
      </c>
      <c r="B24" s="113">
        <v>1600000</v>
      </c>
      <c r="C24" s="113">
        <v>3200000</v>
      </c>
      <c r="D24" s="113">
        <v>3200000</v>
      </c>
      <c r="E24" s="113">
        <v>3200000</v>
      </c>
      <c r="F24" s="113">
        <v>3200000</v>
      </c>
      <c r="G24" s="113">
        <v>1600000</v>
      </c>
      <c r="H24" s="113">
        <v>0</v>
      </c>
      <c r="I24" s="113">
        <v>0</v>
      </c>
      <c r="J24" s="113">
        <v>0</v>
      </c>
      <c r="K24" s="113">
        <v>0</v>
      </c>
    </row>
    <row r="25" spans="1:11" x14ac:dyDescent="0.25">
      <c r="A25" s="151" t="s">
        <v>70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</row>
    <row r="26" spans="1:11" x14ac:dyDescent="0.25">
      <c r="A26" s="113" t="s">
        <v>75</v>
      </c>
      <c r="B26" s="152">
        <v>0</v>
      </c>
      <c r="C26" s="152">
        <v>-643052.77759362827</v>
      </c>
      <c r="D26" s="152">
        <v>-4377070.379748961</v>
      </c>
      <c r="E26" s="152">
        <v>-5100827.506104432</v>
      </c>
      <c r="F26" s="152">
        <v>-4965712.5962825213</v>
      </c>
      <c r="G26" s="152">
        <v>-8107833.4126668451</v>
      </c>
      <c r="H26" s="152">
        <v>-5323510.5865847338</v>
      </c>
      <c r="I26" s="152">
        <v>-5820610.6260926779</v>
      </c>
      <c r="J26" s="152">
        <v>-8903145.5635879841</v>
      </c>
      <c r="K26" s="152">
        <v>-12406111.029909372</v>
      </c>
    </row>
    <row r="27" spans="1:11" x14ac:dyDescent="0.25">
      <c r="A27" s="113" t="s">
        <v>76</v>
      </c>
      <c r="B27" s="152">
        <v>-16451500</v>
      </c>
      <c r="C27" s="152">
        <v>-13280400</v>
      </c>
      <c r="D27" s="152">
        <v>-11842874</v>
      </c>
      <c r="E27" s="152">
        <v>-7574903</v>
      </c>
      <c r="F27" s="152">
        <v>-6631546</v>
      </c>
      <c r="G27" s="152">
        <v>-930214</v>
      </c>
      <c r="H27" s="152">
        <v>-3045733</v>
      </c>
      <c r="I27" s="152">
        <v>-2878059</v>
      </c>
      <c r="J27" s="152">
        <v>-1043390</v>
      </c>
      <c r="K27" s="152">
        <v>-1339129</v>
      </c>
    </row>
    <row r="28" spans="1:11" x14ac:dyDescent="0.25">
      <c r="A28" s="113"/>
      <c r="B28" s="147"/>
      <c r="C28" s="147"/>
      <c r="D28" s="147"/>
      <c r="E28" s="147"/>
      <c r="F28" s="147"/>
      <c r="G28" s="147"/>
      <c r="H28" s="147"/>
      <c r="I28" s="147"/>
      <c r="J28" s="147"/>
      <c r="K28" s="147"/>
    </row>
    <row r="29" spans="1:11" x14ac:dyDescent="0.25">
      <c r="A29" s="151" t="s">
        <v>77</v>
      </c>
      <c r="B29" s="115">
        <f>SUM(B23:B27)</f>
        <v>-9126207.0007676296</v>
      </c>
      <c r="C29" s="115">
        <f t="shared" ref="C29:K29" si="1">SUM(C23:C27)</f>
        <v>-10723452.777593628</v>
      </c>
      <c r="D29" s="115">
        <f t="shared" si="1"/>
        <v>-13019944.379748961</v>
      </c>
      <c r="E29" s="115">
        <f t="shared" si="1"/>
        <v>-9475730.506104432</v>
      </c>
      <c r="F29" s="115">
        <f t="shared" si="1"/>
        <v>-8397258.5962825213</v>
      </c>
      <c r="G29" s="115">
        <f t="shared" si="1"/>
        <v>-7438047.4126668451</v>
      </c>
      <c r="H29" s="115">
        <f t="shared" si="1"/>
        <v>-8369243.5865847338</v>
      </c>
      <c r="I29" s="115">
        <f t="shared" si="1"/>
        <v>-8698669.6260926779</v>
      </c>
      <c r="J29" s="115">
        <f t="shared" si="1"/>
        <v>-9946535.5635879841</v>
      </c>
      <c r="K29" s="115">
        <f t="shared" si="1"/>
        <v>-13745240.029909372</v>
      </c>
    </row>
    <row r="30" spans="1:11" x14ac:dyDescent="0.25">
      <c r="A30" s="113"/>
      <c r="B30" s="147"/>
      <c r="C30" s="147"/>
      <c r="D30" s="147"/>
      <c r="E30" s="147"/>
      <c r="F30" s="147"/>
      <c r="G30" s="147"/>
      <c r="H30" s="147"/>
      <c r="I30" s="147"/>
      <c r="J30" s="147"/>
      <c r="K30" s="147"/>
    </row>
    <row r="31" spans="1:11" x14ac:dyDescent="0.25">
      <c r="A31" s="150" t="s">
        <v>78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</row>
    <row r="32" spans="1:11" x14ac:dyDescent="0.25">
      <c r="A32" s="151" t="s">
        <v>67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</row>
    <row r="33" spans="1:11" x14ac:dyDescent="0.25">
      <c r="A33" s="113" t="s">
        <v>79</v>
      </c>
      <c r="B33" s="147">
        <v>0</v>
      </c>
      <c r="C33" s="147">
        <v>6987000</v>
      </c>
      <c r="D33" s="147">
        <v>4750000</v>
      </c>
      <c r="E33" s="147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7">
        <v>0</v>
      </c>
    </row>
    <row r="34" spans="1:11" x14ac:dyDescent="0.25">
      <c r="A34" s="151" t="s">
        <v>70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</row>
    <row r="35" spans="1:11" x14ac:dyDescent="0.25">
      <c r="A35" s="113" t="s">
        <v>80</v>
      </c>
      <c r="B35" s="152">
        <v>-2812736</v>
      </c>
      <c r="C35" s="152">
        <v>-2963640</v>
      </c>
      <c r="D35" s="152">
        <v>-3460819.7587665403</v>
      </c>
      <c r="E35" s="152">
        <v>-3868414.8232067511</v>
      </c>
      <c r="F35" s="152">
        <v>-3883471.6546532069</v>
      </c>
      <c r="G35" s="152">
        <v>-4104968.7843117365</v>
      </c>
      <c r="H35" s="152">
        <v>-4352274.1778764026</v>
      </c>
      <c r="I35" s="152">
        <v>-4624224.8807517178</v>
      </c>
      <c r="J35" s="152">
        <v>-3295055.0196548277</v>
      </c>
      <c r="K35" s="152">
        <v>-550284.80424988945</v>
      </c>
    </row>
    <row r="36" spans="1:11" x14ac:dyDescent="0.25">
      <c r="A36" s="113"/>
      <c r="B36" s="147"/>
      <c r="C36" s="147"/>
      <c r="D36" s="147"/>
      <c r="E36" s="147"/>
      <c r="F36" s="147"/>
      <c r="G36" s="147"/>
      <c r="H36" s="147"/>
      <c r="I36" s="147"/>
      <c r="J36" s="147"/>
      <c r="K36" s="147"/>
    </row>
    <row r="37" spans="1:11" x14ac:dyDescent="0.25">
      <c r="A37" s="151" t="s">
        <v>81</v>
      </c>
      <c r="B37" s="115">
        <f>SUM(B33:B35)</f>
        <v>-2812736</v>
      </c>
      <c r="C37" s="115">
        <f t="shared" ref="C37:K37" si="2">SUM(C33:C35)</f>
        <v>4023360</v>
      </c>
      <c r="D37" s="115">
        <f t="shared" si="2"/>
        <v>1289180.2412334597</v>
      </c>
      <c r="E37" s="115">
        <f t="shared" si="2"/>
        <v>-3868414.8232067511</v>
      </c>
      <c r="F37" s="115">
        <f t="shared" si="2"/>
        <v>-3883471.6546532069</v>
      </c>
      <c r="G37" s="115">
        <f t="shared" si="2"/>
        <v>-4104968.7843117365</v>
      </c>
      <c r="H37" s="115">
        <f t="shared" si="2"/>
        <v>-4352274.1778764026</v>
      </c>
      <c r="I37" s="115">
        <f t="shared" si="2"/>
        <v>-4624224.8807517178</v>
      </c>
      <c r="J37" s="115">
        <f t="shared" si="2"/>
        <v>-3295055.0196548277</v>
      </c>
      <c r="K37" s="115">
        <f t="shared" si="2"/>
        <v>-550284.80424988945</v>
      </c>
    </row>
    <row r="38" spans="1:11" x14ac:dyDescent="0.25">
      <c r="A38" s="113"/>
      <c r="B38" s="147"/>
      <c r="C38" s="147"/>
      <c r="D38" s="147"/>
      <c r="E38" s="147"/>
      <c r="F38" s="147"/>
      <c r="G38" s="147"/>
      <c r="H38" s="147"/>
      <c r="I38" s="147"/>
      <c r="J38" s="147"/>
      <c r="K38" s="147"/>
    </row>
    <row r="39" spans="1:11" x14ac:dyDescent="0.25">
      <c r="A39" s="151" t="s">
        <v>82</v>
      </c>
      <c r="B39" s="152">
        <f>+B19+B29+B37</f>
        <v>-146802.38459570333</v>
      </c>
      <c r="C39" s="152">
        <f t="shared" ref="C39:K39" si="3">+C19+C29+C37</f>
        <v>16488.532758813351</v>
      </c>
      <c r="D39" s="152">
        <f t="shared" si="3"/>
        <v>112232.57383971568</v>
      </c>
      <c r="E39" s="152">
        <f t="shared" si="3"/>
        <v>130790.44887447124</v>
      </c>
      <c r="F39" s="152">
        <f t="shared" si="3"/>
        <v>127325.96400723746</v>
      </c>
      <c r="G39" s="152">
        <f t="shared" si="3"/>
        <v>207893.16442735353</v>
      </c>
      <c r="H39" s="152">
        <f t="shared" si="3"/>
        <v>136500.27145089302</v>
      </c>
      <c r="I39" s="152">
        <f t="shared" si="3"/>
        <v>149246.42631007172</v>
      </c>
      <c r="J39" s="152">
        <f t="shared" si="3"/>
        <v>228285.78368173679</v>
      </c>
      <c r="K39" s="152">
        <f t="shared" si="3"/>
        <v>318105.41102332133</v>
      </c>
    </row>
    <row r="40" spans="1:11" x14ac:dyDescent="0.25">
      <c r="A40" s="113"/>
      <c r="B40" s="147"/>
      <c r="C40" s="147"/>
      <c r="D40" s="147"/>
      <c r="E40" s="147"/>
      <c r="F40" s="147"/>
      <c r="G40" s="147"/>
      <c r="H40" s="147"/>
      <c r="I40" s="147"/>
      <c r="J40" s="147"/>
      <c r="K40" s="147"/>
    </row>
    <row r="41" spans="1:11" x14ac:dyDescent="0.25">
      <c r="A41" s="151" t="s">
        <v>83</v>
      </c>
      <c r="B41" s="152">
        <v>1405172.8543276899</v>
      </c>
      <c r="C41" s="152">
        <f>+B43</f>
        <v>1258370.4697319865</v>
      </c>
      <c r="D41" s="152">
        <f t="shared" ref="D41:K41" si="4">+C43</f>
        <v>1274859.0024907999</v>
      </c>
      <c r="E41" s="152">
        <f t="shared" si="4"/>
        <v>1387091.5763305156</v>
      </c>
      <c r="F41" s="152">
        <f t="shared" si="4"/>
        <v>1517882.0252049868</v>
      </c>
      <c r="G41" s="152">
        <f t="shared" si="4"/>
        <v>1645207.9892122243</v>
      </c>
      <c r="H41" s="152">
        <f t="shared" si="4"/>
        <v>1853101.1536395778</v>
      </c>
      <c r="I41" s="152">
        <f t="shared" si="4"/>
        <v>1989601.4250904708</v>
      </c>
      <c r="J41" s="152">
        <f t="shared" si="4"/>
        <v>2138847.8514005425</v>
      </c>
      <c r="K41" s="152">
        <f t="shared" si="4"/>
        <v>2367133.6350822793</v>
      </c>
    </row>
    <row r="42" spans="1:11" x14ac:dyDescent="0.25">
      <c r="A42" s="113"/>
      <c r="B42" s="147"/>
      <c r="C42" s="147"/>
      <c r="D42" s="147"/>
      <c r="E42" s="147"/>
      <c r="F42" s="147"/>
      <c r="G42" s="147"/>
      <c r="H42" s="147"/>
      <c r="I42" s="147"/>
      <c r="J42" s="147"/>
      <c r="K42" s="147"/>
    </row>
    <row r="43" spans="1:11" ht="15.75" thickBot="1" x14ac:dyDescent="0.3">
      <c r="A43" s="151" t="s">
        <v>84</v>
      </c>
      <c r="B43" s="154">
        <f>SUM(B39:B41)</f>
        <v>1258370.4697319865</v>
      </c>
      <c r="C43" s="154">
        <f t="shared" ref="C43:K43" si="5">SUM(C39:C41)</f>
        <v>1274859.0024907999</v>
      </c>
      <c r="D43" s="154">
        <f t="shared" si="5"/>
        <v>1387091.5763305156</v>
      </c>
      <c r="E43" s="154">
        <f t="shared" si="5"/>
        <v>1517882.0252049868</v>
      </c>
      <c r="F43" s="154">
        <f t="shared" si="5"/>
        <v>1645207.9892122243</v>
      </c>
      <c r="G43" s="154">
        <f t="shared" si="5"/>
        <v>1853101.1536395778</v>
      </c>
      <c r="H43" s="154">
        <f t="shared" si="5"/>
        <v>1989601.4250904708</v>
      </c>
      <c r="I43" s="154">
        <f t="shared" si="5"/>
        <v>2138847.8514005425</v>
      </c>
      <c r="J43" s="154">
        <f t="shared" si="5"/>
        <v>2367133.6350822793</v>
      </c>
      <c r="K43" s="154">
        <f t="shared" si="5"/>
        <v>2685239.0461056009</v>
      </c>
    </row>
    <row r="44" spans="1:11" x14ac:dyDescent="0.25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</row>
    <row r="45" spans="1:11" x14ac:dyDescent="0.25">
      <c r="A45" s="155"/>
      <c r="B45" s="155"/>
      <c r="C45" s="155"/>
      <c r="D45" s="155"/>
      <c r="E45" s="155"/>
      <c r="F45" s="155"/>
      <c r="G45" s="155"/>
      <c r="H45" s="155"/>
      <c r="I45" s="155"/>
      <c r="J45" s="155"/>
      <c r="K45" s="155"/>
    </row>
    <row r="46" spans="1:11" x14ac:dyDescent="0.25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</row>
    <row r="47" spans="1:11" x14ac:dyDescent="0.25">
      <c r="A47" s="113" t="s">
        <v>84</v>
      </c>
      <c r="B47" s="116">
        <f>+B43</f>
        <v>1258370.4697319865</v>
      </c>
      <c r="C47" s="116">
        <f t="shared" ref="C47:K47" si="6">+C43</f>
        <v>1274859.0024907999</v>
      </c>
      <c r="D47" s="116">
        <f t="shared" si="6"/>
        <v>1387091.5763305156</v>
      </c>
      <c r="E47" s="116">
        <f t="shared" si="6"/>
        <v>1517882.0252049868</v>
      </c>
      <c r="F47" s="116">
        <f t="shared" si="6"/>
        <v>1645207.9892122243</v>
      </c>
      <c r="G47" s="116">
        <f t="shared" si="6"/>
        <v>1853101.1536395778</v>
      </c>
      <c r="H47" s="116">
        <f t="shared" si="6"/>
        <v>1989601.4250904708</v>
      </c>
      <c r="I47" s="116">
        <f t="shared" si="6"/>
        <v>2138847.8514005425</v>
      </c>
      <c r="J47" s="116">
        <f t="shared" si="6"/>
        <v>2367133.6350822793</v>
      </c>
      <c r="K47" s="116">
        <f t="shared" si="6"/>
        <v>2685239.0461056009</v>
      </c>
    </row>
    <row r="48" spans="1:11" x14ac:dyDescent="0.25">
      <c r="A48" s="113" t="s">
        <v>85</v>
      </c>
      <c r="B48" s="116">
        <f>+'[5]Balance Sheet'!B9+'[5]Balance Sheet'!B15</f>
        <v>49076448.319547534</v>
      </c>
      <c r="C48" s="116">
        <f>+'[5]Balance Sheet'!C9+'[5]Balance Sheet'!C15</f>
        <v>49719501.097141162</v>
      </c>
      <c r="D48" s="116">
        <f>+'[5]Balance Sheet'!D9+'[5]Balance Sheet'!D15</f>
        <v>54096571.476890124</v>
      </c>
      <c r="E48" s="116">
        <f>+'[5]Balance Sheet'!E9+'[5]Balance Sheet'!E15</f>
        <v>59197398.982994556</v>
      </c>
      <c r="F48" s="116">
        <f>+'[5]Balance Sheet'!F9+'[5]Balance Sheet'!F15</f>
        <v>64163111.579277076</v>
      </c>
      <c r="G48" s="116">
        <f>+'[5]Balance Sheet'!G9+'[5]Balance Sheet'!G15</f>
        <v>72270944.991943926</v>
      </c>
      <c r="H48" s="116">
        <f>+'[5]Balance Sheet'!H9+'[5]Balance Sheet'!H15</f>
        <v>77594455.578528658</v>
      </c>
      <c r="I48" s="116">
        <f>+'[5]Balance Sheet'!I9+'[5]Balance Sheet'!I15</f>
        <v>83415066.20462133</v>
      </c>
      <c r="J48" s="116">
        <f>+'[5]Balance Sheet'!J9+'[5]Balance Sheet'!J15</f>
        <v>92318211.768209308</v>
      </c>
      <c r="K48" s="116">
        <f>+'[5]Balance Sheet'!K9+'[5]Balance Sheet'!K15</f>
        <v>104724322.79811868</v>
      </c>
    </row>
    <row r="49" spans="1:11" x14ac:dyDescent="0.25">
      <c r="A49" s="156" t="s">
        <v>86</v>
      </c>
      <c r="B49" s="120">
        <f>SUM(B47:B48)</f>
        <v>50334818.789279521</v>
      </c>
      <c r="C49" s="120">
        <f t="shared" ref="C49:K49" si="7">SUM(C47:C48)</f>
        <v>50994360.099631965</v>
      </c>
      <c r="D49" s="120">
        <f t="shared" si="7"/>
        <v>55483663.053220637</v>
      </c>
      <c r="E49" s="120">
        <f t="shared" si="7"/>
        <v>60715281.008199543</v>
      </c>
      <c r="F49" s="120">
        <f t="shared" si="7"/>
        <v>65808319.568489298</v>
      </c>
      <c r="G49" s="120">
        <f t="shared" si="7"/>
        <v>74124046.14558351</v>
      </c>
      <c r="H49" s="120">
        <f t="shared" si="7"/>
        <v>79584057.003619134</v>
      </c>
      <c r="I49" s="120">
        <f t="shared" si="7"/>
        <v>85553914.056021869</v>
      </c>
      <c r="J49" s="120">
        <f t="shared" si="7"/>
        <v>94685345.403291583</v>
      </c>
      <c r="K49" s="120">
        <f t="shared" si="7"/>
        <v>107409561.84422427</v>
      </c>
    </row>
    <row r="50" spans="1:11" x14ac:dyDescent="0.25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</row>
    <row r="51" spans="1:11" x14ac:dyDescent="0.25">
      <c r="A51" s="150" t="s">
        <v>87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</row>
    <row r="52" spans="1:11" x14ac:dyDescent="0.25">
      <c r="A52" s="157" t="s">
        <v>88</v>
      </c>
      <c r="B52" s="116">
        <v>6887012</v>
      </c>
      <c r="C52" s="116">
        <v>831518</v>
      </c>
      <c r="D52" s="116">
        <v>1814270</v>
      </c>
      <c r="E52" s="116">
        <v>2820981</v>
      </c>
      <c r="F52" s="116">
        <v>2473791</v>
      </c>
      <c r="G52" s="116">
        <v>3533387</v>
      </c>
      <c r="H52" s="116">
        <v>4624402</v>
      </c>
      <c r="I52" s="116">
        <v>5747567</v>
      </c>
      <c r="J52" s="116">
        <v>6903628</v>
      </c>
      <c r="K52" s="116">
        <v>8093346</v>
      </c>
    </row>
    <row r="53" spans="1:11" x14ac:dyDescent="0.25">
      <c r="A53" s="157" t="s">
        <v>115</v>
      </c>
      <c r="B53" s="116">
        <v>42284395</v>
      </c>
      <c r="C53" s="116">
        <v>48488560</v>
      </c>
      <c r="D53" s="116">
        <v>51343238</v>
      </c>
      <c r="E53" s="116">
        <v>55165529</v>
      </c>
      <c r="F53" s="116">
        <v>60189020</v>
      </c>
      <c r="G53" s="116">
        <v>66998159</v>
      </c>
      <c r="H53" s="116">
        <v>71222486</v>
      </c>
      <c r="I53" s="116">
        <v>75915488</v>
      </c>
      <c r="J53" s="116">
        <v>83660649</v>
      </c>
      <c r="K53" s="116">
        <v>94991624</v>
      </c>
    </row>
    <row r="54" spans="1:11" x14ac:dyDescent="0.25">
      <c r="A54" s="157" t="s">
        <v>90</v>
      </c>
      <c r="B54" s="116">
        <v>1163411.7892795205</v>
      </c>
      <c r="C54" s="116">
        <v>1674282.0996319652</v>
      </c>
      <c r="D54" s="116">
        <v>2326155.0532206371</v>
      </c>
      <c r="E54" s="116">
        <v>2728771.0081995428</v>
      </c>
      <c r="F54" s="116">
        <v>3145508.5684892982</v>
      </c>
      <c r="G54" s="116">
        <v>1944500.1455835104</v>
      </c>
      <c r="H54" s="116">
        <v>3737169.0036191344</v>
      </c>
      <c r="I54" s="116">
        <v>3890859.0560218692</v>
      </c>
      <c r="J54" s="116">
        <v>4121068.4032915831</v>
      </c>
      <c r="K54" s="116">
        <v>4324591.8442242742</v>
      </c>
    </row>
    <row r="55" spans="1:11" ht="15.75" thickBot="1" x14ac:dyDescent="0.3">
      <c r="A55" s="113"/>
      <c r="B55" s="117">
        <f>SUM(B52:B54)</f>
        <v>50334818.789279521</v>
      </c>
      <c r="C55" s="117">
        <f t="shared" ref="C55:K55" si="8">SUM(C52:C54)</f>
        <v>50994360.099631965</v>
      </c>
      <c r="D55" s="117">
        <f t="shared" si="8"/>
        <v>55483663.053220637</v>
      </c>
      <c r="E55" s="117">
        <f t="shared" si="8"/>
        <v>60715281.008199543</v>
      </c>
      <c r="F55" s="117">
        <f t="shared" si="8"/>
        <v>65808319.568489298</v>
      </c>
      <c r="G55" s="117">
        <f t="shared" si="8"/>
        <v>72476046.14558351</v>
      </c>
      <c r="H55" s="117">
        <f t="shared" si="8"/>
        <v>79584057.003619134</v>
      </c>
      <c r="I55" s="117">
        <f t="shared" si="8"/>
        <v>85553914.056021869</v>
      </c>
      <c r="J55" s="117">
        <f t="shared" si="8"/>
        <v>94685345.403291583</v>
      </c>
      <c r="K55" s="117">
        <f t="shared" si="8"/>
        <v>107409561.84422427</v>
      </c>
    </row>
  </sheetData>
  <mergeCells count="1">
    <mergeCell ref="B3:K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9BA47-2C12-42BE-9471-C77A91703BCE}">
  <dimension ref="A1:K15"/>
  <sheetViews>
    <sheetView workbookViewId="0">
      <selection sqref="A1:XFD1048576"/>
    </sheetView>
  </sheetViews>
  <sheetFormatPr defaultRowHeight="15" x14ac:dyDescent="0.25"/>
  <cols>
    <col min="1" max="1" width="58.7109375" customWidth="1"/>
  </cols>
  <sheetData>
    <row r="1" spans="1:11" x14ac:dyDescent="0.25">
      <c r="A1" s="68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x14ac:dyDescent="0.25">
      <c r="A2" s="68" t="s">
        <v>105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x14ac:dyDescent="0.25">
      <c r="A3" s="68" t="s">
        <v>136</v>
      </c>
      <c r="B3" s="163" t="s">
        <v>2</v>
      </c>
      <c r="C3" s="163"/>
      <c r="D3" s="163"/>
      <c r="E3" s="163"/>
      <c r="F3" s="163"/>
      <c r="G3" s="163"/>
      <c r="H3" s="163"/>
      <c r="I3" s="163"/>
      <c r="J3" s="163"/>
      <c r="K3" s="163"/>
    </row>
    <row r="4" spans="1:11" ht="15.75" thickBot="1" x14ac:dyDescent="0.3">
      <c r="A4" s="128" t="s">
        <v>101</v>
      </c>
      <c r="B4" s="30" t="str">
        <f>Starting_year_general&amp;"/"&amp;RIGHT(Starting_year_general+1,2)</f>
        <v>2021/22</v>
      </c>
      <c r="C4" s="30" t="str">
        <f>Starting_year_general+1&amp;"/"&amp;RIGHT(Starting_year_general+2,2)</f>
        <v>2022/23</v>
      </c>
      <c r="D4" s="30" t="str">
        <f>Starting_year_general+2&amp;"/"&amp;RIGHT(Starting_year_general+3,2)</f>
        <v>2023/24</v>
      </c>
      <c r="E4" s="30" t="str">
        <f>Starting_year_general+3&amp;"/"&amp;RIGHT(Starting_year_general+4,2)</f>
        <v>2024/25</v>
      </c>
      <c r="F4" s="30" t="str">
        <f>Starting_year_general+4&amp;"/"&amp;RIGHT(Starting_year_general+5,2)</f>
        <v>2025/26</v>
      </c>
      <c r="G4" s="30" t="str">
        <f>Starting_year_general+5&amp;"/"&amp;RIGHT(Starting_year_general+6,2)</f>
        <v>2026/27</v>
      </c>
      <c r="H4" s="30" t="str">
        <f>Starting_year_general+6&amp;"/"&amp;RIGHT(Starting_year_general+7,2)</f>
        <v>2027/28</v>
      </c>
      <c r="I4" s="30" t="str">
        <f>Starting_year_general+7&amp;"/"&amp;RIGHT(Starting_year_general+8,2)</f>
        <v>2028/29</v>
      </c>
      <c r="J4" s="30" t="str">
        <f>Starting_year_general+8&amp;"/"&amp;RIGHT(Starting_year_general+9,2)</f>
        <v>2029/30</v>
      </c>
      <c r="K4" s="30" t="str">
        <f>Starting_year_general+9&amp;"/"&amp;RIGHT(Starting_year_general+10,2)</f>
        <v>2030/31</v>
      </c>
    </row>
    <row r="5" spans="1:11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x14ac:dyDescent="0.25">
      <c r="A6" s="73" t="s">
        <v>92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x14ac:dyDescent="0.25">
      <c r="A7" s="70" t="s">
        <v>93</v>
      </c>
      <c r="B7" s="79">
        <v>0.24805485312535344</v>
      </c>
      <c r="C7" s="79">
        <v>0.25257869557241813</v>
      </c>
      <c r="D7" s="79">
        <v>0.23115776345205347</v>
      </c>
      <c r="E7" s="79">
        <v>0.26791139492776733</v>
      </c>
      <c r="F7" s="79">
        <v>0.27975828721903129</v>
      </c>
      <c r="G7" s="79">
        <v>0.24345373504617296</v>
      </c>
      <c r="H7" s="79">
        <v>0.28697622718023108</v>
      </c>
      <c r="I7" s="79">
        <v>0.30194769409034183</v>
      </c>
      <c r="J7" s="79">
        <v>0.29097986801272124</v>
      </c>
      <c r="K7" s="79">
        <v>0.33174238752082441</v>
      </c>
    </row>
    <row r="8" spans="1:11" x14ac:dyDescent="0.25">
      <c r="A8" s="70" t="s">
        <v>94</v>
      </c>
      <c r="B8" s="79">
        <v>0.9546654100654709</v>
      </c>
      <c r="C8" s="79">
        <v>0.95455204168456653</v>
      </c>
      <c r="D8" s="79">
        <v>0.95482489173216623</v>
      </c>
      <c r="E8" s="79">
        <v>0.95464917332727672</v>
      </c>
      <c r="F8" s="79">
        <v>0.9545562698108232</v>
      </c>
      <c r="G8" s="79">
        <v>0.95457739616907411</v>
      </c>
      <c r="H8" s="79">
        <v>0.95465177270064083</v>
      </c>
      <c r="I8" s="79">
        <v>0.95464148961839057</v>
      </c>
      <c r="J8" s="79">
        <v>0.95505107644241127</v>
      </c>
      <c r="K8" s="79">
        <v>0.9550335529070193</v>
      </c>
    </row>
    <row r="9" spans="1:11" x14ac:dyDescent="0.25">
      <c r="A9" s="70" t="s">
        <v>95</v>
      </c>
      <c r="B9" s="158">
        <v>11.969609790558073</v>
      </c>
      <c r="C9" s="158">
        <v>10.703020697986656</v>
      </c>
      <c r="D9" s="158">
        <v>10.369946451472879</v>
      </c>
      <c r="E9" s="158">
        <v>11.373775509366697</v>
      </c>
      <c r="F9" s="158">
        <v>11.354415394091635</v>
      </c>
      <c r="G9" s="158">
        <v>11.515522169925376</v>
      </c>
      <c r="H9" s="158">
        <v>11.876293635621421</v>
      </c>
      <c r="I9" s="158">
        <v>16.605422303950263</v>
      </c>
      <c r="J9" s="158">
        <v>46.685544046367191</v>
      </c>
      <c r="K9" s="158">
        <v>54.848651754701606</v>
      </c>
    </row>
    <row r="10" spans="1:11" x14ac:dyDescent="0.25">
      <c r="A10" s="70" t="s">
        <v>96</v>
      </c>
      <c r="B10" s="158">
        <v>2.938350884899096</v>
      </c>
      <c r="C10" s="158">
        <v>3.0114410540521921</v>
      </c>
      <c r="D10" s="158">
        <v>2.6975800658587894</v>
      </c>
      <c r="E10" s="158">
        <v>2.7351004841981736</v>
      </c>
      <c r="F10" s="158">
        <v>2.8978852028278808</v>
      </c>
      <c r="G10" s="158">
        <v>2.7217329546796174</v>
      </c>
      <c r="H10" s="158">
        <v>2.9306298433417797</v>
      </c>
      <c r="I10" s="158">
        <v>2.9884790413245415</v>
      </c>
      <c r="J10" s="158">
        <v>4.247321014964677</v>
      </c>
      <c r="K10" s="158">
        <v>22.893863885513827</v>
      </c>
    </row>
    <row r="11" spans="1:11" x14ac:dyDescent="0.25">
      <c r="A11" s="70" t="s">
        <v>97</v>
      </c>
      <c r="B11" s="79">
        <v>6.0365648130274362E-2</v>
      </c>
      <c r="C11" s="79">
        <v>6.0338822284126487E-2</v>
      </c>
      <c r="D11" s="79">
        <v>6.0338822716081458E-2</v>
      </c>
      <c r="E11" s="79">
        <v>6.0338822804736687E-2</v>
      </c>
      <c r="F11" s="79">
        <v>6.0338822602788549E-2</v>
      </c>
      <c r="G11" s="79">
        <v>6.033882260971167E-2</v>
      </c>
      <c r="H11" s="79">
        <v>6.0338822600726968E-2</v>
      </c>
      <c r="I11" s="79">
        <v>6.0338822596725065E-2</v>
      </c>
      <c r="J11" s="79">
        <v>6.0338822595594067E-2</v>
      </c>
      <c r="K11" s="79">
        <v>6.0338822601503389E-2</v>
      </c>
    </row>
    <row r="12" spans="1:11" x14ac:dyDescent="0.25">
      <c r="A12" s="70" t="s">
        <v>98</v>
      </c>
      <c r="B12" s="158">
        <v>0.93496844198172668</v>
      </c>
      <c r="C12" s="158">
        <v>0.70118341806672724</v>
      </c>
      <c r="D12" s="158">
        <v>0.93209271906668745</v>
      </c>
      <c r="E12" s="158">
        <v>1.068028594607934</v>
      </c>
      <c r="F12" s="158">
        <v>1.0584106362313548</v>
      </c>
      <c r="G12" s="158">
        <v>1.1091474672528043</v>
      </c>
      <c r="H12" s="158">
        <v>1.2064639226334586</v>
      </c>
      <c r="I12" s="158">
        <v>1.2828848412123499</v>
      </c>
      <c r="J12" s="158">
        <v>1.4548058644601314</v>
      </c>
      <c r="K12" s="158">
        <v>1.9867354731989342</v>
      </c>
    </row>
    <row r="13" spans="1:11" x14ac:dyDescent="0.25">
      <c r="A13" s="70" t="s">
        <v>99</v>
      </c>
      <c r="B13" s="79">
        <v>1.0738640133850039</v>
      </c>
      <c r="C13" s="79">
        <v>2.3775312021042159</v>
      </c>
      <c r="D13" s="79">
        <v>1.6629293297384089</v>
      </c>
      <c r="E13" s="79">
        <v>0.77534764367065101</v>
      </c>
      <c r="F13" s="79">
        <v>0.43751178082264869</v>
      </c>
      <c r="G13" s="79">
        <v>0.43380933255071241</v>
      </c>
      <c r="H13" s="79">
        <v>0.70983454589461514</v>
      </c>
      <c r="I13" s="79">
        <v>0.68557865984692246</v>
      </c>
      <c r="J13" s="79">
        <v>0.45233787822287991</v>
      </c>
      <c r="K13" s="79">
        <v>0.49191398359399652</v>
      </c>
    </row>
    <row r="15" spans="1:11" x14ac:dyDescent="0.25">
      <c r="A15" t="s">
        <v>100</v>
      </c>
      <c r="B15" s="26">
        <v>0.19632353369608554</v>
      </c>
      <c r="C15" s="26">
        <v>0.19179063302052357</v>
      </c>
      <c r="D15" s="26">
        <v>0.20389705619319795</v>
      </c>
      <c r="E15" s="26">
        <v>0.21213785813723432</v>
      </c>
      <c r="F15" s="26">
        <v>0.19997482916652126</v>
      </c>
      <c r="G15" s="26">
        <v>0.19547054094609218</v>
      </c>
      <c r="H15" s="26">
        <v>0.19130767366123116</v>
      </c>
      <c r="I15" s="26">
        <v>0.18759611642369528</v>
      </c>
      <c r="J15" s="26">
        <v>0.12526103009858211</v>
      </c>
      <c r="K15" s="26">
        <v>2.4685227940714854E-2</v>
      </c>
    </row>
  </sheetData>
  <mergeCells count="1">
    <mergeCell ref="B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49DF3-E520-4F6C-9EE4-3847F12E4913}">
  <dimension ref="A1:K49"/>
  <sheetViews>
    <sheetView topLeftCell="A19" workbookViewId="0">
      <selection activeCell="B4" sqref="B4:K4"/>
    </sheetView>
  </sheetViews>
  <sheetFormatPr defaultRowHeight="15" x14ac:dyDescent="0.25"/>
  <cols>
    <col min="1" max="1" width="61" customWidth="1"/>
    <col min="2" max="11" width="14.28515625" bestFit="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33</v>
      </c>
      <c r="B3" s="159" t="s">
        <v>2</v>
      </c>
      <c r="C3" s="159"/>
      <c r="D3" s="159"/>
      <c r="E3" s="159"/>
      <c r="F3" s="159"/>
      <c r="G3" s="159"/>
      <c r="H3" s="159"/>
      <c r="I3" s="159"/>
      <c r="J3" s="159"/>
      <c r="K3" s="159"/>
    </row>
    <row r="4" spans="1:11" x14ac:dyDescent="0.25">
      <c r="A4" s="1" t="s">
        <v>101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106</v>
      </c>
    </row>
    <row r="5" spans="1:11" ht="15.75" thickBot="1" x14ac:dyDescent="0.3">
      <c r="A5" s="6"/>
      <c r="B5" s="7" t="s">
        <v>12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12</v>
      </c>
      <c r="H5" s="7" t="s">
        <v>12</v>
      </c>
      <c r="I5" s="7" t="s">
        <v>12</v>
      </c>
      <c r="J5" s="7" t="s">
        <v>12</v>
      </c>
      <c r="K5" s="7" t="s">
        <v>12</v>
      </c>
    </row>
    <row r="6" spans="1:1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0" t="s">
        <v>35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9" t="s">
        <v>36</v>
      </c>
      <c r="B8" s="9">
        <v>2987324.8519210294</v>
      </c>
      <c r="C8" s="9">
        <v>3092633.3614425003</v>
      </c>
      <c r="D8" s="9">
        <v>3463454.6507661697</v>
      </c>
      <c r="E8" s="9">
        <v>3829440.4432897223</v>
      </c>
      <c r="F8" s="9">
        <v>3939551.5327501753</v>
      </c>
      <c r="G8" s="9">
        <v>4340390.3341866173</v>
      </c>
      <c r="H8" s="9">
        <v>4681302.6838039272</v>
      </c>
      <c r="I8" s="9">
        <v>4989969.0780246295</v>
      </c>
      <c r="J8" s="9">
        <v>5308945.886523623</v>
      </c>
      <c r="K8" s="9">
        <v>5697266.1216595229</v>
      </c>
    </row>
    <row r="9" spans="1:11" x14ac:dyDescent="0.25">
      <c r="A9" s="9" t="s">
        <v>37</v>
      </c>
      <c r="B9" s="9">
        <v>95154596.863539234</v>
      </c>
      <c r="C9" s="9">
        <v>98515758.412426069</v>
      </c>
      <c r="D9" s="9">
        <v>110325757.208676</v>
      </c>
      <c r="E9" s="9">
        <v>121978263.72532269</v>
      </c>
      <c r="F9" s="9">
        <v>125435936.93671781</v>
      </c>
      <c r="G9" s="9">
        <v>138189312.3184607</v>
      </c>
      <c r="H9" s="9">
        <v>149044811.82829896</v>
      </c>
      <c r="I9" s="9">
        <v>158872112.02952737</v>
      </c>
      <c r="J9" s="9">
        <v>169008078.52357644</v>
      </c>
      <c r="K9" s="9">
        <v>181323906.11130047</v>
      </c>
    </row>
    <row r="10" spans="1:11" x14ac:dyDescent="0.25">
      <c r="A10" s="9" t="s">
        <v>38</v>
      </c>
      <c r="B10" s="9">
        <v>16893467.869262304</v>
      </c>
      <c r="C10" s="9">
        <v>15367353.273488134</v>
      </c>
      <c r="D10" s="9">
        <v>15810341.107743271</v>
      </c>
      <c r="E10" s="9">
        <v>16186573.337172281</v>
      </c>
      <c r="F10" s="9">
        <v>16535585.671041157</v>
      </c>
      <c r="G10" s="9">
        <v>17171605.966302637</v>
      </c>
      <c r="H10" s="9">
        <v>17037662.657058675</v>
      </c>
      <c r="I10" s="9">
        <v>17406173.444702856</v>
      </c>
      <c r="J10" s="9">
        <v>17738803.280116964</v>
      </c>
      <c r="K10" s="9">
        <v>18128434.55845461</v>
      </c>
    </row>
    <row r="11" spans="1:11" x14ac:dyDescent="0.25">
      <c r="A11" s="9" t="s">
        <v>39</v>
      </c>
      <c r="B11" s="9">
        <v>17686140.647449091</v>
      </c>
      <c r="C11" s="9">
        <v>17620738.403593361</v>
      </c>
      <c r="D11" s="9">
        <v>17633574.478859425</v>
      </c>
      <c r="E11" s="9">
        <v>17653892.131269783</v>
      </c>
      <c r="F11" s="9">
        <v>17686966.930767044</v>
      </c>
      <c r="G11" s="9">
        <v>17717458.71981249</v>
      </c>
      <c r="H11" s="9">
        <v>17755420.460700437</v>
      </c>
      <c r="I11" s="9">
        <v>17796439.317433484</v>
      </c>
      <c r="J11" s="9">
        <v>17829183.423436105</v>
      </c>
      <c r="K11" s="9">
        <v>17862096.023410983</v>
      </c>
    </row>
    <row r="12" spans="1:11" x14ac:dyDescent="0.25">
      <c r="A12" s="9" t="s">
        <v>102</v>
      </c>
      <c r="B12" s="9">
        <v>6392000</v>
      </c>
      <c r="C12" s="9">
        <v>6392000</v>
      </c>
      <c r="D12" s="9">
        <v>6392000</v>
      </c>
      <c r="E12" s="9">
        <v>6392000</v>
      </c>
      <c r="F12" s="9">
        <v>6392000</v>
      </c>
      <c r="G12" s="9">
        <v>6392000</v>
      </c>
      <c r="H12" s="9">
        <v>6392000</v>
      </c>
      <c r="I12" s="9">
        <v>6392000</v>
      </c>
      <c r="J12" s="9">
        <v>6392000</v>
      </c>
      <c r="K12" s="9">
        <v>6392000</v>
      </c>
    </row>
    <row r="13" spans="1:11" x14ac:dyDescent="0.25">
      <c r="A13" s="9" t="s">
        <v>40</v>
      </c>
      <c r="B13" s="9">
        <v>588397.10222967481</v>
      </c>
      <c r="C13" s="9">
        <v>579028.44523224689</v>
      </c>
      <c r="D13" s="9">
        <v>584203.24738731969</v>
      </c>
      <c r="E13" s="9">
        <v>589337.03140099067</v>
      </c>
      <c r="F13" s="9">
        <v>604876.17402875039</v>
      </c>
      <c r="G13" s="9">
        <v>609260.66381251032</v>
      </c>
      <c r="H13" s="9">
        <v>618996.45991690643</v>
      </c>
      <c r="I13" s="9">
        <v>630341.80614689295</v>
      </c>
      <c r="J13" s="9">
        <v>647439.06487842184</v>
      </c>
      <c r="K13" s="9">
        <v>649441.71659783553</v>
      </c>
    </row>
    <row r="14" spans="1:11" x14ac:dyDescent="0.25">
      <c r="A14" s="10" t="s">
        <v>42</v>
      </c>
      <c r="B14" s="15">
        <f>SUM(B8:B13)</f>
        <v>139701927.33440134</v>
      </c>
      <c r="C14" s="15">
        <f t="shared" ref="C14:K14" si="0">SUM(C8:C13)</f>
        <v>141567511.89618233</v>
      </c>
      <c r="D14" s="15">
        <f t="shared" si="0"/>
        <v>154209330.69343218</v>
      </c>
      <c r="E14" s="15">
        <f t="shared" si="0"/>
        <v>166629506.66845545</v>
      </c>
      <c r="F14" s="15">
        <f t="shared" si="0"/>
        <v>170594917.24530494</v>
      </c>
      <c r="G14" s="15">
        <f t="shared" si="0"/>
        <v>184420028.00257495</v>
      </c>
      <c r="H14" s="15">
        <f t="shared" si="0"/>
        <v>195530194.08977893</v>
      </c>
      <c r="I14" s="15">
        <f t="shared" si="0"/>
        <v>206087035.67583522</v>
      </c>
      <c r="J14" s="15">
        <f t="shared" si="0"/>
        <v>216924450.17853159</v>
      </c>
      <c r="K14" s="15">
        <f t="shared" si="0"/>
        <v>230053144.53142339</v>
      </c>
    </row>
    <row r="15" spans="1:1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10" t="s">
        <v>43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 t="s">
        <v>37</v>
      </c>
      <c r="B17" s="9">
        <v>21351072.361380875</v>
      </c>
      <c r="C17" s="9">
        <v>22096942.683831442</v>
      </c>
      <c r="D17" s="9">
        <v>24748974.171204627</v>
      </c>
      <c r="E17" s="9">
        <v>27369913.562976487</v>
      </c>
      <c r="F17" s="9">
        <v>28206572.840539001</v>
      </c>
      <c r="G17" s="9">
        <v>31085910.714817401</v>
      </c>
      <c r="H17" s="9">
        <v>33525992.840054214</v>
      </c>
      <c r="I17" s="9">
        <v>35736682.013433203</v>
      </c>
      <c r="J17" s="9">
        <v>38040811.050844818</v>
      </c>
      <c r="K17" s="9">
        <v>40869472.633420855</v>
      </c>
    </row>
    <row r="18" spans="1:11" x14ac:dyDescent="0.25">
      <c r="A18" s="9" t="s">
        <v>38</v>
      </c>
      <c r="B18" s="9">
        <v>503117.03510523587</v>
      </c>
      <c r="C18" s="9">
        <v>512379.37561403215</v>
      </c>
      <c r="D18" s="9">
        <v>521826.93374356721</v>
      </c>
      <c r="E18" s="9">
        <v>531463.4596601408</v>
      </c>
      <c r="F18" s="9">
        <v>541323.10500708269</v>
      </c>
      <c r="G18" s="9">
        <v>551379.44474014523</v>
      </c>
      <c r="H18" s="9">
        <v>561636.40619199141</v>
      </c>
      <c r="I18" s="9">
        <v>572097.99276180286</v>
      </c>
      <c r="J18" s="9">
        <v>582768.29039108171</v>
      </c>
      <c r="K18" s="9">
        <v>593544.11296406481</v>
      </c>
    </row>
    <row r="19" spans="1:11" x14ac:dyDescent="0.25">
      <c r="A19" s="9" t="s">
        <v>44</v>
      </c>
      <c r="B19" s="9">
        <v>1917108811</v>
      </c>
      <c r="C19" s="9">
        <v>1922340339</v>
      </c>
      <c r="D19" s="9">
        <v>1915251414</v>
      </c>
      <c r="E19" s="9">
        <v>1904937541</v>
      </c>
      <c r="F19" s="9">
        <v>1905984803.76</v>
      </c>
      <c r="G19" s="9">
        <v>1900597228.02</v>
      </c>
      <c r="H19" s="9">
        <v>1894963358.4200001</v>
      </c>
      <c r="I19" s="9">
        <v>1892430847.9200001</v>
      </c>
      <c r="J19" s="9">
        <v>1891169633.6900001</v>
      </c>
      <c r="K19" s="9">
        <v>1892308182.28</v>
      </c>
    </row>
    <row r="20" spans="1:11" x14ac:dyDescent="0.25">
      <c r="A20" s="9" t="s">
        <v>45</v>
      </c>
      <c r="B20" s="9">
        <v>30175000</v>
      </c>
      <c r="C20" s="9">
        <v>30175000</v>
      </c>
      <c r="D20" s="9">
        <v>30175000</v>
      </c>
      <c r="E20" s="9">
        <v>30175000</v>
      </c>
      <c r="F20" s="9">
        <v>30175000</v>
      </c>
      <c r="G20" s="9">
        <v>30175000</v>
      </c>
      <c r="H20" s="9">
        <v>30175000</v>
      </c>
      <c r="I20" s="9">
        <v>30175000</v>
      </c>
      <c r="J20" s="9">
        <v>30175000</v>
      </c>
      <c r="K20" s="9">
        <v>30175000</v>
      </c>
    </row>
    <row r="21" spans="1:11" x14ac:dyDescent="0.25">
      <c r="A21" s="9" t="s">
        <v>46</v>
      </c>
      <c r="B21" s="9">
        <v>2871000</v>
      </c>
      <c r="C21" s="9">
        <v>2871000</v>
      </c>
      <c r="D21" s="9">
        <v>2871000</v>
      </c>
      <c r="E21" s="9">
        <v>2871000</v>
      </c>
      <c r="F21" s="9">
        <v>2871000</v>
      </c>
      <c r="G21" s="9">
        <v>2871000</v>
      </c>
      <c r="H21" s="9">
        <v>2871000</v>
      </c>
      <c r="I21" s="9">
        <v>2871000</v>
      </c>
      <c r="J21" s="9">
        <v>2871000</v>
      </c>
      <c r="K21" s="9">
        <v>2871000</v>
      </c>
    </row>
    <row r="22" spans="1:11" x14ac:dyDescent="0.25">
      <c r="A22" s="28" t="str">
        <f>'[1]Historical Data'!A875</f>
        <v>Inventories</v>
      </c>
      <c r="B22" s="9">
        <v>2853000</v>
      </c>
      <c r="C22" s="9">
        <v>2853000</v>
      </c>
      <c r="D22" s="9">
        <v>2853000</v>
      </c>
      <c r="E22" s="9">
        <v>2853000</v>
      </c>
      <c r="F22" s="9">
        <v>2853000</v>
      </c>
      <c r="G22" s="9">
        <v>2853000</v>
      </c>
      <c r="H22" s="9">
        <v>2853000</v>
      </c>
      <c r="I22" s="9">
        <v>2853000</v>
      </c>
      <c r="J22" s="9">
        <v>2853000</v>
      </c>
      <c r="K22" s="9">
        <v>2853000</v>
      </c>
    </row>
    <row r="23" spans="1:11" x14ac:dyDescent="0.25">
      <c r="A23" s="9" t="s">
        <v>41</v>
      </c>
      <c r="B23" s="9">
        <v>214000</v>
      </c>
      <c r="C23" s="9">
        <v>214000</v>
      </c>
      <c r="D23" s="9">
        <v>214000</v>
      </c>
      <c r="E23" s="9">
        <v>214000</v>
      </c>
      <c r="F23" s="9">
        <v>214000</v>
      </c>
      <c r="G23" s="9">
        <v>214000</v>
      </c>
      <c r="H23" s="9">
        <v>214000</v>
      </c>
      <c r="I23" s="9">
        <v>214000</v>
      </c>
      <c r="J23" s="9">
        <v>214000</v>
      </c>
      <c r="K23" s="9">
        <v>214000</v>
      </c>
    </row>
    <row r="24" spans="1:11" x14ac:dyDescent="0.25">
      <c r="A24" s="10" t="s">
        <v>47</v>
      </c>
      <c r="B24" s="15">
        <f>SUM(B17:B23)</f>
        <v>1975076000.396486</v>
      </c>
      <c r="C24" s="15">
        <f t="shared" ref="C24:K24" si="1">SUM(C17:C23)</f>
        <v>1981062661.0594454</v>
      </c>
      <c r="D24" s="15">
        <f t="shared" si="1"/>
        <v>1976635215.1049483</v>
      </c>
      <c r="E24" s="15">
        <f t="shared" si="1"/>
        <v>1968951918.0226367</v>
      </c>
      <c r="F24" s="15">
        <f t="shared" si="1"/>
        <v>1970845699.7055461</v>
      </c>
      <c r="G24" s="15">
        <f t="shared" si="1"/>
        <v>1968347518.1795576</v>
      </c>
      <c r="H24" s="15">
        <f t="shared" si="1"/>
        <v>1965163987.6662462</v>
      </c>
      <c r="I24" s="15">
        <f t="shared" si="1"/>
        <v>1964852627.9261951</v>
      </c>
      <c r="J24" s="15">
        <f t="shared" si="1"/>
        <v>1965906213.0312359</v>
      </c>
      <c r="K24" s="15">
        <f t="shared" si="1"/>
        <v>1969884199.0263848</v>
      </c>
    </row>
    <row r="25" spans="1:11" ht="15.75" thickBot="1" x14ac:dyDescent="0.3">
      <c r="A25" s="10" t="s">
        <v>48</v>
      </c>
      <c r="B25" s="16">
        <f>+B14+B24</f>
        <v>2114777927.7308874</v>
      </c>
      <c r="C25" s="16">
        <f t="shared" ref="C25:K25" si="2">+C14+C24</f>
        <v>2122630172.9556277</v>
      </c>
      <c r="D25" s="16">
        <f t="shared" si="2"/>
        <v>2130844545.7983804</v>
      </c>
      <c r="E25" s="16">
        <f t="shared" si="2"/>
        <v>2135581424.691092</v>
      </c>
      <c r="F25" s="16">
        <f t="shared" si="2"/>
        <v>2141440616.950851</v>
      </c>
      <c r="G25" s="16">
        <f t="shared" si="2"/>
        <v>2152767546.1821327</v>
      </c>
      <c r="H25" s="16">
        <f t="shared" si="2"/>
        <v>2160694181.7560253</v>
      </c>
      <c r="I25" s="16">
        <f t="shared" si="2"/>
        <v>2170939663.6020303</v>
      </c>
      <c r="J25" s="16">
        <f t="shared" si="2"/>
        <v>2182830663.2097673</v>
      </c>
      <c r="K25" s="16">
        <f t="shared" si="2"/>
        <v>2199937343.5578084</v>
      </c>
    </row>
    <row r="26" spans="1:1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A27" s="8" t="s">
        <v>49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25">
      <c r="A28" s="10" t="s">
        <v>50</v>
      </c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25">
      <c r="A29" s="9" t="s">
        <v>51</v>
      </c>
      <c r="B29" s="9">
        <v>20325322.282358009</v>
      </c>
      <c r="C29" s="9">
        <v>20624188.302686475</v>
      </c>
      <c r="D29" s="9">
        <v>20871610.771055631</v>
      </c>
      <c r="E29" s="9">
        <v>20573233.399285205</v>
      </c>
      <c r="F29" s="9">
        <v>20389773.092770465</v>
      </c>
      <c r="G29" s="9">
        <v>20626801.417006634</v>
      </c>
      <c r="H29" s="9">
        <v>20859962.483084314</v>
      </c>
      <c r="I29" s="9">
        <v>21201907.4351447</v>
      </c>
      <c r="J29" s="9">
        <v>21783166.539601382</v>
      </c>
      <c r="K29" s="9">
        <v>21817554.761193141</v>
      </c>
    </row>
    <row r="30" spans="1:11" x14ac:dyDescent="0.25">
      <c r="A30" s="28" t="s">
        <v>103</v>
      </c>
      <c r="B30" s="9">
        <v>4092131.7740908833</v>
      </c>
      <c r="C30" s="9">
        <v>1804117.7542607484</v>
      </c>
      <c r="D30" s="9">
        <v>1826580.4305380313</v>
      </c>
      <c r="E30" s="9">
        <v>1805885.1776991019</v>
      </c>
      <c r="F30" s="9">
        <v>1834864.2266516639</v>
      </c>
      <c r="G30" s="9">
        <v>2158721.2263757745</v>
      </c>
      <c r="H30" s="9">
        <v>1911909.0868697388</v>
      </c>
      <c r="I30" s="9">
        <v>1941147.363493531</v>
      </c>
      <c r="J30" s="9">
        <v>1948832.4894529292</v>
      </c>
      <c r="K30" s="9">
        <v>1976752.4585810062</v>
      </c>
    </row>
    <row r="31" spans="1:11" x14ac:dyDescent="0.25">
      <c r="A31" s="9" t="s">
        <v>52</v>
      </c>
      <c r="B31" s="9">
        <v>9899276.1959467493</v>
      </c>
      <c r="C31" s="9">
        <v>10119745.960530497</v>
      </c>
      <c r="D31" s="9">
        <v>10028414.817050125</v>
      </c>
      <c r="E31" s="9">
        <v>10173466.532125862</v>
      </c>
      <c r="F31" s="9">
        <v>9875104.1531181335</v>
      </c>
      <c r="G31" s="9">
        <v>9529146.3766932525</v>
      </c>
      <c r="H31" s="9">
        <v>9163305.1980706938</v>
      </c>
      <c r="I31" s="9">
        <v>7965364.9167261012</v>
      </c>
      <c r="J31" s="9">
        <v>4613735.14220367</v>
      </c>
      <c r="K31" s="9">
        <v>3857762.4161792509</v>
      </c>
    </row>
    <row r="32" spans="1:11" x14ac:dyDescent="0.25">
      <c r="A32" s="9" t="s">
        <v>53</v>
      </c>
      <c r="B32" s="9">
        <v>10821425.98121365</v>
      </c>
      <c r="C32" s="9">
        <v>10992000.675760427</v>
      </c>
      <c r="D32" s="9">
        <v>11165647.964803878</v>
      </c>
      <c r="E32" s="9">
        <v>11342428.133425899</v>
      </c>
      <c r="F32" s="9">
        <v>11522743.905420361</v>
      </c>
      <c r="G32" s="9">
        <v>11706665.979630886</v>
      </c>
      <c r="H32" s="9">
        <v>11894266.474517547</v>
      </c>
      <c r="I32" s="9">
        <v>12085618.976773856</v>
      </c>
      <c r="J32" s="9">
        <v>12280798.551050173</v>
      </c>
      <c r="K32" s="9">
        <v>12479881.681613309</v>
      </c>
    </row>
    <row r="33" spans="1:11" x14ac:dyDescent="0.25">
      <c r="A33" s="10" t="s">
        <v>54</v>
      </c>
      <c r="B33" s="15">
        <f>SUM(B29:B32)</f>
        <v>45138156.233609296</v>
      </c>
      <c r="C33" s="15">
        <f t="shared" ref="C33:K33" si="3">SUM(C29:C32)</f>
        <v>43540052.693238147</v>
      </c>
      <c r="D33" s="15">
        <f t="shared" si="3"/>
        <v>43892253.983447671</v>
      </c>
      <c r="E33" s="15">
        <f t="shared" si="3"/>
        <v>43895013.242536068</v>
      </c>
      <c r="F33" s="15">
        <f t="shared" si="3"/>
        <v>43622485.377960622</v>
      </c>
      <c r="G33" s="15">
        <f t="shared" si="3"/>
        <v>44021334.999706544</v>
      </c>
      <c r="H33" s="15">
        <f t="shared" si="3"/>
        <v>43829443.242542297</v>
      </c>
      <c r="I33" s="15">
        <f t="shared" si="3"/>
        <v>43194038.692138188</v>
      </c>
      <c r="J33" s="15">
        <f t="shared" si="3"/>
        <v>40626532.722308151</v>
      </c>
      <c r="K33" s="15">
        <f t="shared" si="3"/>
        <v>40131951.317566708</v>
      </c>
    </row>
    <row r="34" spans="1:1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x14ac:dyDescent="0.25">
      <c r="A35" s="10" t="s">
        <v>55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x14ac:dyDescent="0.25">
      <c r="A36" s="9" t="s">
        <v>104</v>
      </c>
      <c r="B36" s="9">
        <v>2917000</v>
      </c>
      <c r="C36" s="9">
        <v>2917000</v>
      </c>
      <c r="D36" s="9">
        <v>2917000</v>
      </c>
      <c r="E36" s="9">
        <v>2917000</v>
      </c>
      <c r="F36" s="9">
        <v>2917000</v>
      </c>
      <c r="G36" s="9">
        <v>2917000</v>
      </c>
      <c r="H36" s="9">
        <v>2917000</v>
      </c>
      <c r="I36" s="9">
        <v>2917000</v>
      </c>
      <c r="J36" s="9">
        <v>2917000</v>
      </c>
      <c r="K36" s="9">
        <v>2917000</v>
      </c>
    </row>
    <row r="37" spans="1:11" x14ac:dyDescent="0.25">
      <c r="A37" s="9" t="s">
        <v>52</v>
      </c>
      <c r="B37" s="9">
        <v>79765233</v>
      </c>
      <c r="C37" s="9">
        <v>76632486</v>
      </c>
      <c r="D37" s="9">
        <v>71354072</v>
      </c>
      <c r="E37" s="9">
        <v>61180606</v>
      </c>
      <c r="F37" s="9">
        <v>51305502</v>
      </c>
      <c r="G37" s="9">
        <v>41776356</v>
      </c>
      <c r="H37" s="9">
        <v>32613050</v>
      </c>
      <c r="I37" s="9">
        <v>24647685</v>
      </c>
      <c r="J37" s="9">
        <v>20033949</v>
      </c>
      <c r="K37" s="9">
        <v>16176188</v>
      </c>
    </row>
    <row r="38" spans="1:11" x14ac:dyDescent="0.25">
      <c r="A38" s="9" t="s">
        <v>53</v>
      </c>
      <c r="B38" s="9">
        <v>8951785.0187863503</v>
      </c>
      <c r="C38" s="9">
        <v>9042040.3242395725</v>
      </c>
      <c r="D38" s="9">
        <v>9132383.0351961218</v>
      </c>
      <c r="E38" s="9">
        <v>9222814.8665741012</v>
      </c>
      <c r="F38" s="9">
        <v>9313347.2745796405</v>
      </c>
      <c r="G38" s="9">
        <v>9403982.2703691162</v>
      </c>
      <c r="H38" s="9">
        <v>9494721.9054824561</v>
      </c>
      <c r="I38" s="9">
        <v>9585568.2732261475</v>
      </c>
      <c r="J38" s="9">
        <v>9676523.5089498293</v>
      </c>
      <c r="K38" s="9">
        <v>9767589.7883866914</v>
      </c>
    </row>
    <row r="39" spans="1:11" x14ac:dyDescent="0.25">
      <c r="A39" s="10" t="s">
        <v>56</v>
      </c>
      <c r="B39" s="15">
        <f>SUM(B36:B38)</f>
        <v>91634018.018786356</v>
      </c>
      <c r="C39" s="15">
        <f t="shared" ref="C39:K39" si="4">SUM(C36:C38)</f>
        <v>88591526.324239567</v>
      </c>
      <c r="D39" s="15">
        <f t="shared" si="4"/>
        <v>83403455.035196126</v>
      </c>
      <c r="E39" s="15">
        <f t="shared" si="4"/>
        <v>73320420.866574109</v>
      </c>
      <c r="F39" s="15">
        <f t="shared" si="4"/>
        <v>63535849.274579644</v>
      </c>
      <c r="G39" s="15">
        <f t="shared" si="4"/>
        <v>54097338.270369112</v>
      </c>
      <c r="H39" s="15">
        <f t="shared" si="4"/>
        <v>45024771.905482456</v>
      </c>
      <c r="I39" s="15">
        <f t="shared" si="4"/>
        <v>37150253.273226149</v>
      </c>
      <c r="J39" s="15">
        <f t="shared" si="4"/>
        <v>32627472.508949831</v>
      </c>
      <c r="K39" s="15">
        <f t="shared" si="4"/>
        <v>28860777.788386691</v>
      </c>
    </row>
    <row r="40" spans="1:11" ht="15.75" thickBot="1" x14ac:dyDescent="0.3">
      <c r="A40" s="10" t="s">
        <v>57</v>
      </c>
      <c r="B40" s="16">
        <f>+B33+B39</f>
        <v>136772174.25239566</v>
      </c>
      <c r="C40" s="16">
        <f t="shared" ref="C40:K40" si="5">+C33+C39</f>
        <v>132131579.01747772</v>
      </c>
      <c r="D40" s="16">
        <f t="shared" si="5"/>
        <v>127295709.0186438</v>
      </c>
      <c r="E40" s="16">
        <f t="shared" si="5"/>
        <v>117215434.10911018</v>
      </c>
      <c r="F40" s="16">
        <f t="shared" si="5"/>
        <v>107158334.65254027</v>
      </c>
      <c r="G40" s="16">
        <f t="shared" si="5"/>
        <v>98118673.270075649</v>
      </c>
      <c r="H40" s="16">
        <f t="shared" si="5"/>
        <v>88854215.148024753</v>
      </c>
      <c r="I40" s="16">
        <f t="shared" si="5"/>
        <v>80344291.965364337</v>
      </c>
      <c r="J40" s="16">
        <f t="shared" si="5"/>
        <v>73254005.231257975</v>
      </c>
      <c r="K40" s="16">
        <f t="shared" si="5"/>
        <v>68992729.105953395</v>
      </c>
    </row>
    <row r="41" spans="1:11" ht="15.75" thickBot="1" x14ac:dyDescent="0.3">
      <c r="A41" s="8" t="s">
        <v>58</v>
      </c>
      <c r="B41" s="17">
        <f>+B25-B40</f>
        <v>1978005753.4784918</v>
      </c>
      <c r="C41" s="17">
        <f t="shared" ref="C41:K41" si="6">+C25-C40</f>
        <v>1990498593.9381499</v>
      </c>
      <c r="D41" s="17">
        <f t="shared" si="6"/>
        <v>2003548836.7797365</v>
      </c>
      <c r="E41" s="17">
        <f t="shared" si="6"/>
        <v>2018365990.5819819</v>
      </c>
      <c r="F41" s="17">
        <f t="shared" si="6"/>
        <v>2034282282.2983108</v>
      </c>
      <c r="G41" s="17">
        <f t="shared" si="6"/>
        <v>2054648872.9120572</v>
      </c>
      <c r="H41" s="17">
        <f t="shared" si="6"/>
        <v>2071839966.6080005</v>
      </c>
      <c r="I41" s="17">
        <f t="shared" si="6"/>
        <v>2090595371.6366658</v>
      </c>
      <c r="J41" s="17">
        <f t="shared" si="6"/>
        <v>2109576657.9785094</v>
      </c>
      <c r="K41" s="17">
        <f t="shared" si="6"/>
        <v>2130944614.4518549</v>
      </c>
    </row>
    <row r="42" spans="1:11" ht="15.75" thickTop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x14ac:dyDescent="0.25">
      <c r="A43" s="8" t="s">
        <v>59</v>
      </c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x14ac:dyDescent="0.25">
      <c r="A44" s="9" t="s">
        <v>60</v>
      </c>
      <c r="B44" s="9">
        <v>1303313753.3980806</v>
      </c>
      <c r="C44" s="9">
        <f>1315806592.81827+1</f>
        <v>1315806593.81827</v>
      </c>
      <c r="D44" s="9">
        <f>1328856836.47691+1</f>
        <v>1328856837.4769101</v>
      </c>
      <c r="E44" s="9">
        <v>1343673990.8112774</v>
      </c>
      <c r="F44" s="9">
        <f>1359590282.68072-1</f>
        <v>1359590281.6807201</v>
      </c>
      <c r="G44" s="9">
        <f>1379956873.67116-1</f>
        <v>1379956872.67116</v>
      </c>
      <c r="H44" s="9">
        <v>1397147966.5651777</v>
      </c>
      <c r="I44" s="9">
        <v>1415903371.5105696</v>
      </c>
      <c r="J44" s="9">
        <f>1434884656.99462+1</f>
        <v>1434884657.9946201</v>
      </c>
      <c r="K44" s="9">
        <f>1456252614.88414-1</f>
        <v>1456252613.88414</v>
      </c>
    </row>
    <row r="45" spans="1:11" x14ac:dyDescent="0.25">
      <c r="A45" s="9" t="s">
        <v>61</v>
      </c>
      <c r="B45" s="9">
        <v>674011000</v>
      </c>
      <c r="C45" s="9">
        <v>674011000</v>
      </c>
      <c r="D45" s="9">
        <v>674011000</v>
      </c>
      <c r="E45" s="9">
        <v>674011000</v>
      </c>
      <c r="F45" s="9">
        <v>674011000</v>
      </c>
      <c r="G45" s="9">
        <v>674011000</v>
      </c>
      <c r="H45" s="9">
        <v>674011000</v>
      </c>
      <c r="I45" s="9">
        <v>674011000</v>
      </c>
      <c r="J45" s="9">
        <v>674011000</v>
      </c>
      <c r="K45" s="9">
        <v>674011000</v>
      </c>
    </row>
    <row r="46" spans="1:11" x14ac:dyDescent="0.25">
      <c r="A46" s="9" t="s">
        <v>62</v>
      </c>
      <c r="B46" s="15">
        <f>SUM(B44:B45)</f>
        <v>1977324753.3980806</v>
      </c>
      <c r="C46" s="15">
        <f t="shared" ref="C46:K46" si="7">SUM(C44:C45)</f>
        <v>1989817593.81827</v>
      </c>
      <c r="D46" s="15">
        <f t="shared" si="7"/>
        <v>2002867837.4769101</v>
      </c>
      <c r="E46" s="15">
        <f t="shared" si="7"/>
        <v>2017684990.8112774</v>
      </c>
      <c r="F46" s="15">
        <f t="shared" si="7"/>
        <v>2033601281.6807201</v>
      </c>
      <c r="G46" s="15">
        <f t="shared" si="7"/>
        <v>2053967872.67116</v>
      </c>
      <c r="H46" s="15">
        <f t="shared" si="7"/>
        <v>2071158966.5651777</v>
      </c>
      <c r="I46" s="15">
        <f t="shared" si="7"/>
        <v>2089914371.5105696</v>
      </c>
      <c r="J46" s="15">
        <f t="shared" si="7"/>
        <v>2108895657.9946201</v>
      </c>
      <c r="K46" s="15">
        <f t="shared" si="7"/>
        <v>2130263613.88414</v>
      </c>
    </row>
    <row r="47" spans="1:11" x14ac:dyDescent="0.25">
      <c r="A47" s="9" t="s">
        <v>63</v>
      </c>
      <c r="B47" s="9">
        <v>681000</v>
      </c>
      <c r="C47" s="9">
        <v>681000</v>
      </c>
      <c r="D47" s="9">
        <v>681000</v>
      </c>
      <c r="E47" s="9">
        <v>681000</v>
      </c>
      <c r="F47" s="9">
        <v>681000</v>
      </c>
      <c r="G47" s="9">
        <v>681000</v>
      </c>
      <c r="H47" s="9">
        <v>681000</v>
      </c>
      <c r="I47" s="9">
        <v>681000</v>
      </c>
      <c r="J47" s="9">
        <v>681000</v>
      </c>
      <c r="K47" s="9">
        <v>681000</v>
      </c>
    </row>
    <row r="48" spans="1:11" ht="15.75" thickBot="1" x14ac:dyDescent="0.3">
      <c r="A48" s="8" t="s">
        <v>64</v>
      </c>
      <c r="B48" s="17">
        <f>SUM(B46:B47)</f>
        <v>1978005753.3980806</v>
      </c>
      <c r="C48" s="17">
        <f t="shared" ref="C48:K48" si="8">SUM(C46:C47)</f>
        <v>1990498593.81827</v>
      </c>
      <c r="D48" s="17">
        <f t="shared" si="8"/>
        <v>2003548837.4769101</v>
      </c>
      <c r="E48" s="17">
        <f t="shared" si="8"/>
        <v>2018365990.8112774</v>
      </c>
      <c r="F48" s="17">
        <f t="shared" si="8"/>
        <v>2034282281.6807201</v>
      </c>
      <c r="G48" s="17">
        <f t="shared" si="8"/>
        <v>2054648872.67116</v>
      </c>
      <c r="H48" s="17">
        <f t="shared" si="8"/>
        <v>2071839966.5651777</v>
      </c>
      <c r="I48" s="17">
        <f t="shared" si="8"/>
        <v>2090595371.5105696</v>
      </c>
      <c r="J48" s="17">
        <f t="shared" si="8"/>
        <v>2109576657.9946201</v>
      </c>
      <c r="K48" s="17">
        <f t="shared" si="8"/>
        <v>2130944613.88414</v>
      </c>
    </row>
    <row r="49" ht="15.75" thickTop="1" x14ac:dyDescent="0.25"/>
  </sheetData>
  <mergeCells count="1">
    <mergeCell ref="B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DFD6A-D9A1-460E-B449-87A267AE2836}">
  <dimension ref="A1:K54"/>
  <sheetViews>
    <sheetView topLeftCell="A28" workbookViewId="0">
      <selection activeCell="A54" sqref="A54"/>
    </sheetView>
  </sheetViews>
  <sheetFormatPr defaultRowHeight="15" x14ac:dyDescent="0.25"/>
  <cols>
    <col min="1" max="1" width="59.7109375" bestFit="1" customWidth="1"/>
    <col min="2" max="2" width="13.140625" customWidth="1"/>
    <col min="3" max="11" width="12.5703125" bestFit="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65</v>
      </c>
      <c r="B3" s="159" t="s">
        <v>2</v>
      </c>
      <c r="C3" s="159"/>
      <c r="D3" s="159"/>
      <c r="E3" s="159"/>
      <c r="F3" s="159"/>
      <c r="G3" s="159"/>
      <c r="H3" s="159"/>
      <c r="I3" s="159"/>
      <c r="J3" s="159"/>
      <c r="K3" s="159"/>
    </row>
    <row r="4" spans="1:11" x14ac:dyDescent="0.25">
      <c r="A4" s="1" t="s">
        <v>101</v>
      </c>
      <c r="B4" s="4" t="str">
        <f>Starting_year&amp;"/"&amp;RIGHT(Starting_year+1,2)</f>
        <v>2021/22</v>
      </c>
      <c r="C4" s="5" t="str">
        <f>Starting_year+1&amp;"/"&amp;RIGHT(Starting_year+2,2)</f>
        <v>2022/23</v>
      </c>
      <c r="D4" s="5" t="str">
        <f>Starting_year+2&amp;"/"&amp;RIGHT(Starting_year+3,2)</f>
        <v>2023/24</v>
      </c>
      <c r="E4" s="5" t="str">
        <f>Starting_year+3&amp;"/"&amp;RIGHT(Starting_year+4,2)</f>
        <v>2024/25</v>
      </c>
      <c r="F4" s="5" t="str">
        <f>Starting_year+4&amp;"/"&amp;RIGHT(Starting_year+5,2)</f>
        <v>2025/26</v>
      </c>
      <c r="G4" s="5" t="str">
        <f>Starting_year+5&amp;"/"&amp;RIGHT(Starting_year+6,2)</f>
        <v>2026/27</v>
      </c>
      <c r="H4" s="5" t="str">
        <f>Starting_year+6&amp;"/"&amp;RIGHT(Starting_year+7,2)</f>
        <v>2027/28</v>
      </c>
      <c r="I4" s="5" t="str">
        <f>Starting_year+7&amp;"/"&amp;RIGHT(Starting_year+8,2)</f>
        <v>2028/29</v>
      </c>
      <c r="J4" s="5" t="str">
        <f>Starting_year+8&amp;"/"&amp;RIGHT(Starting_year+9,2)</f>
        <v>2029/30</v>
      </c>
      <c r="K4" s="5" t="str">
        <f>Starting_year+9&amp;"/"&amp;RIGHT(Starting_year+10,2)</f>
        <v>2030/31</v>
      </c>
    </row>
    <row r="5" spans="1:11" ht="15.75" thickBot="1" x14ac:dyDescent="0.3">
      <c r="A5" s="6"/>
      <c r="B5" s="7" t="s">
        <v>12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12</v>
      </c>
      <c r="H5" s="7" t="s">
        <v>12</v>
      </c>
      <c r="I5" s="7" t="s">
        <v>12</v>
      </c>
      <c r="J5" s="7" t="s">
        <v>12</v>
      </c>
      <c r="K5" s="7" t="s">
        <v>12</v>
      </c>
    </row>
    <row r="6" spans="1:11" x14ac:dyDescent="0.25">
      <c r="A6" s="8" t="s">
        <v>66</v>
      </c>
      <c r="B6" s="9"/>
      <c r="C6" s="11"/>
      <c r="D6" s="9"/>
      <c r="E6" s="9"/>
      <c r="F6" s="9"/>
      <c r="G6" s="9"/>
      <c r="H6" s="9"/>
      <c r="I6" s="9"/>
      <c r="J6" s="9"/>
      <c r="K6" s="9"/>
    </row>
    <row r="7" spans="1:11" x14ac:dyDescent="0.25">
      <c r="A7" s="10" t="s">
        <v>67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9" t="s">
        <v>15</v>
      </c>
      <c r="B8" s="9">
        <v>75174886.241709217</v>
      </c>
      <c r="C8" s="9">
        <v>77621957.659486115</v>
      </c>
      <c r="D8" s="9">
        <v>79257822.811902583</v>
      </c>
      <c r="E8" s="9">
        <v>80842982.339100599</v>
      </c>
      <c r="F8" s="9">
        <v>82462937.363143772</v>
      </c>
      <c r="G8" s="9">
        <v>84115288.130165815</v>
      </c>
      <c r="H8" s="9">
        <v>85800633.624093562</v>
      </c>
      <c r="I8" s="9">
        <v>87519632.831396669</v>
      </c>
      <c r="J8" s="9">
        <v>89272958.150318623</v>
      </c>
      <c r="K8" s="9">
        <v>91050357.234244987</v>
      </c>
    </row>
    <row r="9" spans="1:11" x14ac:dyDescent="0.25">
      <c r="A9" s="9" t="s">
        <v>16</v>
      </c>
      <c r="B9" s="9">
        <v>41216485.039588004</v>
      </c>
      <c r="C9" s="9">
        <v>44039293.689544477</v>
      </c>
      <c r="D9" s="9">
        <v>44291417.298870251</v>
      </c>
      <c r="E9" s="9">
        <v>45197149.803041846</v>
      </c>
      <c r="F9" s="9">
        <v>45881780.084428996</v>
      </c>
      <c r="G9" s="9">
        <v>46780959.809895858</v>
      </c>
      <c r="H9" s="9">
        <v>45478345.528398812</v>
      </c>
      <c r="I9" s="9">
        <v>46092885.775274113</v>
      </c>
      <c r="J9" s="9">
        <v>46911489.344611742</v>
      </c>
      <c r="K9" s="9">
        <v>47724859.553044342</v>
      </c>
    </row>
    <row r="10" spans="1:11" x14ac:dyDescent="0.25">
      <c r="A10" s="9" t="s">
        <v>68</v>
      </c>
      <c r="B10" s="9">
        <v>1471381.5729298154</v>
      </c>
      <c r="C10" s="9">
        <v>1109033.5105989557</v>
      </c>
      <c r="D10" s="9">
        <v>1003924.4554766724</v>
      </c>
      <c r="E10" s="9">
        <v>1072517.6196900501</v>
      </c>
      <c r="F10" s="9">
        <v>1623427.5591664424</v>
      </c>
      <c r="G10" s="9">
        <v>1874789.2770776537</v>
      </c>
      <c r="H10" s="9">
        <v>2188934.4451302947</v>
      </c>
      <c r="I10" s="9">
        <v>2397938.9451167877</v>
      </c>
      <c r="J10" s="9">
        <v>2745663.2442715745</v>
      </c>
      <c r="K10" s="9">
        <v>2760354.7512826854</v>
      </c>
    </row>
    <row r="11" spans="1:11" x14ac:dyDescent="0.25">
      <c r="A11" s="9" t="s">
        <v>69</v>
      </c>
      <c r="B11" s="9">
        <v>54506136.461439341</v>
      </c>
      <c r="C11" s="9">
        <v>25878921.213435255</v>
      </c>
      <c r="D11" s="9">
        <v>26278959.976528168</v>
      </c>
      <c r="E11" s="9">
        <v>26074247.26759227</v>
      </c>
      <c r="F11" s="9">
        <v>26517915.698617563</v>
      </c>
      <c r="G11" s="9">
        <v>30731000.527020458</v>
      </c>
      <c r="H11" s="9">
        <v>27557193.653434064</v>
      </c>
      <c r="I11" s="9">
        <v>28063816.078054599</v>
      </c>
      <c r="J11" s="9">
        <v>28227771.126176797</v>
      </c>
      <c r="K11" s="9">
        <v>28657876.597074997</v>
      </c>
    </row>
    <row r="12" spans="1:11" x14ac:dyDescent="0.25">
      <c r="A12" s="9" t="s">
        <v>40</v>
      </c>
      <c r="B12" s="9">
        <v>4186345.1081459117</v>
      </c>
      <c r="C12" s="9">
        <v>7938057.0045544067</v>
      </c>
      <c r="D12" s="9">
        <v>9028989.5175077897</v>
      </c>
      <c r="E12" s="9">
        <v>9208556.0554698538</v>
      </c>
      <c r="F12" s="9">
        <v>9387178.2711591702</v>
      </c>
      <c r="G12" s="9">
        <v>9551612.1752398703</v>
      </c>
      <c r="H12" s="9">
        <v>9852274.5259893667</v>
      </c>
      <c r="I12" s="9">
        <v>9965581.4989753384</v>
      </c>
      <c r="J12" s="9">
        <v>10166772.167115536</v>
      </c>
      <c r="K12" s="9">
        <v>10368363.133681556</v>
      </c>
    </row>
    <row r="13" spans="1:11" x14ac:dyDescent="0.25">
      <c r="A13" s="10" t="s">
        <v>70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5">
      <c r="A14" s="9" t="s">
        <v>23</v>
      </c>
      <c r="B14" s="9">
        <v>-54377761.753330626</v>
      </c>
      <c r="C14" s="9">
        <v>-55709053.700292632</v>
      </c>
      <c r="D14" s="9">
        <v>-57080898.502937041</v>
      </c>
      <c r="E14" s="9">
        <v>-58484418.015634969</v>
      </c>
      <c r="F14" s="9">
        <v>-59894258.853324406</v>
      </c>
      <c r="G14" s="9">
        <v>-61091344.206402659</v>
      </c>
      <c r="H14" s="9">
        <v>-62312370.999971606</v>
      </c>
      <c r="I14" s="9">
        <v>-63557819.013591029</v>
      </c>
      <c r="J14" s="9">
        <v>-64828174.692308217</v>
      </c>
      <c r="K14" s="9">
        <v>-66128529.367368512</v>
      </c>
    </row>
    <row r="15" spans="1:11" x14ac:dyDescent="0.25">
      <c r="A15" s="9" t="s">
        <v>25</v>
      </c>
      <c r="B15" s="9">
        <v>-38478653.301143423</v>
      </c>
      <c r="C15" s="9">
        <v>-36189807.041535273</v>
      </c>
      <c r="D15" s="9">
        <v>-37143702.462252818</v>
      </c>
      <c r="E15" s="9">
        <v>-37278017.965637773</v>
      </c>
      <c r="F15" s="9">
        <v>-40213320.597000964</v>
      </c>
      <c r="G15" s="9">
        <v>-41615977.815129817</v>
      </c>
      <c r="H15" s="9">
        <v>-41468125.213130772</v>
      </c>
      <c r="I15" s="9">
        <v>-42156549.877531886</v>
      </c>
      <c r="J15" s="9">
        <v>-43450679.691741318</v>
      </c>
      <c r="K15" s="9">
        <v>-43726696.297993757</v>
      </c>
    </row>
    <row r="16" spans="1:11" x14ac:dyDescent="0.25">
      <c r="A16" s="9" t="s">
        <v>24</v>
      </c>
      <c r="B16" s="9">
        <v>-3837646.8042818354</v>
      </c>
      <c r="C16" s="9">
        <v>-3683894.0851667998</v>
      </c>
      <c r="D16" s="9">
        <v>-3352717.6098488308</v>
      </c>
      <c r="E16" s="9">
        <v>-3015533.4245313341</v>
      </c>
      <c r="F16" s="9">
        <v>-2565876.6273730593</v>
      </c>
      <c r="G16" s="9">
        <v>-2113422.2888699169</v>
      </c>
      <c r="H16" s="9">
        <v>-1675167.9916575719</v>
      </c>
      <c r="I16" s="9">
        <v>-1235210.0738988277</v>
      </c>
      <c r="J16" s="9">
        <v>-802738.63115670974</v>
      </c>
      <c r="K16" s="9">
        <v>-580227.41484311898</v>
      </c>
    </row>
    <row r="17" spans="1:11" x14ac:dyDescent="0.25">
      <c r="A17" s="9" t="s">
        <v>40</v>
      </c>
      <c r="B17" s="9">
        <v>-11184550.180023903</v>
      </c>
      <c r="C17" s="9">
        <v>-11654878.163406387</v>
      </c>
      <c r="D17" s="9">
        <v>-11823459.793379422</v>
      </c>
      <c r="E17" s="9">
        <v>-11975672.732784361</v>
      </c>
      <c r="F17" s="9">
        <v>-12631698.435858637</v>
      </c>
      <c r="G17" s="9">
        <v>-12537600.814172301</v>
      </c>
      <c r="H17" s="9">
        <v>-12760366.705774365</v>
      </c>
      <c r="I17" s="9">
        <v>-13035825.691902906</v>
      </c>
      <c r="J17" s="9">
        <v>-13757992.385596214</v>
      </c>
      <c r="K17" s="9">
        <v>-13634795.576489577</v>
      </c>
    </row>
    <row r="18" spans="1:1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5">
      <c r="A19" s="10" t="s">
        <v>71</v>
      </c>
      <c r="B19" s="15">
        <f>SUM(B8:B17)</f>
        <v>68676622.38503252</v>
      </c>
      <c r="C19" s="15">
        <f t="shared" ref="C19:K19" si="0">SUM(C8:C17)</f>
        <v>49349630.087218136</v>
      </c>
      <c r="D19" s="15">
        <f t="shared" si="0"/>
        <v>50460335.691867322</v>
      </c>
      <c r="E19" s="15">
        <f t="shared" si="0"/>
        <v>51641810.946306162</v>
      </c>
      <c r="F19" s="15">
        <f t="shared" si="0"/>
        <v>50568084.462958872</v>
      </c>
      <c r="G19" s="15">
        <f t="shared" si="0"/>
        <v>55695304.794824958</v>
      </c>
      <c r="H19" s="15">
        <f t="shared" si="0"/>
        <v>52661350.866511777</v>
      </c>
      <c r="I19" s="15">
        <f t="shared" si="0"/>
        <v>54054450.471892856</v>
      </c>
      <c r="J19" s="15">
        <f t="shared" si="0"/>
        <v>54485068.631691813</v>
      </c>
      <c r="K19" s="15">
        <f t="shared" si="0"/>
        <v>56491562.612633608</v>
      </c>
    </row>
    <row r="20" spans="1:1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25">
      <c r="A21" s="8" t="s">
        <v>72</v>
      </c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x14ac:dyDescent="0.25">
      <c r="A22" s="10" t="s">
        <v>67</v>
      </c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x14ac:dyDescent="0.25">
      <c r="A23" s="11" t="s">
        <v>73</v>
      </c>
      <c r="B23" s="9">
        <v>27821142.433963887</v>
      </c>
      <c r="C23" s="9">
        <v>0</v>
      </c>
      <c r="D23" s="9">
        <v>0</v>
      </c>
      <c r="E23" s="9">
        <v>0</v>
      </c>
      <c r="F23" s="9">
        <v>5991985.0970504992</v>
      </c>
      <c r="G23" s="9">
        <v>0</v>
      </c>
      <c r="H23" s="9">
        <v>0</v>
      </c>
      <c r="I23" s="9">
        <v>0</v>
      </c>
      <c r="J23" s="9">
        <v>0</v>
      </c>
      <c r="K23" s="9">
        <v>2885986.1585429199</v>
      </c>
    </row>
    <row r="24" spans="1:11" x14ac:dyDescent="0.25">
      <c r="A24" s="9" t="s">
        <v>74</v>
      </c>
      <c r="B24" s="9">
        <v>3151773.2781337607</v>
      </c>
      <c r="C24" s="9">
        <v>4742473.4895875053</v>
      </c>
      <c r="D24" s="9">
        <v>4941442.8416099316</v>
      </c>
      <c r="E24" s="9">
        <v>4846885.5716860238</v>
      </c>
      <c r="F24" s="9">
        <v>4816990.9875851022</v>
      </c>
      <c r="G24" s="9">
        <v>3057692.6257509012</v>
      </c>
      <c r="H24" s="9">
        <v>1409092.8948738487</v>
      </c>
      <c r="I24" s="9">
        <v>1400842.0050060072</v>
      </c>
      <c r="J24" s="9">
        <v>1400842.9949939928</v>
      </c>
      <c r="K24" s="9">
        <v>1400842.0050060072</v>
      </c>
    </row>
    <row r="25" spans="1:11" x14ac:dyDescent="0.25">
      <c r="A25" s="10" t="s">
        <v>70</v>
      </c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25">
      <c r="A26" s="11" t="s">
        <v>75</v>
      </c>
      <c r="B26" s="9">
        <v>0</v>
      </c>
      <c r="C26" s="9">
        <v>-4107031.8713373924</v>
      </c>
      <c r="D26" s="9">
        <v>-14462030.283623114</v>
      </c>
      <c r="E26" s="9">
        <v>-14273445.908418564</v>
      </c>
      <c r="F26" s="9">
        <v>-10286317.58600813</v>
      </c>
      <c r="G26" s="9">
        <v>-15632713.256021272</v>
      </c>
      <c r="H26" s="9">
        <v>-13295581.635075077</v>
      </c>
      <c r="I26" s="9">
        <v>-12037989.374607427</v>
      </c>
      <c r="J26" s="9">
        <v>-12440095.531460693</v>
      </c>
      <c r="K26" s="9">
        <v>-18030475.32884296</v>
      </c>
    </row>
    <row r="27" spans="1:11" x14ac:dyDescent="0.25">
      <c r="A27" s="9" t="s">
        <v>76</v>
      </c>
      <c r="B27" s="9">
        <v>-103370622</v>
      </c>
      <c r="C27" s="9">
        <v>-46967487</v>
      </c>
      <c r="D27" s="9">
        <v>-35199181</v>
      </c>
      <c r="E27" s="9">
        <v>-31820850</v>
      </c>
      <c r="F27" s="9">
        <v>-40807165.340000004</v>
      </c>
      <c r="G27" s="9">
        <v>-32844341.210000001</v>
      </c>
      <c r="H27" s="9">
        <v>-30904803.399999991</v>
      </c>
      <c r="I27" s="9">
        <v>-33945331.510000005</v>
      </c>
      <c r="J27" s="9">
        <v>-35161474.370000005</v>
      </c>
      <c r="K27" s="9">
        <v>-37745860.07</v>
      </c>
    </row>
    <row r="28" spans="1:11" x14ac:dyDescent="0.25">
      <c r="A28" s="10" t="s">
        <v>77</v>
      </c>
      <c r="B28" s="15">
        <f>SUM(B23:B27)</f>
        <v>-72397706.287902355</v>
      </c>
      <c r="C28" s="15">
        <f t="shared" ref="C28:K28" si="1">SUM(C23:C27)</f>
        <v>-46332045.381749883</v>
      </c>
      <c r="D28" s="15">
        <f t="shared" si="1"/>
        <v>-44719768.442013182</v>
      </c>
      <c r="E28" s="15">
        <f t="shared" si="1"/>
        <v>-41247410.336732537</v>
      </c>
      <c r="F28" s="15">
        <f t="shared" si="1"/>
        <v>-40284506.841372535</v>
      </c>
      <c r="G28" s="15">
        <f t="shared" si="1"/>
        <v>-45419361.84027037</v>
      </c>
      <c r="H28" s="15">
        <f t="shared" si="1"/>
        <v>-42791292.140201218</v>
      </c>
      <c r="I28" s="15">
        <f t="shared" si="1"/>
        <v>-44582478.879601426</v>
      </c>
      <c r="J28" s="15">
        <f t="shared" si="1"/>
        <v>-46200726.906466708</v>
      </c>
      <c r="K28" s="15">
        <f t="shared" si="1"/>
        <v>-51489507.235294029</v>
      </c>
    </row>
    <row r="29" spans="1:1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8" t="s">
        <v>78</v>
      </c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5">
      <c r="A31" s="10" t="s">
        <v>67</v>
      </c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x14ac:dyDescent="0.25">
      <c r="A32" s="9" t="s">
        <v>79</v>
      </c>
      <c r="B32" s="9">
        <v>11507540</v>
      </c>
      <c r="C32" s="9">
        <v>6987000</v>
      </c>
      <c r="D32" s="9">
        <v>4750000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</row>
    <row r="33" spans="1:11" x14ac:dyDescent="0.25">
      <c r="A33" s="10" t="s">
        <v>70</v>
      </c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x14ac:dyDescent="0.25">
      <c r="A34" s="9" t="s">
        <v>80</v>
      </c>
      <c r="B34" s="9">
        <v>-8499818.7236420512</v>
      </c>
      <c r="C34" s="9">
        <v>-9899276.1959467493</v>
      </c>
      <c r="D34" s="9">
        <v>-10119745.960530497</v>
      </c>
      <c r="E34" s="9">
        <v>-10028414.817050125</v>
      </c>
      <c r="F34" s="9">
        <v>-10173466.532125862</v>
      </c>
      <c r="G34" s="9">
        <v>-9875104.1531181335</v>
      </c>
      <c r="H34" s="9">
        <v>-9529146.3766932525</v>
      </c>
      <c r="I34" s="9">
        <v>-9163305.1980706938</v>
      </c>
      <c r="J34" s="9">
        <v>-7965364.9167261012</v>
      </c>
      <c r="K34" s="9">
        <v>-4613735.14220367</v>
      </c>
    </row>
    <row r="35" spans="1:1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x14ac:dyDescent="0.25">
      <c r="A36" s="10" t="s">
        <v>81</v>
      </c>
      <c r="B36" s="15">
        <f>SUM(B32:B34)</f>
        <v>3007721.2763579488</v>
      </c>
      <c r="C36" s="15">
        <f t="shared" ref="C36:K36" si="2">SUM(C32:C34)</f>
        <v>-2912276.1959467493</v>
      </c>
      <c r="D36" s="15">
        <f t="shared" si="2"/>
        <v>-5369745.9605304971</v>
      </c>
      <c r="E36" s="15">
        <f t="shared" si="2"/>
        <v>-10028414.817050125</v>
      </c>
      <c r="F36" s="15">
        <f t="shared" si="2"/>
        <v>-10173466.532125862</v>
      </c>
      <c r="G36" s="15">
        <f t="shared" si="2"/>
        <v>-9875104.1531181335</v>
      </c>
      <c r="H36" s="15">
        <f t="shared" si="2"/>
        <v>-9529146.3766932525</v>
      </c>
      <c r="I36" s="15">
        <f t="shared" si="2"/>
        <v>-9163305.1980706938</v>
      </c>
      <c r="J36" s="15">
        <f t="shared" si="2"/>
        <v>-7965364.9167261012</v>
      </c>
      <c r="K36" s="15">
        <f t="shared" si="2"/>
        <v>-4613735.14220367</v>
      </c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x14ac:dyDescent="0.25">
      <c r="A38" s="10" t="s">
        <v>82</v>
      </c>
      <c r="B38" s="9">
        <f>+B19+B28+B36</f>
        <v>-713362.62651188672</v>
      </c>
      <c r="C38" s="9">
        <f t="shared" ref="C38:K38" si="3">+C19+C28+C36</f>
        <v>105308.509521503</v>
      </c>
      <c r="D38" s="9">
        <f t="shared" si="3"/>
        <v>370821.28932364285</v>
      </c>
      <c r="E38" s="9">
        <f t="shared" si="3"/>
        <v>365985.79252349958</v>
      </c>
      <c r="F38" s="9">
        <f t="shared" si="3"/>
        <v>110111.08946047537</v>
      </c>
      <c r="G38" s="9">
        <f t="shared" si="3"/>
        <v>400838.80143645406</v>
      </c>
      <c r="H38" s="9">
        <f t="shared" si="3"/>
        <v>340912.34961730614</v>
      </c>
      <c r="I38" s="9">
        <f t="shared" si="3"/>
        <v>308666.39422073588</v>
      </c>
      <c r="J38" s="9">
        <f t="shared" si="3"/>
        <v>318976.80849900469</v>
      </c>
      <c r="K38" s="9">
        <f t="shared" si="3"/>
        <v>388320.23513590917</v>
      </c>
    </row>
    <row r="39" spans="1:11" x14ac:dyDescent="0.25">
      <c r="A39" s="11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x14ac:dyDescent="0.25">
      <c r="A40" s="10" t="s">
        <v>83</v>
      </c>
      <c r="B40" s="9">
        <v>3700687.4784328789</v>
      </c>
      <c r="C40" s="9">
        <f>+B42</f>
        <v>2987324.8519209921</v>
      </c>
      <c r="D40" s="9">
        <f t="shared" ref="D40:K40" si="4">+C42</f>
        <v>3092633.3614424951</v>
      </c>
      <c r="E40" s="9">
        <f t="shared" si="4"/>
        <v>3463454.650766138</v>
      </c>
      <c r="F40" s="9">
        <f t="shared" si="4"/>
        <v>3829440.4432896376</v>
      </c>
      <c r="G40" s="9">
        <f t="shared" si="4"/>
        <v>3939551.5327501129</v>
      </c>
      <c r="H40" s="9">
        <f t="shared" si="4"/>
        <v>4340390.334186567</v>
      </c>
      <c r="I40" s="9">
        <f t="shared" si="4"/>
        <v>4681302.6838038731</v>
      </c>
      <c r="J40" s="9">
        <f t="shared" si="4"/>
        <v>4989969.078024609</v>
      </c>
      <c r="K40" s="9">
        <f t="shared" si="4"/>
        <v>5308945.8865236137</v>
      </c>
    </row>
    <row r="41" spans="1:11" x14ac:dyDescent="0.25">
      <c r="A41" s="11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5.75" thickBot="1" x14ac:dyDescent="0.3">
      <c r="A42" s="10" t="s">
        <v>84</v>
      </c>
      <c r="B42" s="16">
        <f>+B38+B40</f>
        <v>2987324.8519209921</v>
      </c>
      <c r="C42" s="16">
        <f t="shared" ref="C42:K42" si="5">+C38+C40</f>
        <v>3092633.3614424951</v>
      </c>
      <c r="D42" s="16">
        <f t="shared" si="5"/>
        <v>3463454.650766138</v>
      </c>
      <c r="E42" s="16">
        <f t="shared" si="5"/>
        <v>3829440.4432896376</v>
      </c>
      <c r="F42" s="16">
        <f t="shared" si="5"/>
        <v>3939551.5327501129</v>
      </c>
      <c r="G42" s="16">
        <f t="shared" si="5"/>
        <v>4340390.334186567</v>
      </c>
      <c r="H42" s="16">
        <f t="shared" si="5"/>
        <v>4681302.6838038731</v>
      </c>
      <c r="I42" s="16">
        <f t="shared" si="5"/>
        <v>4989969.078024609</v>
      </c>
      <c r="J42" s="16">
        <f t="shared" si="5"/>
        <v>5308945.8865236137</v>
      </c>
      <c r="K42" s="16">
        <f t="shared" si="5"/>
        <v>5697266.1216595229</v>
      </c>
    </row>
    <row r="43" spans="1:1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25">
      <c r="A46" s="11" t="s">
        <v>84</v>
      </c>
      <c r="B46" s="9">
        <f>+B42</f>
        <v>2987324.8519209921</v>
      </c>
      <c r="C46" s="9">
        <f t="shared" ref="C46:K46" si="6">+C42</f>
        <v>3092633.3614424951</v>
      </c>
      <c r="D46" s="9">
        <f t="shared" si="6"/>
        <v>3463454.650766138</v>
      </c>
      <c r="E46" s="9">
        <f t="shared" si="6"/>
        <v>3829440.4432896376</v>
      </c>
      <c r="F46" s="9">
        <f t="shared" si="6"/>
        <v>3939551.5327501129</v>
      </c>
      <c r="G46" s="9">
        <f t="shared" si="6"/>
        <v>4340390.334186567</v>
      </c>
      <c r="H46" s="9">
        <f t="shared" si="6"/>
        <v>4681302.6838038731</v>
      </c>
      <c r="I46" s="9">
        <f t="shared" si="6"/>
        <v>4989969.078024609</v>
      </c>
      <c r="J46" s="9">
        <f t="shared" si="6"/>
        <v>5308945.8865236137</v>
      </c>
      <c r="K46" s="9">
        <f t="shared" si="6"/>
        <v>5697266.1216595229</v>
      </c>
    </row>
    <row r="47" spans="1:11" x14ac:dyDescent="0.25">
      <c r="A47" s="11" t="s">
        <v>85</v>
      </c>
      <c r="B47" s="9">
        <f>+'CF Balance Sheet'!B9+'CF Balance Sheet'!B17</f>
        <v>116505669.22492011</v>
      </c>
      <c r="C47" s="9">
        <f>+'CF Balance Sheet'!C9+'CF Balance Sheet'!C17</f>
        <v>120612701.09625751</v>
      </c>
      <c r="D47" s="9">
        <f>+'CF Balance Sheet'!D9+'CF Balance Sheet'!D17</f>
        <v>135074731.37988061</v>
      </c>
      <c r="E47" s="9">
        <f>+'CF Balance Sheet'!E9+'CF Balance Sheet'!E17</f>
        <v>149348177.28829917</v>
      </c>
      <c r="F47" s="9">
        <f>+'CF Balance Sheet'!F9+'CF Balance Sheet'!F17</f>
        <v>153642509.77725682</v>
      </c>
      <c r="G47" s="9">
        <f>+'CF Balance Sheet'!G9+'CF Balance Sheet'!G17</f>
        <v>169275223.03327811</v>
      </c>
      <c r="H47" s="9">
        <f>+'CF Balance Sheet'!H9+'CF Balance Sheet'!H17</f>
        <v>182570804.66835317</v>
      </c>
      <c r="I47" s="9">
        <f>+'CF Balance Sheet'!I9+'CF Balance Sheet'!I17</f>
        <v>194608794.04296058</v>
      </c>
      <c r="J47" s="9">
        <f>+'CF Balance Sheet'!J9+'CF Balance Sheet'!J17</f>
        <v>207048889.57442126</v>
      </c>
      <c r="K47" s="9">
        <f>+'CF Balance Sheet'!K9+'CF Balance Sheet'!K17</f>
        <v>222193378.74472132</v>
      </c>
    </row>
    <row r="48" spans="1:11" x14ac:dyDescent="0.25">
      <c r="A48" s="19" t="s">
        <v>86</v>
      </c>
      <c r="B48" s="19">
        <f>SUM(B46:B47)</f>
        <v>119492994.0768411</v>
      </c>
      <c r="C48" s="19">
        <f t="shared" ref="C48:K48" si="7">SUM(C46:C47)</f>
        <v>123705334.4577</v>
      </c>
      <c r="D48" s="19">
        <f t="shared" si="7"/>
        <v>138538186.03064674</v>
      </c>
      <c r="E48" s="19">
        <f t="shared" si="7"/>
        <v>153177617.73158881</v>
      </c>
      <c r="F48" s="19">
        <f t="shared" si="7"/>
        <v>157582061.31000692</v>
      </c>
      <c r="G48" s="19">
        <f t="shared" si="7"/>
        <v>173615613.36746466</v>
      </c>
      <c r="H48" s="19">
        <f t="shared" si="7"/>
        <v>187252107.35215706</v>
      </c>
      <c r="I48" s="19">
        <f t="shared" si="7"/>
        <v>199598763.12098518</v>
      </c>
      <c r="J48" s="19">
        <f t="shared" si="7"/>
        <v>212357835.46094486</v>
      </c>
      <c r="K48" s="19">
        <f t="shared" si="7"/>
        <v>227890644.86638084</v>
      </c>
    </row>
    <row r="49" spans="1:1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25">
      <c r="A50" s="8" t="s">
        <v>87</v>
      </c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25">
      <c r="A51" s="20" t="s">
        <v>88</v>
      </c>
      <c r="B51" s="9">
        <v>97937802.579016864</v>
      </c>
      <c r="C51" s="9">
        <v>100148538.14835456</v>
      </c>
      <c r="D51" s="9">
        <v>110257951.23111746</v>
      </c>
      <c r="E51" s="9">
        <v>120644035.62571502</v>
      </c>
      <c r="F51" s="9">
        <v>121378479.18544017</v>
      </c>
      <c r="G51" s="9">
        <v>136179559.23646739</v>
      </c>
      <c r="H51" s="9">
        <v>144789686.52400681</v>
      </c>
      <c r="I51" s="9">
        <v>151215167.56906471</v>
      </c>
      <c r="J51" s="9">
        <v>157416601.15422964</v>
      </c>
      <c r="K51" s="9">
        <v>166573922.0215286</v>
      </c>
    </row>
    <row r="52" spans="1:11" x14ac:dyDescent="0.25">
      <c r="A52" s="21" t="s">
        <v>89</v>
      </c>
      <c r="B52" s="9">
        <v>21469676</v>
      </c>
      <c r="C52" s="9">
        <v>23432464</v>
      </c>
      <c r="D52" s="9">
        <v>27938509</v>
      </c>
      <c r="E52" s="9">
        <v>32301075</v>
      </c>
      <c r="F52" s="9">
        <v>36042769.190000005</v>
      </c>
      <c r="G52" s="9">
        <v>36845470.069999993</v>
      </c>
      <c r="H52" s="9">
        <v>40829104.010000005</v>
      </c>
      <c r="I52" s="9">
        <v>45706195.940000005</v>
      </c>
      <c r="J52" s="9">
        <v>50950227.969999999</v>
      </c>
      <c r="K52" s="9">
        <v>56382637.579999991</v>
      </c>
    </row>
    <row r="53" spans="1:11" x14ac:dyDescent="0.25">
      <c r="A53" s="20" t="s">
        <v>90</v>
      </c>
      <c r="B53" s="9">
        <v>85515.497824236751</v>
      </c>
      <c r="C53" s="9">
        <v>124332.30934543908</v>
      </c>
      <c r="D53" s="9">
        <v>341725.79952928424</v>
      </c>
      <c r="E53" s="9">
        <v>232507.10587379336</v>
      </c>
      <c r="F53" s="9">
        <v>160812.93456674367</v>
      </c>
      <c r="G53" s="9">
        <v>590584.0609972775</v>
      </c>
      <c r="H53" s="9">
        <v>1633316.8181502372</v>
      </c>
      <c r="I53" s="9">
        <v>2677399.6119204685</v>
      </c>
      <c r="J53" s="9">
        <v>3991006.3367152214</v>
      </c>
      <c r="K53" s="9">
        <v>4934085.2648522481</v>
      </c>
    </row>
    <row r="54" spans="1:11" ht="15.75" thickBot="1" x14ac:dyDescent="0.3">
      <c r="A54" s="9"/>
      <c r="B54" s="16">
        <f>SUM(B51:B53)</f>
        <v>119492994.0768411</v>
      </c>
      <c r="C54" s="16">
        <f t="shared" ref="C54:K54" si="8">SUM(C51:C53)</f>
        <v>123705334.4577</v>
      </c>
      <c r="D54" s="16">
        <f t="shared" si="8"/>
        <v>138538186.03064674</v>
      </c>
      <c r="E54" s="16">
        <f t="shared" si="8"/>
        <v>153177617.73158881</v>
      </c>
      <c r="F54" s="16">
        <f t="shared" si="8"/>
        <v>157582061.31000692</v>
      </c>
      <c r="G54" s="16">
        <f t="shared" si="8"/>
        <v>173615613.36746466</v>
      </c>
      <c r="H54" s="16">
        <f t="shared" si="8"/>
        <v>187252107.35215706</v>
      </c>
      <c r="I54" s="16">
        <f t="shared" si="8"/>
        <v>199598763.12098518</v>
      </c>
      <c r="J54" s="16">
        <f t="shared" si="8"/>
        <v>212357835.46094486</v>
      </c>
      <c r="K54" s="16">
        <f t="shared" si="8"/>
        <v>227890644.86638084</v>
      </c>
    </row>
  </sheetData>
  <mergeCells count="1">
    <mergeCell ref="B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3259-DB59-4688-A12E-9A8E1348AD30}">
  <dimension ref="A1:K16"/>
  <sheetViews>
    <sheetView workbookViewId="0">
      <selection activeCell="A20" sqref="A20"/>
    </sheetView>
  </sheetViews>
  <sheetFormatPr defaultRowHeight="15" x14ac:dyDescent="0.25"/>
  <cols>
    <col min="1" max="1" width="64.140625" bestFit="1" customWidth="1"/>
  </cols>
  <sheetData>
    <row r="1" spans="1:11" x14ac:dyDescent="0.25">
      <c r="A1" s="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5">
      <c r="A2" s="1" t="s">
        <v>105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5.75" x14ac:dyDescent="0.25">
      <c r="A3" s="23" t="s">
        <v>91</v>
      </c>
      <c r="B3" s="159" t="s">
        <v>2</v>
      </c>
      <c r="C3" s="159"/>
      <c r="D3" s="159"/>
      <c r="E3" s="159"/>
      <c r="F3" s="159"/>
      <c r="G3" s="159"/>
      <c r="H3" s="159"/>
      <c r="I3" s="159"/>
      <c r="J3" s="159"/>
      <c r="K3" s="159"/>
    </row>
    <row r="4" spans="1:11" x14ac:dyDescent="0.25">
      <c r="A4" s="1" t="s">
        <v>101</v>
      </c>
      <c r="B4" s="4" t="str">
        <f>Starting_year&amp;"/"&amp;RIGHT(Starting_year+1,2)</f>
        <v>2021/22</v>
      </c>
      <c r="C4" s="5" t="str">
        <f>Starting_year+1&amp;"/"&amp;RIGHT(Starting_year+2,2)</f>
        <v>2022/23</v>
      </c>
      <c r="D4" s="5" t="str">
        <f>Starting_year+2&amp;"/"&amp;RIGHT(Starting_year+3,2)</f>
        <v>2023/24</v>
      </c>
      <c r="E4" s="5" t="str">
        <f>Starting_year+3&amp;"/"&amp;RIGHT(Starting_year+4,2)</f>
        <v>2024/25</v>
      </c>
      <c r="F4" s="5" t="str">
        <f>Starting_year+4&amp;"/"&amp;RIGHT(Starting_year+5,2)</f>
        <v>2025/26</v>
      </c>
      <c r="G4" s="5" t="str">
        <f>Starting_year+5&amp;"/"&amp;RIGHT(Starting_year+6,2)</f>
        <v>2026/27</v>
      </c>
      <c r="H4" s="5" t="str">
        <f>Starting_year+6&amp;"/"&amp;RIGHT(Starting_year+7,2)</f>
        <v>2027/28</v>
      </c>
      <c r="I4" s="5" t="str">
        <f>Starting_year+7&amp;"/"&amp;RIGHT(Starting_year+8,2)</f>
        <v>2028/29</v>
      </c>
      <c r="J4" s="5" t="str">
        <f>Starting_year+8&amp;"/"&amp;RIGHT(Starting_year+9,2)</f>
        <v>2029/30</v>
      </c>
      <c r="K4" s="5" t="str">
        <f>Starting_year+9&amp;"/"&amp;RIGHT(Starting_year+10,2)</f>
        <v>2030/31</v>
      </c>
    </row>
    <row r="5" spans="1:1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x14ac:dyDescent="0.25">
      <c r="A6" s="24" t="s">
        <v>92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x14ac:dyDescent="0.25">
      <c r="A7" s="25" t="s">
        <v>93</v>
      </c>
      <c r="B7" s="26">
        <v>9.2781640505045625E-3</v>
      </c>
      <c r="C7" s="26">
        <v>4.6681459319423468E-2</v>
      </c>
      <c r="D7" s="26">
        <v>4.8873990724692166E-2</v>
      </c>
      <c r="E7" s="26">
        <v>5.8918723441047649E-2</v>
      </c>
      <c r="F7" s="26">
        <v>6.3918693225760853E-2</v>
      </c>
      <c r="G7" s="26">
        <v>6.6280114138860383E-2</v>
      </c>
      <c r="H7" s="26">
        <v>6.6960125029567039E-2</v>
      </c>
      <c r="I7" s="26">
        <v>7.4799777206614945E-2</v>
      </c>
      <c r="J7" s="26">
        <v>7.5172694011991906E-2</v>
      </c>
      <c r="K7" s="26">
        <v>8.6827353932591167E-2</v>
      </c>
    </row>
    <row r="8" spans="1:11" x14ac:dyDescent="0.25">
      <c r="A8" s="25" t="s">
        <v>94</v>
      </c>
      <c r="B8" s="26">
        <v>0.68894173312674467</v>
      </c>
      <c r="C8" s="26">
        <v>0.83520433387557758</v>
      </c>
      <c r="D8" s="26">
        <v>0.83605965723901599</v>
      </c>
      <c r="E8" s="26">
        <v>0.83978181912808891</v>
      </c>
      <c r="F8" s="26">
        <v>0.84046356371497366</v>
      </c>
      <c r="G8" s="26">
        <v>0.82318735605100835</v>
      </c>
      <c r="H8" s="26">
        <v>0.83847197204189516</v>
      </c>
      <c r="I8" s="26">
        <v>0.8390865439035563</v>
      </c>
      <c r="J8" s="26">
        <v>0.8410959619554913</v>
      </c>
      <c r="K8" s="26">
        <v>0.84162137811454873</v>
      </c>
    </row>
    <row r="9" spans="1:11" x14ac:dyDescent="0.25">
      <c r="A9" s="25" t="s">
        <v>95</v>
      </c>
      <c r="B9" s="27">
        <v>2.3297589534150491</v>
      </c>
      <c r="C9" s="27">
        <v>2.343179702313555</v>
      </c>
      <c r="D9" s="27">
        <v>2.5955558333982944</v>
      </c>
      <c r="E9" s="27">
        <v>2.8045754062681505</v>
      </c>
      <c r="F9" s="27">
        <v>3.1068136608164272</v>
      </c>
      <c r="G9" s="27">
        <v>3.3350322205690186</v>
      </c>
      <c r="H9" s="27">
        <v>3.5619085796793097</v>
      </c>
      <c r="I9" s="27">
        <v>3.7712064392367513</v>
      </c>
      <c r="J9" s="27">
        <v>4.0549420484687007</v>
      </c>
      <c r="K9" s="27">
        <v>4.4848257330357075</v>
      </c>
    </row>
    <row r="10" spans="1:11" x14ac:dyDescent="0.25">
      <c r="A10" s="25" t="s">
        <v>96</v>
      </c>
      <c r="B10" s="27">
        <v>3.5478500679120448</v>
      </c>
      <c r="C10" s="27">
        <v>3.7430075728535677</v>
      </c>
      <c r="D10" s="27">
        <v>3.8098549112259601</v>
      </c>
      <c r="E10" s="27">
        <v>4.0496352762250147</v>
      </c>
      <c r="F10" s="27">
        <v>4.1988007363833981</v>
      </c>
      <c r="G10" s="27">
        <v>4.501612137304364</v>
      </c>
      <c r="H10" s="27">
        <v>4.7980307256607038</v>
      </c>
      <c r="I10" s="27">
        <v>5.277873213411751</v>
      </c>
      <c r="J10" s="27">
        <v>6.24616284869232</v>
      </c>
      <c r="K10" s="27">
        <v>10.931757609864034</v>
      </c>
    </row>
    <row r="11" spans="1:11" x14ac:dyDescent="0.25">
      <c r="A11" s="25" t="s">
        <v>97</v>
      </c>
      <c r="B11" s="26">
        <v>5.4074462335474111E-2</v>
      </c>
      <c r="C11" s="26">
        <v>5.4381007072624478E-2</v>
      </c>
      <c r="D11" s="26">
        <v>5.4326850510493838E-2</v>
      </c>
      <c r="E11" s="26">
        <v>5.4326852119340574E-2</v>
      </c>
      <c r="F11" s="26">
        <v>5.432669118309192E-2</v>
      </c>
      <c r="G11" s="26">
        <v>5.4326440431295704E-2</v>
      </c>
      <c r="H11" s="26">
        <v>5.4326198718455301E-2</v>
      </c>
      <c r="I11" s="26">
        <v>5.4325965856350029E-2</v>
      </c>
      <c r="J11" s="26">
        <v>5.4325741645198121E-2</v>
      </c>
      <c r="K11" s="26">
        <v>5.432604022642936E-2</v>
      </c>
    </row>
    <row r="12" spans="1:11" x14ac:dyDescent="0.25">
      <c r="A12" s="25" t="s">
        <v>98</v>
      </c>
      <c r="B12" s="27">
        <v>0.3080287127795463</v>
      </c>
      <c r="C12" s="27">
        <v>0.3168224310773885</v>
      </c>
      <c r="D12" s="27">
        <v>0.3477348852219484</v>
      </c>
      <c r="E12" s="27">
        <v>0.38046450340181415</v>
      </c>
      <c r="F12" s="27">
        <v>0.37675436659278289</v>
      </c>
      <c r="G12" s="27">
        <v>0.40936313764914289</v>
      </c>
      <c r="H12" s="27">
        <v>0.4397475771577623</v>
      </c>
      <c r="I12" s="27">
        <v>0.46364868068389359</v>
      </c>
      <c r="J12" s="27">
        <v>0.48704082287126066</v>
      </c>
      <c r="K12" s="27">
        <v>0.53127974003940814</v>
      </c>
    </row>
    <row r="13" spans="1:1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24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x14ac:dyDescent="0.25">
      <c r="A15" s="25" t="s">
        <v>99</v>
      </c>
      <c r="B15" s="26">
        <v>1.2206199913099207</v>
      </c>
      <c r="C15" s="26">
        <v>0.88607861085256834</v>
      </c>
      <c r="D15" s="26">
        <v>0.75282157238132252</v>
      </c>
      <c r="E15" s="26">
        <v>0.61495510687162047</v>
      </c>
      <c r="F15" s="26">
        <v>0.55614885046885887</v>
      </c>
      <c r="G15" s="26">
        <v>0.71019326568515129</v>
      </c>
      <c r="H15" s="26">
        <v>0.62798112334312139</v>
      </c>
      <c r="I15" s="26">
        <v>0.62807945856126191</v>
      </c>
      <c r="J15" s="26">
        <v>0.56762879112235087</v>
      </c>
      <c r="K15" s="26">
        <v>0.60371214619181435</v>
      </c>
    </row>
    <row r="16" spans="1:11" x14ac:dyDescent="0.25">
      <c r="A16" s="25" t="s">
        <v>100</v>
      </c>
      <c r="B16" s="26">
        <v>9.314391008454613E-2</v>
      </c>
      <c r="C16" s="26">
        <v>9.4892736803801211E-2</v>
      </c>
      <c r="D16" s="26">
        <v>9.2338245592929399E-2</v>
      </c>
      <c r="E16" s="26">
        <v>8.765971071285153E-2</v>
      </c>
      <c r="F16" s="26">
        <v>8.382825282539931E-2</v>
      </c>
      <c r="G16" s="26">
        <v>7.7249466524718147E-2</v>
      </c>
      <c r="H16" s="26">
        <v>7.1799219363316041E-2</v>
      </c>
      <c r="I16" s="26">
        <v>6.5326614234237163E-2</v>
      </c>
      <c r="J16" s="26">
        <v>5.3948772529072292E-2</v>
      </c>
      <c r="K16" s="26">
        <v>3.1345486234298413E-2</v>
      </c>
    </row>
  </sheetData>
  <mergeCells count="1">
    <mergeCell ref="B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25983-FEF0-4B56-ABDB-CD09C9AD7B34}">
  <dimension ref="A1:K33"/>
  <sheetViews>
    <sheetView workbookViewId="0">
      <selection sqref="A1:XFD1048576"/>
    </sheetView>
  </sheetViews>
  <sheetFormatPr defaultRowHeight="15" x14ac:dyDescent="0.25"/>
  <cols>
    <col min="1" max="1" width="49.28515625" customWidth="1"/>
    <col min="2" max="11" width="16.7109375" customWidth="1"/>
  </cols>
  <sheetData>
    <row r="1" spans="1:1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5">
      <c r="A2" s="31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5">
      <c r="A3" s="31" t="s">
        <v>107</v>
      </c>
      <c r="B3" s="160" t="s">
        <v>2</v>
      </c>
      <c r="C3" s="160"/>
      <c r="D3" s="160"/>
      <c r="E3" s="160"/>
      <c r="F3" s="160"/>
      <c r="G3" s="160"/>
      <c r="H3" s="160"/>
      <c r="I3" s="160"/>
      <c r="J3" s="160"/>
      <c r="K3" s="160"/>
    </row>
    <row r="4" spans="1:11" ht="15.75" thickBot="1" x14ac:dyDescent="0.3">
      <c r="A4" s="33" t="s">
        <v>108</v>
      </c>
      <c r="B4" s="34" t="s">
        <v>3</v>
      </c>
      <c r="C4" s="34" t="s">
        <v>4</v>
      </c>
      <c r="D4" s="34" t="s">
        <v>5</v>
      </c>
      <c r="E4" s="34" t="s">
        <v>6</v>
      </c>
      <c r="F4" s="34" t="s">
        <v>7</v>
      </c>
      <c r="G4" s="34" t="s">
        <v>8</v>
      </c>
      <c r="H4" s="34" t="s">
        <v>9</v>
      </c>
      <c r="I4" s="34" t="s">
        <v>10</v>
      </c>
      <c r="J4" s="34" t="s">
        <v>11</v>
      </c>
      <c r="K4" s="34" t="s">
        <v>106</v>
      </c>
    </row>
    <row r="5" spans="1:11" ht="15.75" thickBot="1" x14ac:dyDescent="0.3">
      <c r="A5" s="35"/>
      <c r="B5" s="36" t="s">
        <v>12</v>
      </c>
      <c r="C5" s="36" t="s">
        <v>12</v>
      </c>
      <c r="D5" s="36" t="s">
        <v>12</v>
      </c>
      <c r="E5" s="36" t="s">
        <v>12</v>
      </c>
      <c r="F5" s="36" t="s">
        <v>12</v>
      </c>
      <c r="G5" s="36" t="s">
        <v>12</v>
      </c>
      <c r="H5" s="36" t="s">
        <v>12</v>
      </c>
      <c r="I5" s="36" t="s">
        <v>12</v>
      </c>
      <c r="J5" s="36" t="s">
        <v>12</v>
      </c>
      <c r="K5" s="36" t="s">
        <v>12</v>
      </c>
    </row>
    <row r="6" spans="1:11" x14ac:dyDescent="0.25">
      <c r="A6" s="37" t="s">
        <v>13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x14ac:dyDescent="0.25">
      <c r="A7" s="39" t="s">
        <v>14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x14ac:dyDescent="0.25">
      <c r="A8" s="38" t="s">
        <v>15</v>
      </c>
      <c r="B8" s="38">
        <v>47915051</v>
      </c>
      <c r="C8" s="38">
        <v>48873352</v>
      </c>
      <c r="D8" s="38">
        <v>49850816</v>
      </c>
      <c r="E8" s="38">
        <v>50847831</v>
      </c>
      <c r="F8" s="38">
        <v>51867930.399999999</v>
      </c>
      <c r="G8" s="38">
        <v>52908380.210000016</v>
      </c>
      <c r="H8" s="38">
        <v>53969586.759999998</v>
      </c>
      <c r="I8" s="38">
        <v>55051964.24999997</v>
      </c>
      <c r="J8" s="38">
        <v>56155935.420000002</v>
      </c>
      <c r="K8" s="38">
        <v>57270824.419999994</v>
      </c>
    </row>
    <row r="9" spans="1:11" x14ac:dyDescent="0.25">
      <c r="A9" s="38" t="s">
        <v>16</v>
      </c>
      <c r="B9" s="38">
        <v>24830131</v>
      </c>
      <c r="C9" s="38">
        <v>26975534</v>
      </c>
      <c r="D9" s="38">
        <v>27509973</v>
      </c>
      <c r="E9" s="38">
        <v>28085531</v>
      </c>
      <c r="F9" s="38">
        <v>28672286.740000006</v>
      </c>
      <c r="G9" s="38">
        <v>29259830.840000004</v>
      </c>
      <c r="H9" s="38">
        <v>27386137.640000008</v>
      </c>
      <c r="I9" s="38">
        <v>27850500.17000002</v>
      </c>
      <c r="J9" s="38">
        <v>28302152.809999995</v>
      </c>
      <c r="K9" s="38">
        <v>28741270.650000006</v>
      </c>
    </row>
    <row r="10" spans="1:11" x14ac:dyDescent="0.25">
      <c r="A10" s="38" t="s">
        <v>18</v>
      </c>
      <c r="B10" s="38">
        <v>3767624</v>
      </c>
      <c r="C10" s="38">
        <v>8807891</v>
      </c>
      <c r="D10" s="38">
        <v>8980986</v>
      </c>
      <c r="E10" s="38">
        <v>9157542</v>
      </c>
      <c r="F10" s="38">
        <v>9338562.7199999969</v>
      </c>
      <c r="G10" s="38">
        <v>9524827.7200000007</v>
      </c>
      <c r="H10" s="38">
        <v>9714817.9300000016</v>
      </c>
      <c r="I10" s="38">
        <v>9908607.9200000018</v>
      </c>
      <c r="J10" s="38">
        <v>10106273.789999999</v>
      </c>
      <c r="K10" s="38">
        <v>10307725.99</v>
      </c>
    </row>
    <row r="11" spans="1:11" x14ac:dyDescent="0.25">
      <c r="A11" s="38" t="s">
        <v>19</v>
      </c>
      <c r="B11" s="38">
        <v>22544947</v>
      </c>
      <c r="C11" s="38">
        <v>20111385</v>
      </c>
      <c r="D11" s="38">
        <v>20365583</v>
      </c>
      <c r="E11" s="38">
        <v>20094870</v>
      </c>
      <c r="F11" s="38">
        <v>20415663.41</v>
      </c>
      <c r="G11" s="38">
        <v>20697201.859999999</v>
      </c>
      <c r="H11" s="38">
        <v>21006952.689999998</v>
      </c>
      <c r="I11" s="38">
        <v>21416005.689999998</v>
      </c>
      <c r="J11" s="38">
        <v>21665454.279999997</v>
      </c>
      <c r="K11" s="38">
        <v>21968393.57</v>
      </c>
    </row>
    <row r="12" spans="1:11" x14ac:dyDescent="0.25">
      <c r="A12" s="38" t="s">
        <v>20</v>
      </c>
      <c r="B12" s="38">
        <v>28910485</v>
      </c>
      <c r="C12" s="38">
        <v>2574018</v>
      </c>
      <c r="D12" s="38">
        <v>2602271</v>
      </c>
      <c r="E12" s="38">
        <v>2612757</v>
      </c>
      <c r="F12" s="38">
        <v>2656353</v>
      </c>
      <c r="G12" s="38">
        <v>6447069</v>
      </c>
      <c r="H12" s="38">
        <v>3033844</v>
      </c>
      <c r="I12" s="38">
        <v>2992440</v>
      </c>
      <c r="J12" s="38">
        <v>2839626</v>
      </c>
      <c r="K12" s="38">
        <v>2887759</v>
      </c>
    </row>
    <row r="13" spans="1:11" x14ac:dyDescent="0.25">
      <c r="A13" s="38" t="s">
        <v>17</v>
      </c>
      <c r="B13" s="38">
        <v>645521</v>
      </c>
      <c r="C13" s="38">
        <v>657670</v>
      </c>
      <c r="D13" s="38">
        <v>667420</v>
      </c>
      <c r="E13" s="38">
        <v>678902</v>
      </c>
      <c r="F13" s="38">
        <v>745903.62000000011</v>
      </c>
      <c r="G13" s="38">
        <v>860838.34000000008</v>
      </c>
      <c r="H13" s="38">
        <v>1026423.33</v>
      </c>
      <c r="I13" s="38">
        <v>1192673.82</v>
      </c>
      <c r="J13" s="38">
        <v>1209608.0699999998</v>
      </c>
      <c r="K13" s="38">
        <v>1227241.4099999999</v>
      </c>
    </row>
    <row r="14" spans="1:11" x14ac:dyDescent="0.25">
      <c r="A14" s="39" t="s">
        <v>21</v>
      </c>
      <c r="B14" s="40">
        <f>SUM(B8:B13)</f>
        <v>128613759</v>
      </c>
      <c r="C14" s="40">
        <f t="shared" ref="C14:K14" si="0">SUM(C8:C13)</f>
        <v>107999850</v>
      </c>
      <c r="D14" s="40">
        <f t="shared" si="0"/>
        <v>109977049</v>
      </c>
      <c r="E14" s="40">
        <f t="shared" si="0"/>
        <v>111477433</v>
      </c>
      <c r="F14" s="40">
        <f t="shared" si="0"/>
        <v>113696699.89</v>
      </c>
      <c r="G14" s="40">
        <f t="shared" si="0"/>
        <v>119698147.97000001</v>
      </c>
      <c r="H14" s="40">
        <f t="shared" si="0"/>
        <v>116137762.35000001</v>
      </c>
      <c r="I14" s="40">
        <f t="shared" si="0"/>
        <v>118412191.84999998</v>
      </c>
      <c r="J14" s="40">
        <f t="shared" si="0"/>
        <v>120279050.36999997</v>
      </c>
      <c r="K14" s="40">
        <f t="shared" si="0"/>
        <v>122403215.03999999</v>
      </c>
    </row>
    <row r="15" spans="1:1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25">
      <c r="A16" s="37" t="s">
        <v>22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 x14ac:dyDescent="0.25">
      <c r="A17" s="38" t="s">
        <v>23</v>
      </c>
      <c r="B17" s="38">
        <v>49067666</v>
      </c>
      <c r="C17" s="38">
        <v>50337871</v>
      </c>
      <c r="D17" s="38">
        <v>51600806</v>
      </c>
      <c r="E17" s="38">
        <v>52894368</v>
      </c>
      <c r="F17" s="38">
        <v>54192408.499999978</v>
      </c>
      <c r="G17" s="38">
        <v>55275456.729999945</v>
      </c>
      <c r="H17" s="38">
        <v>56380165.740000099</v>
      </c>
      <c r="I17" s="38">
        <v>57506969.590000071</v>
      </c>
      <c r="J17" s="38">
        <v>58656308.25999999</v>
      </c>
      <c r="K17" s="38">
        <v>59833225.470000014</v>
      </c>
    </row>
    <row r="18" spans="1:11" x14ac:dyDescent="0.25">
      <c r="A18" s="38" t="s">
        <v>24</v>
      </c>
      <c r="B18" s="38">
        <v>1522995.6019194187</v>
      </c>
      <c r="C18" s="38">
        <v>1406503.5752791318</v>
      </c>
      <c r="D18" s="38">
        <v>1409667.9263517298</v>
      </c>
      <c r="E18" s="38">
        <v>1144790.2109356024</v>
      </c>
      <c r="F18" s="38">
        <v>980761.94211054384</v>
      </c>
      <c r="G18" s="38">
        <v>674894.51893858972</v>
      </c>
      <c r="H18" s="38">
        <v>504192.22445997735</v>
      </c>
      <c r="I18" s="38">
        <v>405261.22365388076</v>
      </c>
      <c r="J18" s="38">
        <v>319608.56136330322</v>
      </c>
      <c r="K18" s="38">
        <v>249174.16018349645</v>
      </c>
    </row>
    <row r="19" spans="1:11" x14ac:dyDescent="0.25">
      <c r="A19" s="38" t="s">
        <v>25</v>
      </c>
      <c r="B19" s="38">
        <v>17989015</v>
      </c>
      <c r="C19" s="38">
        <v>16665212</v>
      </c>
      <c r="D19" s="38">
        <v>16461860</v>
      </c>
      <c r="E19" s="38">
        <v>16337655</v>
      </c>
      <c r="F19" s="38">
        <v>16441789.969999984</v>
      </c>
      <c r="G19" s="38">
        <v>16558226.009999942</v>
      </c>
      <c r="H19" s="38">
        <v>16785512.080000021</v>
      </c>
      <c r="I19" s="38">
        <v>17053713.499999963</v>
      </c>
      <c r="J19" s="38">
        <v>17183933.939999908</v>
      </c>
      <c r="K19" s="38">
        <v>17309217.720000014</v>
      </c>
    </row>
    <row r="20" spans="1:11" x14ac:dyDescent="0.25">
      <c r="A20" s="38" t="s">
        <v>26</v>
      </c>
      <c r="B20" s="38">
        <v>27244737</v>
      </c>
      <c r="C20" s="38">
        <v>27789135</v>
      </c>
      <c r="D20" s="38">
        <v>28002288</v>
      </c>
      <c r="E20" s="38">
        <v>28074453</v>
      </c>
      <c r="F20" s="38">
        <v>28147358</v>
      </c>
      <c r="G20" s="38">
        <v>28294411</v>
      </c>
      <c r="H20" s="38">
        <v>28343856</v>
      </c>
      <c r="I20" s="38">
        <v>28387517</v>
      </c>
      <c r="J20" s="38">
        <v>28437475</v>
      </c>
      <c r="K20" s="38">
        <v>28701763</v>
      </c>
    </row>
    <row r="21" spans="1:11" x14ac:dyDescent="0.25">
      <c r="A21" s="38" t="s">
        <v>27</v>
      </c>
      <c r="B21" s="38">
        <v>8099807</v>
      </c>
      <c r="C21" s="38">
        <v>8409462</v>
      </c>
      <c r="D21" s="38">
        <v>8515168</v>
      </c>
      <c r="E21" s="38">
        <v>8622979</v>
      </c>
      <c r="F21" s="38">
        <v>9243046.75</v>
      </c>
      <c r="G21" s="38">
        <v>8961312.0400000028</v>
      </c>
      <c r="H21" s="38">
        <v>9135361.1500000004</v>
      </c>
      <c r="I21" s="38">
        <v>9313054.9600000009</v>
      </c>
      <c r="J21" s="38">
        <v>9984459.9100000001</v>
      </c>
      <c r="K21" s="38">
        <v>9655107.2800000012</v>
      </c>
    </row>
    <row r="22" spans="1:11" x14ac:dyDescent="0.25">
      <c r="A22" s="39" t="s">
        <v>28</v>
      </c>
      <c r="B22" s="40">
        <f>SUM(B17:B21)</f>
        <v>103924220.60191941</v>
      </c>
      <c r="C22" s="40">
        <f t="shared" ref="C22:K22" si="1">SUM(C17:C21)</f>
        <v>104608183.57527913</v>
      </c>
      <c r="D22" s="40">
        <f t="shared" si="1"/>
        <v>105989789.92635173</v>
      </c>
      <c r="E22" s="40">
        <f t="shared" si="1"/>
        <v>107074245.21093559</v>
      </c>
      <c r="F22" s="40">
        <f t="shared" si="1"/>
        <v>109005365.16211051</v>
      </c>
      <c r="G22" s="40">
        <f t="shared" si="1"/>
        <v>109764300.29893848</v>
      </c>
      <c r="H22" s="40">
        <f t="shared" si="1"/>
        <v>111149087.19446009</v>
      </c>
      <c r="I22" s="40">
        <f t="shared" si="1"/>
        <v>112666516.27365392</v>
      </c>
      <c r="J22" s="40">
        <f t="shared" si="1"/>
        <v>114581785.6713632</v>
      </c>
      <c r="K22" s="40">
        <f t="shared" si="1"/>
        <v>115748487.63018352</v>
      </c>
    </row>
    <row r="23" spans="1:11" x14ac:dyDescent="0.25">
      <c r="A23" s="39"/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x14ac:dyDescent="0.25">
      <c r="A24" s="37" t="s">
        <v>29</v>
      </c>
      <c r="B24" s="40">
        <f>+B14-B22</f>
        <v>24689538.398080587</v>
      </c>
      <c r="C24" s="40">
        <f t="shared" ref="C24:K24" si="2">+C14-C22</f>
        <v>3391666.4247208685</v>
      </c>
      <c r="D24" s="40">
        <f t="shared" si="2"/>
        <v>3987259.0736482739</v>
      </c>
      <c r="E24" s="40">
        <f t="shared" si="2"/>
        <v>4403187.7890644073</v>
      </c>
      <c r="F24" s="40">
        <f t="shared" si="2"/>
        <v>4691334.7278894931</v>
      </c>
      <c r="G24" s="40">
        <f t="shared" si="2"/>
        <v>9933847.6710615307</v>
      </c>
      <c r="H24" s="40">
        <f t="shared" si="2"/>
        <v>4988675.155539915</v>
      </c>
      <c r="I24" s="40">
        <f t="shared" si="2"/>
        <v>5745675.5763460547</v>
      </c>
      <c r="J24" s="40">
        <f t="shared" si="2"/>
        <v>5697264.6986367702</v>
      </c>
      <c r="K24" s="40">
        <f t="shared" si="2"/>
        <v>6654727.4098164737</v>
      </c>
    </row>
    <row r="25" spans="1:11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x14ac:dyDescent="0.25">
      <c r="A26" s="38" t="s">
        <v>109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</row>
    <row r="27" spans="1:11" x14ac:dyDescent="0.25">
      <c r="A27" s="39" t="s">
        <v>110</v>
      </c>
      <c r="B27" s="40">
        <f>+B26</f>
        <v>0</v>
      </c>
      <c r="C27" s="40">
        <f t="shared" ref="C27:K27" si="3">+C26</f>
        <v>0</v>
      </c>
      <c r="D27" s="40">
        <f t="shared" si="3"/>
        <v>0</v>
      </c>
      <c r="E27" s="40">
        <f t="shared" si="3"/>
        <v>0</v>
      </c>
      <c r="F27" s="40">
        <f t="shared" si="3"/>
        <v>0</v>
      </c>
      <c r="G27" s="40">
        <f t="shared" si="3"/>
        <v>0</v>
      </c>
      <c r="H27" s="40">
        <f t="shared" si="3"/>
        <v>0</v>
      </c>
      <c r="I27" s="40">
        <f t="shared" si="3"/>
        <v>0</v>
      </c>
      <c r="J27" s="40">
        <f t="shared" si="3"/>
        <v>0</v>
      </c>
      <c r="K27" s="40">
        <f t="shared" si="3"/>
        <v>0</v>
      </c>
    </row>
    <row r="28" spans="1:11" x14ac:dyDescent="0.25">
      <c r="A28" s="39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15.75" thickBot="1" x14ac:dyDescent="0.3">
      <c r="A29" s="37" t="s">
        <v>30</v>
      </c>
      <c r="B29" s="41">
        <f>+B24+B27</f>
        <v>24689538.398080587</v>
      </c>
      <c r="C29" s="41">
        <f t="shared" ref="C29:K29" si="4">+C24+C27</f>
        <v>3391666.4247208685</v>
      </c>
      <c r="D29" s="41">
        <f t="shared" si="4"/>
        <v>3987259.0736482739</v>
      </c>
      <c r="E29" s="41">
        <f t="shared" si="4"/>
        <v>4403187.7890644073</v>
      </c>
      <c r="F29" s="41">
        <f t="shared" si="4"/>
        <v>4691334.7278894931</v>
      </c>
      <c r="G29" s="41">
        <f t="shared" si="4"/>
        <v>9933847.6710615307</v>
      </c>
      <c r="H29" s="41">
        <f t="shared" si="4"/>
        <v>4988675.155539915</v>
      </c>
      <c r="I29" s="41">
        <f t="shared" si="4"/>
        <v>5745675.5763460547</v>
      </c>
      <c r="J29" s="41">
        <f t="shared" si="4"/>
        <v>5697264.6986367702</v>
      </c>
      <c r="K29" s="41">
        <f t="shared" si="4"/>
        <v>6654727.4098164737</v>
      </c>
    </row>
    <row r="30" spans="1:11" ht="15.75" thickTop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x14ac:dyDescent="0.25">
      <c r="A31" s="42" t="s">
        <v>31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x14ac:dyDescent="0.25">
      <c r="A32" s="42" t="s">
        <v>32</v>
      </c>
      <c r="B32" s="42">
        <f>+B29-B12</f>
        <v>-4220946.6019194126</v>
      </c>
      <c r="C32" s="42">
        <f t="shared" ref="C32:K32" si="5">+C29-C12</f>
        <v>817648.42472086847</v>
      </c>
      <c r="D32" s="42">
        <f t="shared" si="5"/>
        <v>1384988.0736482739</v>
      </c>
      <c r="E32" s="42">
        <f t="shared" si="5"/>
        <v>1790430.7890644073</v>
      </c>
      <c r="F32" s="42">
        <f t="shared" si="5"/>
        <v>2034981.7278894931</v>
      </c>
      <c r="G32" s="42">
        <f t="shared" si="5"/>
        <v>3486778.6710615307</v>
      </c>
      <c r="H32" s="42">
        <f t="shared" si="5"/>
        <v>1954831.155539915</v>
      </c>
      <c r="I32" s="42">
        <f t="shared" si="5"/>
        <v>2753235.5763460547</v>
      </c>
      <c r="J32" s="42">
        <f t="shared" si="5"/>
        <v>2857638.6986367702</v>
      </c>
      <c r="K32" s="42">
        <f t="shared" si="5"/>
        <v>3766968.4098164737</v>
      </c>
    </row>
    <row r="33" spans="1:1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</sheetData>
  <mergeCells count="1">
    <mergeCell ref="B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7288F-831D-490B-B81A-4D05B48AC09D}">
  <dimension ref="A1:K50"/>
  <sheetViews>
    <sheetView topLeftCell="A37" workbookViewId="0">
      <selection sqref="A1:XFD1048576"/>
    </sheetView>
  </sheetViews>
  <sheetFormatPr defaultRowHeight="15" x14ac:dyDescent="0.25"/>
  <cols>
    <col min="1" max="1" width="59.5703125" customWidth="1"/>
    <col min="2" max="11" width="14" customWidth="1"/>
  </cols>
  <sheetData>
    <row r="1" spans="1:1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x14ac:dyDescent="0.25">
      <c r="A2" s="43" t="s">
        <v>105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x14ac:dyDescent="0.25">
      <c r="A3" s="43" t="s">
        <v>111</v>
      </c>
      <c r="B3" s="161" t="s">
        <v>2</v>
      </c>
      <c r="C3" s="161"/>
      <c r="D3" s="161"/>
      <c r="E3" s="161"/>
      <c r="F3" s="161"/>
      <c r="G3" s="161"/>
      <c r="H3" s="161"/>
      <c r="I3" s="161"/>
      <c r="J3" s="161"/>
      <c r="K3" s="161"/>
    </row>
    <row r="4" spans="1:11" ht="15.75" thickBot="1" x14ac:dyDescent="0.3">
      <c r="A4" s="33" t="s">
        <v>108</v>
      </c>
      <c r="B4" s="34" t="s">
        <v>3</v>
      </c>
      <c r="C4" s="34" t="s">
        <v>4</v>
      </c>
      <c r="D4" s="34" t="s">
        <v>5</v>
      </c>
      <c r="E4" s="34" t="s">
        <v>6</v>
      </c>
      <c r="F4" s="34" t="s">
        <v>7</v>
      </c>
      <c r="G4" s="34" t="s">
        <v>8</v>
      </c>
      <c r="H4" s="34" t="s">
        <v>9</v>
      </c>
      <c r="I4" s="34" t="s">
        <v>10</v>
      </c>
      <c r="J4" s="34" t="s">
        <v>11</v>
      </c>
      <c r="K4" s="34" t="s">
        <v>106</v>
      </c>
    </row>
    <row r="5" spans="1:11" ht="15.75" thickBot="1" x14ac:dyDescent="0.3">
      <c r="A5" s="45"/>
      <c r="B5" s="46" t="s">
        <v>12</v>
      </c>
      <c r="C5" s="46" t="s">
        <v>12</v>
      </c>
      <c r="D5" s="46" t="s">
        <v>12</v>
      </c>
      <c r="E5" s="46" t="s">
        <v>12</v>
      </c>
      <c r="F5" s="46" t="s">
        <v>12</v>
      </c>
      <c r="G5" s="46" t="s">
        <v>12</v>
      </c>
      <c r="H5" s="46" t="s">
        <v>12</v>
      </c>
      <c r="I5" s="46" t="s">
        <v>12</v>
      </c>
      <c r="J5" s="46" t="s">
        <v>12</v>
      </c>
      <c r="K5" s="46" t="s">
        <v>12</v>
      </c>
    </row>
    <row r="6" spans="1:11" x14ac:dyDescent="0.25">
      <c r="A6" s="47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x14ac:dyDescent="0.25">
      <c r="A7" s="49" t="s">
        <v>35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x14ac:dyDescent="0.25">
      <c r="A8" s="48" t="s">
        <v>36</v>
      </c>
      <c r="B8" s="48">
        <v>1099440.3624456078</v>
      </c>
      <c r="C8" s="48">
        <v>1150255.7577336363</v>
      </c>
      <c r="D8" s="48">
        <v>1359999.0199882332</v>
      </c>
      <c r="E8" s="48">
        <v>1552270.3276468469</v>
      </c>
      <c r="F8" s="48">
        <v>1688696.0966141708</v>
      </c>
      <c r="G8" s="48">
        <v>1840916.3552749325</v>
      </c>
      <c r="H8" s="48">
        <v>1992358.0574537572</v>
      </c>
      <c r="I8" s="48">
        <v>2097188.2485480118</v>
      </c>
      <c r="J8" s="48">
        <v>2180246.2124178815</v>
      </c>
      <c r="K8" s="48">
        <v>2324460.6816213066</v>
      </c>
    </row>
    <row r="9" spans="1:11" x14ac:dyDescent="0.25">
      <c r="A9" s="48" t="s">
        <v>37</v>
      </c>
      <c r="B9" s="48">
        <v>35020020.08897607</v>
      </c>
      <c r="C9" s="48">
        <v>36638621.901863478</v>
      </c>
      <c r="D9" s="48">
        <v>43319487.466362663</v>
      </c>
      <c r="E9" s="48">
        <v>49443826.072379127</v>
      </c>
      <c r="F9" s="48">
        <v>53789339.783793405</v>
      </c>
      <c r="G9" s="48">
        <v>58637948.85649585</v>
      </c>
      <c r="H9" s="48">
        <v>63461758.890915573</v>
      </c>
      <c r="I9" s="48">
        <v>66800871.700896308</v>
      </c>
      <c r="J9" s="48">
        <v>69446482.743228912</v>
      </c>
      <c r="K9" s="48">
        <v>74040086.708605275</v>
      </c>
    </row>
    <row r="10" spans="1:11" x14ac:dyDescent="0.25">
      <c r="A10" s="48" t="s">
        <v>38</v>
      </c>
      <c r="B10" s="48">
        <v>12846699.000660293</v>
      </c>
      <c r="C10" s="48">
        <v>11156219.581927452</v>
      </c>
      <c r="D10" s="48">
        <v>11514984.793559968</v>
      </c>
      <c r="E10" s="48">
        <v>11805309.551790006</v>
      </c>
      <c r="F10" s="48">
        <v>12105814.398822159</v>
      </c>
      <c r="G10" s="48">
        <v>12653221.391761946</v>
      </c>
      <c r="H10" s="48">
        <v>12428892.522641499</v>
      </c>
      <c r="I10" s="48">
        <v>12705210.019536883</v>
      </c>
      <c r="J10" s="48">
        <v>12943802.746531358</v>
      </c>
      <c r="K10" s="48">
        <v>13237516.187752446</v>
      </c>
    </row>
    <row r="11" spans="1:11" x14ac:dyDescent="0.25">
      <c r="A11" s="48" t="s">
        <v>39</v>
      </c>
      <c r="B11" s="48">
        <v>17686140.647449091</v>
      </c>
      <c r="C11" s="48">
        <v>17620738.403593361</v>
      </c>
      <c r="D11" s="48">
        <v>17633574.478859425</v>
      </c>
      <c r="E11" s="48">
        <v>17653892.131269783</v>
      </c>
      <c r="F11" s="48">
        <v>17686966.930767044</v>
      </c>
      <c r="G11" s="48">
        <v>17717458.71981249</v>
      </c>
      <c r="H11" s="48">
        <v>17755420.460700437</v>
      </c>
      <c r="I11" s="48">
        <v>17796439.317433484</v>
      </c>
      <c r="J11" s="48">
        <v>17829183.423436105</v>
      </c>
      <c r="K11" s="48">
        <v>17862096.023410983</v>
      </c>
    </row>
    <row r="12" spans="1:11" x14ac:dyDescent="0.25">
      <c r="A12" s="9" t="str">
        <f>'[3]Historical Data'!A866</f>
        <v>Contract assets</v>
      </c>
      <c r="B12" s="48">
        <v>6392000</v>
      </c>
      <c r="C12" s="48">
        <v>6392000</v>
      </c>
      <c r="D12" s="48">
        <v>6392000</v>
      </c>
      <c r="E12" s="48">
        <v>6392000</v>
      </c>
      <c r="F12" s="48">
        <v>6392000</v>
      </c>
      <c r="G12" s="48">
        <v>6392000</v>
      </c>
      <c r="H12" s="48">
        <v>6392000</v>
      </c>
      <c r="I12" s="48">
        <v>6392000</v>
      </c>
      <c r="J12" s="48">
        <v>6392000</v>
      </c>
      <c r="K12" s="48">
        <v>6392000</v>
      </c>
    </row>
    <row r="13" spans="1:11" x14ac:dyDescent="0.25">
      <c r="A13" s="48" t="s">
        <v>40</v>
      </c>
      <c r="B13" s="48">
        <v>572788.62554925203</v>
      </c>
      <c r="C13" s="48">
        <v>563197.85754606314</v>
      </c>
      <c r="D13" s="48">
        <v>567291.58818987722</v>
      </c>
      <c r="E13" s="48">
        <v>572980.92867409752</v>
      </c>
      <c r="F13" s="48">
        <v>588147.81941073446</v>
      </c>
      <c r="G13" s="48">
        <v>590794.51852058212</v>
      </c>
      <c r="H13" s="48">
        <v>601060.76821927645</v>
      </c>
      <c r="I13" s="48">
        <v>612016.0029404487</v>
      </c>
      <c r="J13" s="48">
        <v>627795.53222038003</v>
      </c>
      <c r="K13" s="48">
        <v>630316.94897262205</v>
      </c>
    </row>
    <row r="14" spans="1:11" x14ac:dyDescent="0.25">
      <c r="A14" s="9" t="str">
        <f>'[3]Historical Data'!A868</f>
        <v>Other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x14ac:dyDescent="0.25">
      <c r="A15" s="49" t="s">
        <v>42</v>
      </c>
      <c r="B15" s="50">
        <f>SUM(B8:B14)</f>
        <v>73617088.725080311</v>
      </c>
      <c r="C15" s="50">
        <f t="shared" ref="C15:K15" si="0">SUM(C8:C14)</f>
        <v>73521033.502663985</v>
      </c>
      <c r="D15" s="50">
        <f t="shared" si="0"/>
        <v>80787337.346960157</v>
      </c>
      <c r="E15" s="50">
        <f t="shared" si="0"/>
        <v>87420279.011759862</v>
      </c>
      <c r="F15" s="50">
        <f t="shared" si="0"/>
        <v>92250965.029407516</v>
      </c>
      <c r="G15" s="50">
        <f t="shared" si="0"/>
        <v>97832339.841865793</v>
      </c>
      <c r="H15" s="50">
        <f t="shared" si="0"/>
        <v>102631490.69993055</v>
      </c>
      <c r="I15" s="50">
        <f t="shared" si="0"/>
        <v>106403725.28935513</v>
      </c>
      <c r="J15" s="50">
        <f t="shared" si="0"/>
        <v>109419510.65783463</v>
      </c>
      <c r="K15" s="50">
        <f t="shared" si="0"/>
        <v>114486476.55036263</v>
      </c>
    </row>
    <row r="16" spans="1:1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11" x14ac:dyDescent="0.25">
      <c r="A17" s="49" t="s">
        <v>43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1" x14ac:dyDescent="0.25">
      <c r="A18" s="48" t="s">
        <v>37</v>
      </c>
      <c r="B18" s="48">
        <v>7858154.0464025997</v>
      </c>
      <c r="C18" s="48">
        <v>8221352.6497483356</v>
      </c>
      <c r="D18" s="48">
        <v>9720474.3131784275</v>
      </c>
      <c r="E18" s="48">
        <v>11094716.705847913</v>
      </c>
      <c r="F18" s="48">
        <v>12069807.984159244</v>
      </c>
      <c r="G18" s="48">
        <v>13157788.999226533</v>
      </c>
      <c r="H18" s="48">
        <v>14240205.349780977</v>
      </c>
      <c r="I18" s="48">
        <v>14989469.992476163</v>
      </c>
      <c r="J18" s="48">
        <v>15583119.541068448</v>
      </c>
      <c r="K18" s="48">
        <v>16613879.87462566</v>
      </c>
    </row>
    <row r="19" spans="1:11" x14ac:dyDescent="0.25">
      <c r="A19" s="48" t="s">
        <v>38</v>
      </c>
      <c r="B19" s="48">
        <v>503117.03510523576</v>
      </c>
      <c r="C19" s="48">
        <v>512379.37561403291</v>
      </c>
      <c r="D19" s="48">
        <v>521826.93374356726</v>
      </c>
      <c r="E19" s="48">
        <v>531463.4596601408</v>
      </c>
      <c r="F19" s="48">
        <v>541323.10500708269</v>
      </c>
      <c r="G19" s="48">
        <v>551379.44474014523</v>
      </c>
      <c r="H19" s="48">
        <v>561636.40619199141</v>
      </c>
      <c r="I19" s="48">
        <v>572097.99276180286</v>
      </c>
      <c r="J19" s="48">
        <v>582768.29039108171</v>
      </c>
      <c r="K19" s="48">
        <v>593544.11296406481</v>
      </c>
    </row>
    <row r="20" spans="1:11" x14ac:dyDescent="0.25">
      <c r="A20" s="48" t="s">
        <v>44</v>
      </c>
      <c r="B20" s="48">
        <v>1361851488</v>
      </c>
      <c r="C20" s="48">
        <v>1354971457</v>
      </c>
      <c r="D20" s="48">
        <v>1342721708</v>
      </c>
      <c r="E20" s="48">
        <v>1331760856</v>
      </c>
      <c r="F20" s="48">
        <v>1323287278.29</v>
      </c>
      <c r="G20" s="48">
        <v>1321674420.55</v>
      </c>
      <c r="H20" s="48">
        <v>1317810049.95</v>
      </c>
      <c r="I20" s="48">
        <v>1316751091.45</v>
      </c>
      <c r="J20" s="48">
        <v>1316619035.22</v>
      </c>
      <c r="K20" s="48">
        <v>1314998936.8099999</v>
      </c>
    </row>
    <row r="21" spans="1:11" x14ac:dyDescent="0.25">
      <c r="A21" s="48" t="s">
        <v>45</v>
      </c>
      <c r="B21" s="48">
        <v>30175000</v>
      </c>
      <c r="C21" s="48">
        <v>30175000</v>
      </c>
      <c r="D21" s="48">
        <v>30175000</v>
      </c>
      <c r="E21" s="48">
        <v>30175000</v>
      </c>
      <c r="F21" s="48">
        <v>30175000</v>
      </c>
      <c r="G21" s="48">
        <v>30175000</v>
      </c>
      <c r="H21" s="48">
        <v>30175000</v>
      </c>
      <c r="I21" s="48">
        <v>30175000</v>
      </c>
      <c r="J21" s="48">
        <v>30175000</v>
      </c>
      <c r="K21" s="48">
        <v>30175000</v>
      </c>
    </row>
    <row r="22" spans="1:11" x14ac:dyDescent="0.25">
      <c r="A22" s="48" t="s">
        <v>46</v>
      </c>
      <c r="B22" s="48">
        <v>302000</v>
      </c>
      <c r="C22" s="48">
        <v>302000</v>
      </c>
      <c r="D22" s="48">
        <v>302000</v>
      </c>
      <c r="E22" s="48">
        <v>302000</v>
      </c>
      <c r="F22" s="48">
        <v>302000</v>
      </c>
      <c r="G22" s="48">
        <v>302000</v>
      </c>
      <c r="H22" s="48">
        <v>302000</v>
      </c>
      <c r="I22" s="48">
        <v>302000</v>
      </c>
      <c r="J22" s="48">
        <v>302000</v>
      </c>
      <c r="K22" s="48">
        <v>302000</v>
      </c>
    </row>
    <row r="23" spans="1:11" x14ac:dyDescent="0.25">
      <c r="A23" s="48" t="s">
        <v>112</v>
      </c>
      <c r="B23" s="48">
        <v>2853000</v>
      </c>
      <c r="C23" s="48">
        <v>2853000</v>
      </c>
      <c r="D23" s="48">
        <v>2853000</v>
      </c>
      <c r="E23" s="48">
        <v>2853000</v>
      </c>
      <c r="F23" s="48">
        <v>2853000</v>
      </c>
      <c r="G23" s="48">
        <v>2853000</v>
      </c>
      <c r="H23" s="48">
        <v>2853000</v>
      </c>
      <c r="I23" s="48">
        <v>2853000</v>
      </c>
      <c r="J23" s="48">
        <v>2853000</v>
      </c>
      <c r="K23" s="48">
        <v>2853000</v>
      </c>
    </row>
    <row r="24" spans="1:11" x14ac:dyDescent="0.25">
      <c r="A24" s="48" t="s">
        <v>41</v>
      </c>
      <c r="B24" s="48">
        <v>214000</v>
      </c>
      <c r="C24" s="48">
        <v>214000</v>
      </c>
      <c r="D24" s="48">
        <v>214000</v>
      </c>
      <c r="E24" s="48">
        <v>214000</v>
      </c>
      <c r="F24" s="48">
        <v>214000</v>
      </c>
      <c r="G24" s="48">
        <v>214000</v>
      </c>
      <c r="H24" s="48">
        <v>214000</v>
      </c>
      <c r="I24" s="48">
        <v>214000</v>
      </c>
      <c r="J24" s="48">
        <v>214000</v>
      </c>
      <c r="K24" s="48">
        <v>214000</v>
      </c>
    </row>
    <row r="25" spans="1:11" x14ac:dyDescent="0.25">
      <c r="A25" s="49" t="s">
        <v>47</v>
      </c>
      <c r="B25" s="50">
        <f>SUM(B18:B24)</f>
        <v>1403756759.0815079</v>
      </c>
      <c r="C25" s="50">
        <f t="shared" ref="C25:K25" si="1">SUM(C18:C24)</f>
        <v>1397249189.0253623</v>
      </c>
      <c r="D25" s="50">
        <f t="shared" si="1"/>
        <v>1386508009.246922</v>
      </c>
      <c r="E25" s="50">
        <f t="shared" si="1"/>
        <v>1376931036.165508</v>
      </c>
      <c r="F25" s="50">
        <f t="shared" si="1"/>
        <v>1369442409.3791664</v>
      </c>
      <c r="G25" s="50">
        <f t="shared" si="1"/>
        <v>1368927588.9939666</v>
      </c>
      <c r="H25" s="50">
        <f t="shared" si="1"/>
        <v>1366155891.7059729</v>
      </c>
      <c r="I25" s="50">
        <f t="shared" si="1"/>
        <v>1365856659.4352381</v>
      </c>
      <c r="J25" s="50">
        <f t="shared" si="1"/>
        <v>1366328923.0514596</v>
      </c>
      <c r="K25" s="50">
        <f t="shared" si="1"/>
        <v>1365750360.7975898</v>
      </c>
    </row>
    <row r="26" spans="1:11" ht="15.75" thickBot="1" x14ac:dyDescent="0.3">
      <c r="A26" s="49" t="s">
        <v>48</v>
      </c>
      <c r="B26" s="51">
        <f>+B15+B25</f>
        <v>1477373847.8065882</v>
      </c>
      <c r="C26" s="51">
        <f t="shared" ref="C26:K26" si="2">+C15+C25</f>
        <v>1470770222.5280263</v>
      </c>
      <c r="D26" s="51">
        <f t="shared" si="2"/>
        <v>1467295346.5938821</v>
      </c>
      <c r="E26" s="51">
        <f t="shared" si="2"/>
        <v>1464351315.1772678</v>
      </c>
      <c r="F26" s="51">
        <f t="shared" si="2"/>
        <v>1461693374.4085739</v>
      </c>
      <c r="G26" s="51">
        <f t="shared" si="2"/>
        <v>1466759928.8358324</v>
      </c>
      <c r="H26" s="51">
        <f t="shared" si="2"/>
        <v>1468787382.4059033</v>
      </c>
      <c r="I26" s="51">
        <f t="shared" si="2"/>
        <v>1472260384.7245932</v>
      </c>
      <c r="J26" s="51">
        <f t="shared" si="2"/>
        <v>1475748433.7092941</v>
      </c>
      <c r="K26" s="51">
        <f t="shared" si="2"/>
        <v>1480236837.3479524</v>
      </c>
    </row>
    <row r="27" spans="1:11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x14ac:dyDescent="0.25">
      <c r="A28" s="47" t="s">
        <v>49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</row>
    <row r="29" spans="1:11" x14ac:dyDescent="0.25">
      <c r="A29" s="49" t="s">
        <v>50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1" x14ac:dyDescent="0.25">
      <c r="A30" s="48" t="s">
        <v>51</v>
      </c>
      <c r="B30" s="48">
        <v>17496323.35805871</v>
      </c>
      <c r="C30" s="48">
        <v>17765970.781507876</v>
      </c>
      <c r="D30" s="48">
        <v>17906135.853267219</v>
      </c>
      <c r="E30" s="48">
        <v>17654462.371672705</v>
      </c>
      <c r="F30" s="48">
        <v>17427148.386206865</v>
      </c>
      <c r="G30" s="48">
        <v>17492863.235922098</v>
      </c>
      <c r="H30" s="48">
        <v>17770897.11768008</v>
      </c>
      <c r="I30" s="48">
        <v>18065757.171926774</v>
      </c>
      <c r="J30" s="48">
        <v>18515065.642849192</v>
      </c>
      <c r="K30" s="48">
        <v>18579086.014560182</v>
      </c>
    </row>
    <row r="31" spans="1:11" x14ac:dyDescent="0.25">
      <c r="A31" s="48" t="s">
        <v>113</v>
      </c>
      <c r="B31" s="48">
        <v>4092131.7740908833</v>
      </c>
      <c r="C31" s="48">
        <v>1804117.7542607484</v>
      </c>
      <c r="D31" s="48">
        <v>1826580.4305380313</v>
      </c>
      <c r="E31" s="48">
        <v>1805885.1776991019</v>
      </c>
      <c r="F31" s="48">
        <v>1834864.2266516639</v>
      </c>
      <c r="G31" s="48">
        <v>2158721.2263757745</v>
      </c>
      <c r="H31" s="48">
        <v>1911909.0868697388</v>
      </c>
      <c r="I31" s="48">
        <v>1941147.363493531</v>
      </c>
      <c r="J31" s="48">
        <v>1948832.4894529292</v>
      </c>
      <c r="K31" s="48">
        <v>1976752.4585810062</v>
      </c>
    </row>
    <row r="32" spans="1:11" x14ac:dyDescent="0.25">
      <c r="A32" s="48" t="s">
        <v>52</v>
      </c>
      <c r="B32" s="48">
        <v>8237755.106901695</v>
      </c>
      <c r="C32" s="48">
        <v>7888752.7558290977</v>
      </c>
      <c r="D32" s="48">
        <v>7342062.4712452246</v>
      </c>
      <c r="E32" s="48">
        <v>7421788.7400702834</v>
      </c>
      <c r="F32" s="48">
        <v>5531422.1632422376</v>
      </c>
      <c r="G32" s="48">
        <v>3270783.4577208497</v>
      </c>
      <c r="H32" s="48">
        <v>2878970.4585269461</v>
      </c>
      <c r="I32" s="48">
        <v>2952344.1208175239</v>
      </c>
      <c r="J32" s="48">
        <v>2548413.5219973312</v>
      </c>
      <c r="K32" s="48">
        <v>1737282.4800067621</v>
      </c>
    </row>
    <row r="33" spans="1:11" x14ac:dyDescent="0.25">
      <c r="A33" s="48" t="s">
        <v>53</v>
      </c>
      <c r="B33" s="48">
        <v>10821425.98121365</v>
      </c>
      <c r="C33" s="48">
        <v>10992000.675760427</v>
      </c>
      <c r="D33" s="48">
        <v>11165647.964803878</v>
      </c>
      <c r="E33" s="48">
        <v>11342428.133425899</v>
      </c>
      <c r="F33" s="48">
        <v>11522743.905420361</v>
      </c>
      <c r="G33" s="48">
        <v>11706665.979630886</v>
      </c>
      <c r="H33" s="48">
        <v>11894266.474517547</v>
      </c>
      <c r="I33" s="48">
        <v>12085618.976773856</v>
      </c>
      <c r="J33" s="48">
        <v>12280798.551050173</v>
      </c>
      <c r="K33" s="48">
        <v>12479881.681613309</v>
      </c>
    </row>
    <row r="34" spans="1:11" x14ac:dyDescent="0.25">
      <c r="A34" s="49" t="s">
        <v>54</v>
      </c>
      <c r="B34" s="50">
        <f>SUM(B30:B33)</f>
        <v>40647636.220264934</v>
      </c>
      <c r="C34" s="50">
        <f t="shared" ref="C34:K34" si="3">SUM(C30:C33)</f>
        <v>38450841.96735815</v>
      </c>
      <c r="D34" s="50">
        <f t="shared" si="3"/>
        <v>38240426.719854355</v>
      </c>
      <c r="E34" s="50">
        <f t="shared" si="3"/>
        <v>38224564.422867984</v>
      </c>
      <c r="F34" s="50">
        <f t="shared" si="3"/>
        <v>36316178.681521133</v>
      </c>
      <c r="G34" s="50">
        <f t="shared" si="3"/>
        <v>34629033.899649605</v>
      </c>
      <c r="H34" s="50">
        <f t="shared" si="3"/>
        <v>34456043.137594312</v>
      </c>
      <c r="I34" s="50">
        <f t="shared" si="3"/>
        <v>35044867.633011684</v>
      </c>
      <c r="J34" s="50">
        <f t="shared" si="3"/>
        <v>35293110.205349624</v>
      </c>
      <c r="K34" s="50">
        <f t="shared" si="3"/>
        <v>34773002.634761259</v>
      </c>
    </row>
    <row r="35" spans="1:11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36" spans="1:11" x14ac:dyDescent="0.25">
      <c r="A36" s="49" t="s">
        <v>55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1:11" x14ac:dyDescent="0.25">
      <c r="A37" s="48" t="s">
        <v>104</v>
      </c>
      <c r="B37" s="48">
        <v>2917000</v>
      </c>
      <c r="C37" s="48">
        <v>2917000</v>
      </c>
      <c r="D37" s="48">
        <v>2917000</v>
      </c>
      <c r="E37" s="48">
        <v>2917000</v>
      </c>
      <c r="F37" s="48">
        <v>2917000</v>
      </c>
      <c r="G37" s="48">
        <v>2917000</v>
      </c>
      <c r="H37" s="48">
        <v>2917000</v>
      </c>
      <c r="I37" s="48">
        <v>2917000</v>
      </c>
      <c r="J37" s="48">
        <v>2917000</v>
      </c>
      <c r="K37" s="48">
        <v>2917000</v>
      </c>
    </row>
    <row r="38" spans="1:11" x14ac:dyDescent="0.25">
      <c r="A38" s="48" t="s">
        <v>52</v>
      </c>
      <c r="B38" s="48">
        <v>44805934</v>
      </c>
      <c r="C38" s="48">
        <v>36917181</v>
      </c>
      <c r="D38" s="48">
        <v>29575119</v>
      </c>
      <c r="E38" s="48">
        <v>22153330</v>
      </c>
      <c r="F38" s="48">
        <v>16621908</v>
      </c>
      <c r="G38" s="48">
        <v>13351125</v>
      </c>
      <c r="H38" s="48">
        <v>10472154</v>
      </c>
      <c r="I38" s="48">
        <v>7519810</v>
      </c>
      <c r="J38" s="48">
        <v>4971396</v>
      </c>
      <c r="K38" s="48">
        <v>3234114</v>
      </c>
    </row>
    <row r="39" spans="1:11" x14ac:dyDescent="0.25">
      <c r="A39" s="48" t="s">
        <v>53</v>
      </c>
      <c r="B39" s="48">
        <v>8951785.0187863503</v>
      </c>
      <c r="C39" s="48">
        <v>9042040.3242395725</v>
      </c>
      <c r="D39" s="48">
        <v>9132383.0351961218</v>
      </c>
      <c r="E39" s="48">
        <v>9222814.8665741012</v>
      </c>
      <c r="F39" s="48">
        <v>9313347.2745796405</v>
      </c>
      <c r="G39" s="48">
        <v>9403982.2703691162</v>
      </c>
      <c r="H39" s="48">
        <v>9494721.9054824561</v>
      </c>
      <c r="I39" s="48">
        <v>9585568.2732261475</v>
      </c>
      <c r="J39" s="48">
        <v>9676523.5089498293</v>
      </c>
      <c r="K39" s="48">
        <v>9767589.7883866914</v>
      </c>
    </row>
    <row r="40" spans="1:11" x14ac:dyDescent="0.25">
      <c r="A40" s="49" t="s">
        <v>56</v>
      </c>
      <c r="B40" s="50">
        <f>SUM(B37:B39)</f>
        <v>56674719.018786348</v>
      </c>
      <c r="C40" s="50">
        <f t="shared" ref="C40:K40" si="4">SUM(C37:C39)</f>
        <v>48876221.324239574</v>
      </c>
      <c r="D40" s="50">
        <f t="shared" si="4"/>
        <v>41624502.035196126</v>
      </c>
      <c r="E40" s="50">
        <f t="shared" si="4"/>
        <v>34293144.866574101</v>
      </c>
      <c r="F40" s="50">
        <f t="shared" si="4"/>
        <v>28852255.27457964</v>
      </c>
      <c r="G40" s="50">
        <f t="shared" si="4"/>
        <v>25672107.270369116</v>
      </c>
      <c r="H40" s="50">
        <f t="shared" si="4"/>
        <v>22883875.905482456</v>
      </c>
      <c r="I40" s="50">
        <f t="shared" si="4"/>
        <v>20022378.273226149</v>
      </c>
      <c r="J40" s="50">
        <f t="shared" si="4"/>
        <v>17564919.508949831</v>
      </c>
      <c r="K40" s="50">
        <f t="shared" si="4"/>
        <v>15918703.788386691</v>
      </c>
    </row>
    <row r="41" spans="1:11" ht="15.75" thickBot="1" x14ac:dyDescent="0.3">
      <c r="A41" s="49" t="s">
        <v>57</v>
      </c>
      <c r="B41" s="51">
        <f>+B34+B40</f>
        <v>97322355.239051282</v>
      </c>
      <c r="C41" s="51">
        <f t="shared" ref="C41:K41" si="5">+C34+C40</f>
        <v>87327063.291597724</v>
      </c>
      <c r="D41" s="51">
        <f t="shared" si="5"/>
        <v>79864928.75505048</v>
      </c>
      <c r="E41" s="51">
        <f t="shared" si="5"/>
        <v>72517709.289442092</v>
      </c>
      <c r="F41" s="51">
        <f t="shared" si="5"/>
        <v>65168433.956100777</v>
      </c>
      <c r="G41" s="51">
        <f t="shared" si="5"/>
        <v>60301141.170018718</v>
      </c>
      <c r="H41" s="51">
        <f t="shared" si="5"/>
        <v>57339919.043076769</v>
      </c>
      <c r="I41" s="51">
        <f t="shared" si="5"/>
        <v>55067245.906237833</v>
      </c>
      <c r="J41" s="51">
        <f t="shared" si="5"/>
        <v>52858029.714299455</v>
      </c>
      <c r="K41" s="51">
        <f t="shared" si="5"/>
        <v>50691706.423147947</v>
      </c>
    </row>
    <row r="42" spans="1:11" ht="15.75" thickBot="1" x14ac:dyDescent="0.3">
      <c r="A42" s="47" t="s">
        <v>58</v>
      </c>
      <c r="B42" s="52">
        <f>+B26-B41</f>
        <v>1380051492.5675368</v>
      </c>
      <c r="C42" s="52">
        <f t="shared" ref="C42:K42" si="6">+C26-C41</f>
        <v>1383443159.2364287</v>
      </c>
      <c r="D42" s="52">
        <f t="shared" si="6"/>
        <v>1387430417.8388317</v>
      </c>
      <c r="E42" s="52">
        <f t="shared" si="6"/>
        <v>1391833605.8878257</v>
      </c>
      <c r="F42" s="52">
        <f t="shared" si="6"/>
        <v>1396524940.4524732</v>
      </c>
      <c r="G42" s="52">
        <f t="shared" si="6"/>
        <v>1406458787.6658137</v>
      </c>
      <c r="H42" s="52">
        <f t="shared" si="6"/>
        <v>1411447463.3628266</v>
      </c>
      <c r="I42" s="52">
        <f t="shared" si="6"/>
        <v>1417193138.8183553</v>
      </c>
      <c r="J42" s="52">
        <f t="shared" si="6"/>
        <v>1422890403.9949946</v>
      </c>
      <c r="K42" s="52">
        <f t="shared" si="6"/>
        <v>1429545130.9248044</v>
      </c>
    </row>
    <row r="43" spans="1:11" ht="15.75" thickTop="1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</row>
    <row r="44" spans="1:11" x14ac:dyDescent="0.25">
      <c r="A44" s="47" t="s">
        <v>59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</row>
    <row r="45" spans="1:11" x14ac:dyDescent="0.25">
      <c r="A45" s="48" t="s">
        <v>60</v>
      </c>
      <c r="B45" s="48">
        <f>900873492.398081+1</f>
        <v>900873493.39808095</v>
      </c>
      <c r="C45" s="48">
        <v>904265158.82280147</v>
      </c>
      <c r="D45" s="48">
        <v>908252417.8964498</v>
      </c>
      <c r="E45" s="48">
        <v>912655605.68551421</v>
      </c>
      <c r="F45" s="48">
        <v>917346940.41340375</v>
      </c>
      <c r="G45" s="48">
        <v>927280788.08446527</v>
      </c>
      <c r="H45" s="48">
        <v>932269463.24000514</v>
      </c>
      <c r="I45" s="48">
        <v>938015138.81635118</v>
      </c>
      <c r="J45" s="48">
        <v>943712403.51498795</v>
      </c>
      <c r="K45" s="48">
        <v>950367130.92480445</v>
      </c>
    </row>
    <row r="46" spans="1:11" x14ac:dyDescent="0.25">
      <c r="A46" s="48" t="s">
        <v>61</v>
      </c>
      <c r="B46" s="48">
        <v>478497000</v>
      </c>
      <c r="C46" s="48">
        <v>478497000</v>
      </c>
      <c r="D46" s="48">
        <v>478497000</v>
      </c>
      <c r="E46" s="48">
        <v>478497000</v>
      </c>
      <c r="F46" s="48">
        <v>478497000</v>
      </c>
      <c r="G46" s="48">
        <v>478497000</v>
      </c>
      <c r="H46" s="48">
        <v>478497000</v>
      </c>
      <c r="I46" s="48">
        <v>478497000</v>
      </c>
      <c r="J46" s="48">
        <v>478497000</v>
      </c>
      <c r="K46" s="48">
        <v>478497000</v>
      </c>
    </row>
    <row r="47" spans="1:11" x14ac:dyDescent="0.25">
      <c r="A47" s="48" t="s">
        <v>62</v>
      </c>
      <c r="B47" s="50">
        <f>SUM(B45:B46)</f>
        <v>1379370493.3980808</v>
      </c>
      <c r="C47" s="50">
        <f t="shared" ref="C47:K47" si="7">SUM(C45:C46)</f>
        <v>1382762158.8228016</v>
      </c>
      <c r="D47" s="50">
        <f t="shared" si="7"/>
        <v>1386749417.8964498</v>
      </c>
      <c r="E47" s="50">
        <f t="shared" si="7"/>
        <v>1391152605.6855142</v>
      </c>
      <c r="F47" s="50">
        <f t="shared" si="7"/>
        <v>1395843940.4134037</v>
      </c>
      <c r="G47" s="50">
        <f t="shared" si="7"/>
        <v>1405777788.0844653</v>
      </c>
      <c r="H47" s="50">
        <f t="shared" si="7"/>
        <v>1410766463.240005</v>
      </c>
      <c r="I47" s="50">
        <f t="shared" si="7"/>
        <v>1416512138.8163512</v>
      </c>
      <c r="J47" s="50">
        <f t="shared" si="7"/>
        <v>1422209403.5149879</v>
      </c>
      <c r="K47" s="50">
        <f t="shared" si="7"/>
        <v>1428864130.9248044</v>
      </c>
    </row>
    <row r="48" spans="1:11" x14ac:dyDescent="0.25">
      <c r="A48" s="48" t="s">
        <v>63</v>
      </c>
      <c r="B48" s="48">
        <v>681000</v>
      </c>
      <c r="C48" s="48">
        <v>681000</v>
      </c>
      <c r="D48" s="48">
        <v>681000</v>
      </c>
      <c r="E48" s="48">
        <v>681000</v>
      </c>
      <c r="F48" s="48">
        <v>681000</v>
      </c>
      <c r="G48" s="48">
        <v>681000</v>
      </c>
      <c r="H48" s="48">
        <v>681000</v>
      </c>
      <c r="I48" s="48">
        <v>681000</v>
      </c>
      <c r="J48" s="48">
        <v>681000</v>
      </c>
      <c r="K48" s="48">
        <v>681000</v>
      </c>
    </row>
    <row r="49" spans="1:11" ht="15.75" thickBot="1" x14ac:dyDescent="0.3">
      <c r="A49" s="47" t="s">
        <v>64</v>
      </c>
      <c r="B49" s="53">
        <f>+B47+B48</f>
        <v>1380051493.3980808</v>
      </c>
      <c r="C49" s="53">
        <f t="shared" ref="C49:K49" si="8">+C47+C48</f>
        <v>1383443158.8228016</v>
      </c>
      <c r="D49" s="53">
        <f t="shared" si="8"/>
        <v>1387430417.8964498</v>
      </c>
      <c r="E49" s="53">
        <f t="shared" si="8"/>
        <v>1391833605.6855142</v>
      </c>
      <c r="F49" s="53">
        <f t="shared" si="8"/>
        <v>1396524940.4134037</v>
      </c>
      <c r="G49" s="53">
        <f t="shared" si="8"/>
        <v>1406458788.0844653</v>
      </c>
      <c r="H49" s="53">
        <f t="shared" si="8"/>
        <v>1411447463.240005</v>
      </c>
      <c r="I49" s="53">
        <f t="shared" si="8"/>
        <v>1417193138.8163512</v>
      </c>
      <c r="J49" s="53">
        <f t="shared" si="8"/>
        <v>1422890403.5149879</v>
      </c>
      <c r="K49" s="53">
        <f t="shared" si="8"/>
        <v>1429545130.9248044</v>
      </c>
    </row>
    <row r="50" spans="1:11" ht="15.75" thickTop="1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</row>
  </sheetData>
  <mergeCells count="1">
    <mergeCell ref="B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7B97B-07FD-4FBA-B98E-2E122EEFEA21}">
  <dimension ref="A1:K55"/>
  <sheetViews>
    <sheetView topLeftCell="A31" workbookViewId="0">
      <selection activeCell="F57" sqref="F57"/>
    </sheetView>
  </sheetViews>
  <sheetFormatPr defaultRowHeight="15" x14ac:dyDescent="0.25"/>
  <cols>
    <col min="1" max="1" width="58.42578125" customWidth="1"/>
    <col min="2" max="11" width="12.42578125" customWidth="1"/>
  </cols>
  <sheetData>
    <row r="1" spans="1:1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x14ac:dyDescent="0.25">
      <c r="A2" s="43" t="s">
        <v>105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5">
      <c r="A3" s="54" t="s">
        <v>114</v>
      </c>
      <c r="B3" s="162" t="s">
        <v>2</v>
      </c>
      <c r="C3" s="162"/>
      <c r="D3" s="162"/>
      <c r="E3" s="162"/>
      <c r="F3" s="162"/>
      <c r="G3" s="162"/>
      <c r="H3" s="162"/>
      <c r="I3" s="162"/>
      <c r="J3" s="162"/>
      <c r="K3" s="162"/>
    </row>
    <row r="4" spans="1:11" ht="15.75" thickBot="1" x14ac:dyDescent="0.3">
      <c r="A4" s="33" t="s">
        <v>108</v>
      </c>
      <c r="B4" s="34" t="s">
        <v>3</v>
      </c>
      <c r="C4" s="34" t="s">
        <v>4</v>
      </c>
      <c r="D4" s="34" t="s">
        <v>5</v>
      </c>
      <c r="E4" s="34" t="s">
        <v>6</v>
      </c>
      <c r="F4" s="34" t="s">
        <v>7</v>
      </c>
      <c r="G4" s="34" t="s">
        <v>8</v>
      </c>
      <c r="H4" s="34" t="s">
        <v>9</v>
      </c>
      <c r="I4" s="34" t="s">
        <v>10</v>
      </c>
      <c r="J4" s="34" t="s">
        <v>11</v>
      </c>
      <c r="K4" s="34" t="s">
        <v>106</v>
      </c>
    </row>
    <row r="5" spans="1:11" ht="15.75" thickBot="1" x14ac:dyDescent="0.3">
      <c r="A5" s="56"/>
      <c r="B5" s="57" t="s">
        <v>12</v>
      </c>
      <c r="C5" s="57" t="s">
        <v>12</v>
      </c>
      <c r="D5" s="57" t="s">
        <v>12</v>
      </c>
      <c r="E5" s="57" t="s">
        <v>12</v>
      </c>
      <c r="F5" s="57" t="s">
        <v>12</v>
      </c>
      <c r="G5" s="57" t="s">
        <v>12</v>
      </c>
      <c r="H5" s="57" t="s">
        <v>12</v>
      </c>
      <c r="I5" s="57" t="s">
        <v>12</v>
      </c>
      <c r="J5" s="57" t="s">
        <v>12</v>
      </c>
      <c r="K5" s="57" t="s">
        <v>12</v>
      </c>
    </row>
    <row r="6" spans="1:11" x14ac:dyDescent="0.25">
      <c r="A6" s="58" t="s">
        <v>66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x14ac:dyDescent="0.25">
      <c r="A7" s="60" t="s">
        <v>67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x14ac:dyDescent="0.25">
      <c r="A8" s="59" t="s">
        <v>15</v>
      </c>
      <c r="B8" s="59">
        <v>47878974.394859008</v>
      </c>
      <c r="C8" s="59">
        <v>48858786.856591649</v>
      </c>
      <c r="D8" s="59">
        <v>49835959.599624231</v>
      </c>
      <c r="E8" s="59">
        <v>50832677.445474558</v>
      </c>
      <c r="F8" s="59">
        <v>51852425.987449273</v>
      </c>
      <c r="G8" s="59">
        <v>52892566.493128344</v>
      </c>
      <c r="H8" s="59">
        <v>53953457.563028865</v>
      </c>
      <c r="I8" s="59">
        <v>55035513.277535357</v>
      </c>
      <c r="J8" s="59">
        <v>56139156.246849045</v>
      </c>
      <c r="K8" s="59">
        <v>57253879.307588138</v>
      </c>
    </row>
    <row r="9" spans="1:11" x14ac:dyDescent="0.25">
      <c r="A9" s="59" t="s">
        <v>16</v>
      </c>
      <c r="B9" s="59">
        <v>25335543.772173125</v>
      </c>
      <c r="C9" s="59">
        <v>27504703.060838681</v>
      </c>
      <c r="D9" s="59">
        <v>27426136.139103416</v>
      </c>
      <c r="E9" s="59">
        <v>27994562.205904018</v>
      </c>
      <c r="F9" s="59">
        <v>28582736.366762634</v>
      </c>
      <c r="G9" s="59">
        <v>29174939.893321566</v>
      </c>
      <c r="H9" s="59">
        <v>27520074.275534198</v>
      </c>
      <c r="I9" s="59">
        <v>27775318.1973226</v>
      </c>
      <c r="J9" s="59">
        <v>28227439.529127046</v>
      </c>
      <c r="K9" s="59">
        <v>28666997.857037079</v>
      </c>
    </row>
    <row r="10" spans="1:11" x14ac:dyDescent="0.25">
      <c r="A10" s="59" t="s">
        <v>68</v>
      </c>
      <c r="B10" s="59">
        <v>889303.57292981539</v>
      </c>
      <c r="C10" s="59">
        <v>589892.51059895579</v>
      </c>
      <c r="D10" s="59">
        <v>498979.45547667251</v>
      </c>
      <c r="E10" s="59">
        <v>551752.61969005014</v>
      </c>
      <c r="F10" s="59">
        <v>650230.11916644231</v>
      </c>
      <c r="G10" s="59">
        <v>752045.9270776537</v>
      </c>
      <c r="H10" s="59">
        <v>932823.20513029466</v>
      </c>
      <c r="I10" s="59">
        <v>1107503.3251167878</v>
      </c>
      <c r="J10" s="59">
        <v>1144924.2142715747</v>
      </c>
      <c r="K10" s="59">
        <v>1124916.7412826857</v>
      </c>
    </row>
    <row r="11" spans="1:11" x14ac:dyDescent="0.25">
      <c r="A11" s="59" t="s">
        <v>69</v>
      </c>
      <c r="B11" s="59">
        <v>51135304.494759604</v>
      </c>
      <c r="C11" s="59">
        <v>22638145.040169869</v>
      </c>
      <c r="D11" s="59">
        <v>22973369.616277285</v>
      </c>
      <c r="E11" s="59">
        <v>22702545.367161065</v>
      </c>
      <c r="F11" s="59">
        <v>23079132.094352566</v>
      </c>
      <c r="G11" s="59">
        <v>27223792.592724107</v>
      </c>
      <c r="H11" s="59">
        <v>23980193.000693966</v>
      </c>
      <c r="I11" s="59">
        <v>24415625.026623789</v>
      </c>
      <c r="J11" s="59">
        <v>24506967.330559395</v>
      </c>
      <c r="K11" s="59">
        <v>24863008.201728076</v>
      </c>
    </row>
    <row r="12" spans="1:11" x14ac:dyDescent="0.25">
      <c r="A12" s="59" t="s">
        <v>40</v>
      </c>
      <c r="B12" s="59">
        <v>4052354.1677213367</v>
      </c>
      <c r="C12" s="59">
        <v>7828622.4323787205</v>
      </c>
      <c r="D12" s="59">
        <v>8917365.8724264652</v>
      </c>
      <c r="E12" s="59">
        <v>9094699.9178639054</v>
      </c>
      <c r="F12" s="59">
        <v>9271045.2756217383</v>
      </c>
      <c r="G12" s="59">
        <v>9433156.5254696757</v>
      </c>
      <c r="H12" s="59">
        <v>9731449.7625352573</v>
      </c>
      <c r="I12" s="59">
        <v>9842340.2429677714</v>
      </c>
      <c r="J12" s="59">
        <v>10041066.090106843</v>
      </c>
      <c r="K12" s="59">
        <v>10240142.938809158</v>
      </c>
    </row>
    <row r="13" spans="1:11" x14ac:dyDescent="0.25">
      <c r="A13" s="60" t="s">
        <v>70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11" x14ac:dyDescent="0.25">
      <c r="A14" s="59" t="s">
        <v>23</v>
      </c>
      <c r="B14" s="61">
        <v>-48920438.753330626</v>
      </c>
      <c r="C14" s="61">
        <v>-50142589.700292632</v>
      </c>
      <c r="D14" s="61">
        <v>-51403105.502937041</v>
      </c>
      <c r="E14" s="61">
        <v>-52693064.015634969</v>
      </c>
      <c r="F14" s="61">
        <v>-53987077.773324408</v>
      </c>
      <c r="G14" s="61">
        <v>-55066019.406402662</v>
      </c>
      <c r="H14" s="61">
        <v>-56166539.679971606</v>
      </c>
      <c r="I14" s="61">
        <v>-57289071.013591029</v>
      </c>
      <c r="J14" s="61">
        <v>-58434051.692308217</v>
      </c>
      <c r="K14" s="61">
        <v>-59606523.807368509</v>
      </c>
    </row>
    <row r="15" spans="1:11" x14ac:dyDescent="0.25">
      <c r="A15" s="59" t="s">
        <v>25</v>
      </c>
      <c r="B15" s="61">
        <v>-18363504.505256504</v>
      </c>
      <c r="C15" s="61">
        <v>-11640598.518141083</v>
      </c>
      <c r="D15" s="61">
        <v>-16875456.455909878</v>
      </c>
      <c r="E15" s="61">
        <v>-17984327.712894578</v>
      </c>
      <c r="F15" s="61">
        <v>-17738501.330772307</v>
      </c>
      <c r="G15" s="61">
        <v>-17471090.390013177</v>
      </c>
      <c r="H15" s="61">
        <v>-17566443.839655455</v>
      </c>
      <c r="I15" s="61">
        <v>-17840276.038113166</v>
      </c>
      <c r="J15" s="61">
        <v>-17880536.535054449</v>
      </c>
      <c r="K15" s="61">
        <v>-18294289.125761334</v>
      </c>
    </row>
    <row r="16" spans="1:11" x14ac:dyDescent="0.25">
      <c r="A16" s="59" t="s">
        <v>24</v>
      </c>
      <c r="B16" s="61">
        <v>-1436603.3547764854</v>
      </c>
      <c r="C16" s="61">
        <v>-1329862.579078282</v>
      </c>
      <c r="D16" s="61">
        <v>-1332419.9216994725</v>
      </c>
      <c r="E16" s="61">
        <v>-1066591.3656313412</v>
      </c>
      <c r="F16" s="61">
        <v>-902701.76211563451</v>
      </c>
      <c r="G16" s="61">
        <v>-596329.31378955417</v>
      </c>
      <c r="H16" s="61">
        <v>-424477.99187216966</v>
      </c>
      <c r="I16" s="61">
        <v>-324865.52344515</v>
      </c>
      <c r="J16" s="61">
        <v>-239340.47758175185</v>
      </c>
      <c r="K16" s="61">
        <v>-168203.53303364859</v>
      </c>
    </row>
    <row r="17" spans="1:11" x14ac:dyDescent="0.25">
      <c r="A17" s="59" t="s">
        <v>40</v>
      </c>
      <c r="B17" s="61">
        <v>-8039943.0583823966</v>
      </c>
      <c r="C17" s="61">
        <v>-8377457.6742305197</v>
      </c>
      <c r="D17" s="61">
        <v>-8501049.39795864</v>
      </c>
      <c r="E17" s="61">
        <v>-8608307.25602898</v>
      </c>
      <c r="F17" s="61">
        <v>-9175498.4859621748</v>
      </c>
      <c r="G17" s="61">
        <v>-8986611.257594116</v>
      </c>
      <c r="H17" s="61">
        <v>-9113711.6754233707</v>
      </c>
      <c r="I17" s="61">
        <v>-9290873.2171258163</v>
      </c>
      <c r="J17" s="61">
        <v>-9912012.5853511728</v>
      </c>
      <c r="K17" s="61">
        <v>-9684980.6151532978</v>
      </c>
    </row>
    <row r="18" spans="1:11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11" x14ac:dyDescent="0.25">
      <c r="A19" s="60" t="s">
        <v>71</v>
      </c>
      <c r="B19" s="62">
        <f>SUM(B8:B17)</f>
        <v>52530990.730696864</v>
      </c>
      <c r="C19" s="62">
        <f t="shared" ref="C19:K19" si="0">SUM(C8:C17)</f>
        <v>35929641.428835362</v>
      </c>
      <c r="D19" s="62">
        <f t="shared" si="0"/>
        <v>31539779.404403042</v>
      </c>
      <c r="E19" s="62">
        <f t="shared" si="0"/>
        <v>30823947.205903724</v>
      </c>
      <c r="F19" s="62">
        <f t="shared" si="0"/>
        <v>31631790.491178155</v>
      </c>
      <c r="G19" s="62">
        <f t="shared" si="0"/>
        <v>37356451.063921839</v>
      </c>
      <c r="H19" s="62">
        <f t="shared" si="0"/>
        <v>32846824.619999968</v>
      </c>
      <c r="I19" s="62">
        <f t="shared" si="0"/>
        <v>33431214.277291127</v>
      </c>
      <c r="J19" s="62">
        <f t="shared" si="0"/>
        <v>33593612.120618328</v>
      </c>
      <c r="K19" s="62">
        <f t="shared" si="0"/>
        <v>34394947.96512834</v>
      </c>
    </row>
    <row r="20" spans="1:11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</row>
    <row r="21" spans="1:11" x14ac:dyDescent="0.25">
      <c r="A21" s="58" t="s">
        <v>72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1" x14ac:dyDescent="0.25">
      <c r="A22" s="60" t="s">
        <v>67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1" x14ac:dyDescent="0.25">
      <c r="A23" s="59" t="s">
        <v>73</v>
      </c>
      <c r="B23" s="59">
        <v>10847457.77194111</v>
      </c>
      <c r="C23" s="59"/>
      <c r="D23" s="59"/>
      <c r="E23" s="59"/>
      <c r="F23" s="59"/>
      <c r="G23" s="59"/>
      <c r="H23" s="59"/>
      <c r="I23" s="59"/>
      <c r="J23" s="59"/>
      <c r="K23" s="59"/>
    </row>
    <row r="24" spans="1:11" x14ac:dyDescent="0.25">
      <c r="A24" s="59" t="s">
        <v>74</v>
      </c>
      <c r="B24" s="59">
        <v>3151773.2781337607</v>
      </c>
      <c r="C24" s="59">
        <v>4742473.4895875053</v>
      </c>
      <c r="D24" s="59">
        <v>4941442.8416099316</v>
      </c>
      <c r="E24" s="59">
        <v>4846885.5716860238</v>
      </c>
      <c r="F24" s="59">
        <v>4816990.9875851022</v>
      </c>
      <c r="G24" s="59">
        <v>3057692.6257509012</v>
      </c>
      <c r="H24" s="59">
        <v>1409092.8948738487</v>
      </c>
      <c r="I24" s="59">
        <v>1400842.0050060072</v>
      </c>
      <c r="J24" s="59">
        <v>1400842.9949939928</v>
      </c>
      <c r="K24" s="59">
        <v>1400842.0050060072</v>
      </c>
    </row>
    <row r="25" spans="1:11" x14ac:dyDescent="0.25">
      <c r="A25" s="60" t="s">
        <v>70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</row>
    <row r="26" spans="1:11" x14ac:dyDescent="0.25">
      <c r="A26" s="59" t="s">
        <v>75</v>
      </c>
      <c r="B26" s="61">
        <v>0</v>
      </c>
      <c r="C26" s="61">
        <v>-1981800.4162331403</v>
      </c>
      <c r="D26" s="61">
        <v>-8179987.2279292773</v>
      </c>
      <c r="E26" s="61">
        <v>-7498580.9986859458</v>
      </c>
      <c r="F26" s="61">
        <v>-5320604.9897256084</v>
      </c>
      <c r="G26" s="61">
        <v>-5936590.0877697319</v>
      </c>
      <c r="H26" s="61">
        <v>-5906226.3849741649</v>
      </c>
      <c r="I26" s="61">
        <v>-4088377.4526759186</v>
      </c>
      <c r="J26" s="61">
        <v>-3239260.5909248921</v>
      </c>
      <c r="K26" s="61">
        <v>-5624364.2989335861</v>
      </c>
    </row>
    <row r="27" spans="1:11" x14ac:dyDescent="0.25">
      <c r="A27" s="59" t="s">
        <v>76</v>
      </c>
      <c r="B27" s="61">
        <v>-65777134</v>
      </c>
      <c r="C27" s="61">
        <v>-30401744</v>
      </c>
      <c r="D27" s="61">
        <v>-20202739</v>
      </c>
      <c r="E27" s="61">
        <v>-20637918</v>
      </c>
      <c r="F27" s="61">
        <v>-23569961.98</v>
      </c>
      <c r="G27" s="61">
        <v>-28793911.18</v>
      </c>
      <c r="H27" s="61">
        <v>-24927465.969999991</v>
      </c>
      <c r="I27" s="61">
        <v>-27759878.180000003</v>
      </c>
      <c r="J27" s="61">
        <v>-28719792.440000001</v>
      </c>
      <c r="K27" s="61">
        <v>-27478797.68</v>
      </c>
    </row>
    <row r="28" spans="1:11" x14ac:dyDescent="0.25">
      <c r="A28" s="59"/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5">
      <c r="A29" s="60" t="s">
        <v>77</v>
      </c>
      <c r="B29" s="63">
        <f>SUM(B23:B27)</f>
        <v>-51777902.949925125</v>
      </c>
      <c r="C29" s="63">
        <f t="shared" ref="C29:K29" si="1">SUM(C23:C27)</f>
        <v>-27641070.926645637</v>
      </c>
      <c r="D29" s="63">
        <f t="shared" si="1"/>
        <v>-23441283.386319347</v>
      </c>
      <c r="E29" s="63">
        <f t="shared" si="1"/>
        <v>-23289613.426999923</v>
      </c>
      <c r="F29" s="63">
        <f t="shared" si="1"/>
        <v>-24073575.982140508</v>
      </c>
      <c r="G29" s="63">
        <f t="shared" si="1"/>
        <v>-31672808.642018832</v>
      </c>
      <c r="H29" s="63">
        <f t="shared" si="1"/>
        <v>-29424599.460100308</v>
      </c>
      <c r="I29" s="63">
        <f t="shared" si="1"/>
        <v>-30447413.627669916</v>
      </c>
      <c r="J29" s="63">
        <f t="shared" si="1"/>
        <v>-30558210.035930902</v>
      </c>
      <c r="K29" s="63">
        <f t="shared" si="1"/>
        <v>-31702319.97392758</v>
      </c>
    </row>
    <row r="30" spans="1:11" x14ac:dyDescent="0.25">
      <c r="A30" s="59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5">
      <c r="A31" s="58" t="s">
        <v>78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5">
      <c r="A32" s="60" t="s">
        <v>67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5">
      <c r="A33" s="59" t="s">
        <v>79</v>
      </c>
      <c r="B33" s="61">
        <v>5007540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</row>
    <row r="34" spans="1:11" x14ac:dyDescent="0.25">
      <c r="A34" s="60" t="s">
        <v>70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11" x14ac:dyDescent="0.25">
      <c r="A35" s="59" t="s">
        <v>80</v>
      </c>
      <c r="B35" s="61">
        <v>-6038767.7236420512</v>
      </c>
      <c r="C35" s="61">
        <v>-8237755.106901695</v>
      </c>
      <c r="D35" s="61">
        <v>-7888752.7558290977</v>
      </c>
      <c r="E35" s="61">
        <v>-7342062.4712452246</v>
      </c>
      <c r="F35" s="61">
        <v>-7421788.7400702834</v>
      </c>
      <c r="G35" s="61">
        <v>-5531422.1632422376</v>
      </c>
      <c r="H35" s="61">
        <v>-3270783.4577208497</v>
      </c>
      <c r="I35" s="61">
        <v>-2878970.4585269461</v>
      </c>
      <c r="J35" s="61">
        <v>-2952344.1208175239</v>
      </c>
      <c r="K35" s="61">
        <v>-2548413.5219973312</v>
      </c>
    </row>
    <row r="36" spans="1:11" x14ac:dyDescent="0.25">
      <c r="A36" s="59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1" x14ac:dyDescent="0.25">
      <c r="A37" s="60" t="s">
        <v>81</v>
      </c>
      <c r="B37" s="63">
        <f>SUM(B33:B35)</f>
        <v>-1031227.7236420512</v>
      </c>
      <c r="C37" s="63">
        <f t="shared" ref="C37:K37" si="2">SUM(C33:C35)</f>
        <v>-8237755.106901695</v>
      </c>
      <c r="D37" s="63">
        <f t="shared" si="2"/>
        <v>-7888752.7558290977</v>
      </c>
      <c r="E37" s="63">
        <f t="shared" si="2"/>
        <v>-7342062.4712452246</v>
      </c>
      <c r="F37" s="63">
        <f t="shared" si="2"/>
        <v>-7421788.7400702834</v>
      </c>
      <c r="G37" s="63">
        <f t="shared" si="2"/>
        <v>-5531422.1632422376</v>
      </c>
      <c r="H37" s="63">
        <f t="shared" si="2"/>
        <v>-3270783.4577208497</v>
      </c>
      <c r="I37" s="63">
        <f t="shared" si="2"/>
        <v>-2878970.4585269461</v>
      </c>
      <c r="J37" s="63">
        <f t="shared" si="2"/>
        <v>-2952344.1208175239</v>
      </c>
      <c r="K37" s="63">
        <f t="shared" si="2"/>
        <v>-2548413.5219973312</v>
      </c>
    </row>
    <row r="38" spans="1:11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</row>
    <row r="39" spans="1:11" x14ac:dyDescent="0.25">
      <c r="A39" s="60" t="s">
        <v>82</v>
      </c>
      <c r="B39" s="61">
        <f>+B19+B29+B37</f>
        <v>-278139.94287031144</v>
      </c>
      <c r="C39" s="61">
        <f t="shared" ref="C39:K39" si="3">+C19+C29+C37</f>
        <v>50815.395288030617</v>
      </c>
      <c r="D39" s="61">
        <f t="shared" si="3"/>
        <v>209743.26225459762</v>
      </c>
      <c r="E39" s="61">
        <f t="shared" si="3"/>
        <v>192271.30765857641</v>
      </c>
      <c r="F39" s="61">
        <f t="shared" si="3"/>
        <v>136425.76896736398</v>
      </c>
      <c r="G39" s="61">
        <f t="shared" si="3"/>
        <v>152220.25866076909</v>
      </c>
      <c r="H39" s="61">
        <f t="shared" si="3"/>
        <v>151441.70217880979</v>
      </c>
      <c r="I39" s="61">
        <f t="shared" si="3"/>
        <v>104830.19109426485</v>
      </c>
      <c r="J39" s="61">
        <f t="shared" si="3"/>
        <v>83057.963869902771</v>
      </c>
      <c r="K39" s="61">
        <f t="shared" si="3"/>
        <v>144214.46920342883</v>
      </c>
    </row>
    <row r="40" spans="1:11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</row>
    <row r="41" spans="1:11" x14ac:dyDescent="0.25">
      <c r="A41" s="60" t="s">
        <v>83</v>
      </c>
      <c r="B41" s="59">
        <v>1377580.3053158373</v>
      </c>
      <c r="C41" s="59">
        <f>+B43</f>
        <v>1099440.3624455258</v>
      </c>
      <c r="D41" s="59">
        <f t="shared" ref="D41:K41" si="4">+C43</f>
        <v>1150255.7577335564</v>
      </c>
      <c r="E41" s="59">
        <f t="shared" si="4"/>
        <v>1359999.0199881541</v>
      </c>
      <c r="F41" s="59">
        <f t="shared" si="4"/>
        <v>1552270.3276467305</v>
      </c>
      <c r="G41" s="59">
        <f t="shared" si="4"/>
        <v>1688696.0966140945</v>
      </c>
      <c r="H41" s="59">
        <f t="shared" si="4"/>
        <v>1840916.3552748635</v>
      </c>
      <c r="I41" s="59">
        <f t="shared" si="4"/>
        <v>1992358.0574536733</v>
      </c>
      <c r="J41" s="59">
        <f t="shared" si="4"/>
        <v>2097188.2485479382</v>
      </c>
      <c r="K41" s="59">
        <f t="shared" si="4"/>
        <v>2180246.212417841</v>
      </c>
    </row>
    <row r="42" spans="1:11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</row>
    <row r="43" spans="1:11" x14ac:dyDescent="0.25">
      <c r="A43" s="60" t="s">
        <v>84</v>
      </c>
      <c r="B43" s="64">
        <f>+B39+B41</f>
        <v>1099440.3624455258</v>
      </c>
      <c r="C43" s="64">
        <f t="shared" ref="C43:K43" si="5">+C39+C41</f>
        <v>1150255.7577335564</v>
      </c>
      <c r="D43" s="64">
        <f t="shared" si="5"/>
        <v>1359999.0199881541</v>
      </c>
      <c r="E43" s="64">
        <f t="shared" si="5"/>
        <v>1552270.3276467305</v>
      </c>
      <c r="F43" s="64">
        <f t="shared" si="5"/>
        <v>1688696.0966140945</v>
      </c>
      <c r="G43" s="64">
        <f t="shared" si="5"/>
        <v>1840916.3552748635</v>
      </c>
      <c r="H43" s="64">
        <f t="shared" si="5"/>
        <v>1992358.0574536733</v>
      </c>
      <c r="I43" s="64">
        <f t="shared" si="5"/>
        <v>2097188.2485479382</v>
      </c>
      <c r="J43" s="64">
        <f t="shared" si="5"/>
        <v>2180246.212417841</v>
      </c>
      <c r="K43" s="64">
        <f t="shared" si="5"/>
        <v>2324460.6816212698</v>
      </c>
    </row>
    <row r="44" spans="1:11" x14ac:dyDescent="0.25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</row>
    <row r="47" spans="1:11" x14ac:dyDescent="0.25">
      <c r="A47" s="59" t="s">
        <v>84</v>
      </c>
      <c r="B47" s="59">
        <f>+B43</f>
        <v>1099440.3624455258</v>
      </c>
      <c r="C47" s="59">
        <f t="shared" ref="C47:K47" si="6">+C43</f>
        <v>1150255.7577335564</v>
      </c>
      <c r="D47" s="59">
        <f t="shared" si="6"/>
        <v>1359999.0199881541</v>
      </c>
      <c r="E47" s="59">
        <f t="shared" si="6"/>
        <v>1552270.3276467305</v>
      </c>
      <c r="F47" s="59">
        <f t="shared" si="6"/>
        <v>1688696.0966140945</v>
      </c>
      <c r="G47" s="59">
        <f t="shared" si="6"/>
        <v>1840916.3552748635</v>
      </c>
      <c r="H47" s="59">
        <f t="shared" si="6"/>
        <v>1992358.0574536733</v>
      </c>
      <c r="I47" s="59">
        <f t="shared" si="6"/>
        <v>2097188.2485479382</v>
      </c>
      <c r="J47" s="59">
        <f t="shared" si="6"/>
        <v>2180246.212417841</v>
      </c>
      <c r="K47" s="59">
        <f t="shared" si="6"/>
        <v>2324460.6816212698</v>
      </c>
    </row>
    <row r="48" spans="1:11" x14ac:dyDescent="0.25">
      <c r="A48" s="59" t="s">
        <v>85</v>
      </c>
      <c r="B48" s="59">
        <v>42878174.135378674</v>
      </c>
      <c r="C48" s="59">
        <v>44859974.551611811</v>
      </c>
      <c r="D48" s="59">
        <v>53039961.77954109</v>
      </c>
      <c r="E48" s="59">
        <v>60538542.778227039</v>
      </c>
      <c r="F48" s="59">
        <v>65859147.767952651</v>
      </c>
      <c r="G48" s="59">
        <v>71795737.855722383</v>
      </c>
      <c r="H48" s="59">
        <v>77701964.240696549</v>
      </c>
      <c r="I48" s="59">
        <v>81790341.693372473</v>
      </c>
      <c r="J48" s="59">
        <v>85029602.284297362</v>
      </c>
      <c r="K48" s="59">
        <v>90653966.583230942</v>
      </c>
    </row>
    <row r="49" spans="1:11" x14ac:dyDescent="0.25">
      <c r="A49" s="64" t="s">
        <v>86</v>
      </c>
      <c r="B49" s="64">
        <f>SUM(B47:B48)</f>
        <v>43977614.497824199</v>
      </c>
      <c r="C49" s="64">
        <f t="shared" ref="C49:K49" si="7">SUM(C47:C48)</f>
        <v>46010230.309345365</v>
      </c>
      <c r="D49" s="64">
        <f t="shared" si="7"/>
        <v>54399960.799529247</v>
      </c>
      <c r="E49" s="64">
        <f t="shared" si="7"/>
        <v>62090813.105873771</v>
      </c>
      <c r="F49" s="64">
        <f t="shared" si="7"/>
        <v>67547843.864566743</v>
      </c>
      <c r="G49" s="64">
        <f t="shared" si="7"/>
        <v>73636654.210997254</v>
      </c>
      <c r="H49" s="64">
        <f t="shared" si="7"/>
        <v>79694322.298150226</v>
      </c>
      <c r="I49" s="64">
        <f t="shared" si="7"/>
        <v>83887529.941920415</v>
      </c>
      <c r="J49" s="64">
        <f t="shared" si="7"/>
        <v>87209848.496715203</v>
      </c>
      <c r="K49" s="64">
        <f t="shared" si="7"/>
        <v>92978427.264852211</v>
      </c>
    </row>
    <row r="50" spans="1:11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</row>
    <row r="51" spans="1:11" x14ac:dyDescent="0.25">
      <c r="A51" s="58" t="s">
        <v>87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</row>
    <row r="52" spans="1:11" x14ac:dyDescent="0.25">
      <c r="A52" s="66" t="s">
        <v>88</v>
      </c>
      <c r="B52" s="59">
        <v>22422423</v>
      </c>
      <c r="C52" s="59">
        <v>22453434</v>
      </c>
      <c r="D52" s="59">
        <v>26119726</v>
      </c>
      <c r="E52" s="59">
        <v>29557231</v>
      </c>
      <c r="F52" s="59">
        <v>31344261.740000002</v>
      </c>
      <c r="G52" s="59">
        <v>36200600.079999998</v>
      </c>
      <c r="H52" s="59">
        <v>37231901.470000006</v>
      </c>
      <c r="I52" s="59">
        <v>35503934.390000001</v>
      </c>
      <c r="J52" s="59">
        <v>32268614.190000001</v>
      </c>
      <c r="K52" s="59">
        <v>31661704.420000002</v>
      </c>
    </row>
    <row r="53" spans="1:11" x14ac:dyDescent="0.25">
      <c r="A53" s="66" t="s">
        <v>115</v>
      </c>
      <c r="B53" s="59">
        <v>21469676</v>
      </c>
      <c r="C53" s="59">
        <v>23432464</v>
      </c>
      <c r="D53" s="59">
        <v>27938509</v>
      </c>
      <c r="E53" s="59">
        <v>32301075</v>
      </c>
      <c r="F53" s="59">
        <v>36042769.190000005</v>
      </c>
      <c r="G53" s="59">
        <v>36845470.069999993</v>
      </c>
      <c r="H53" s="59">
        <v>40829104.010000005</v>
      </c>
      <c r="I53" s="59">
        <v>45706195.940000005</v>
      </c>
      <c r="J53" s="59">
        <v>50950227.969999999</v>
      </c>
      <c r="K53" s="59">
        <v>56382637.579999991</v>
      </c>
    </row>
    <row r="54" spans="1:11" x14ac:dyDescent="0.25">
      <c r="A54" s="66" t="s">
        <v>90</v>
      </c>
      <c r="B54" s="59">
        <v>85515.497824199498</v>
      </c>
      <c r="C54" s="59">
        <v>124332.30934536457</v>
      </c>
      <c r="D54" s="59">
        <v>341725.79952924699</v>
      </c>
      <c r="E54" s="59">
        <v>232507.10587377101</v>
      </c>
      <c r="F54" s="59">
        <v>160812.93456673622</v>
      </c>
      <c r="G54" s="59">
        <v>590584.0609972626</v>
      </c>
      <c r="H54" s="59">
        <v>1633316.8181502149</v>
      </c>
      <c r="I54" s="59">
        <v>2677399.6119204089</v>
      </c>
      <c r="J54" s="59">
        <v>3991006.3367152065</v>
      </c>
      <c r="K54" s="59">
        <v>4934085.2648522183</v>
      </c>
    </row>
    <row r="55" spans="1:11" ht="15.75" thickBot="1" x14ac:dyDescent="0.3">
      <c r="A55" s="59"/>
      <c r="B55" s="67">
        <f>SUM(B52:B54)</f>
        <v>43977614.497824199</v>
      </c>
      <c r="C55" s="67">
        <f t="shared" ref="C55:K55" si="8">SUM(C52:C54)</f>
        <v>46010230.309345365</v>
      </c>
      <c r="D55" s="67">
        <f t="shared" si="8"/>
        <v>54399960.799529247</v>
      </c>
      <c r="E55" s="67">
        <f t="shared" si="8"/>
        <v>62090813.105873771</v>
      </c>
      <c r="F55" s="67">
        <f t="shared" si="8"/>
        <v>67547843.864566743</v>
      </c>
      <c r="G55" s="67">
        <f t="shared" si="8"/>
        <v>73636654.210997254</v>
      </c>
      <c r="H55" s="67">
        <f t="shared" si="8"/>
        <v>79694322.298150241</v>
      </c>
      <c r="I55" s="67">
        <f t="shared" si="8"/>
        <v>83887529.941920429</v>
      </c>
      <c r="J55" s="67">
        <f t="shared" si="8"/>
        <v>87209848.496715203</v>
      </c>
      <c r="K55" s="67">
        <f t="shared" si="8"/>
        <v>92978427.264852226</v>
      </c>
    </row>
  </sheetData>
  <mergeCells count="1">
    <mergeCell ref="B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08F7-6685-43E3-9693-3D232E69741B}">
  <dimension ref="A1:L35"/>
  <sheetViews>
    <sheetView workbookViewId="0">
      <selection activeCell="A40" sqref="A40"/>
    </sheetView>
  </sheetViews>
  <sheetFormatPr defaultRowHeight="15" x14ac:dyDescent="0.25"/>
  <cols>
    <col min="1" max="1" width="61.85546875" customWidth="1"/>
  </cols>
  <sheetData>
    <row r="1" spans="1:12" x14ac:dyDescent="0.25">
      <c r="A1" s="68" t="s">
        <v>0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68" t="s">
        <v>105</v>
      </c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25">
      <c r="A3" s="68" t="s">
        <v>116</v>
      </c>
      <c r="B3" s="71"/>
      <c r="C3" s="163" t="s">
        <v>2</v>
      </c>
      <c r="D3" s="163"/>
      <c r="E3" s="163"/>
      <c r="F3" s="163"/>
      <c r="G3" s="163"/>
      <c r="H3" s="163"/>
      <c r="I3" s="163"/>
      <c r="J3" s="163"/>
      <c r="K3" s="163"/>
      <c r="L3" s="163"/>
    </row>
    <row r="4" spans="1:12" ht="15.75" thickBot="1" x14ac:dyDescent="0.3">
      <c r="A4" s="33" t="s">
        <v>108</v>
      </c>
      <c r="B4" s="72"/>
      <c r="C4" s="34" t="s">
        <v>3</v>
      </c>
      <c r="D4" s="34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9</v>
      </c>
      <c r="J4" s="34" t="s">
        <v>10</v>
      </c>
      <c r="K4" s="34" t="s">
        <v>11</v>
      </c>
      <c r="L4" s="34" t="s">
        <v>106</v>
      </c>
    </row>
    <row r="5" spans="1:12" x14ac:dyDescent="0.25">
      <c r="A5" s="70"/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x14ac:dyDescent="0.25">
      <c r="A6" s="73" t="s">
        <v>92</v>
      </c>
      <c r="B6" s="69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x14ac:dyDescent="0.25">
      <c r="A7" s="70" t="s">
        <v>93</v>
      </c>
      <c r="B7" s="69"/>
      <c r="C7" s="74">
        <v>-4.2335085224176415E-2</v>
      </c>
      <c r="D7" s="74">
        <v>7.7556743846315434E-3</v>
      </c>
      <c r="E7" s="74">
        <v>1.2898635037441231E-2</v>
      </c>
      <c r="F7" s="74">
        <v>1.6446388809023851E-2</v>
      </c>
      <c r="G7" s="74">
        <v>1.8326507300138472E-2</v>
      </c>
      <c r="H7" s="74">
        <v>3.0788039308527661E-2</v>
      </c>
      <c r="I7" s="74">
        <v>1.7283496310805883E-2</v>
      </c>
      <c r="J7" s="74">
        <v>2.3854111035727852E-2</v>
      </c>
      <c r="K7" s="74">
        <v>2.433287385361842E-2</v>
      </c>
      <c r="L7" s="74">
        <v>3.1518671598054458E-2</v>
      </c>
    </row>
    <row r="8" spans="1:12" x14ac:dyDescent="0.25">
      <c r="A8" s="70" t="s">
        <v>94</v>
      </c>
      <c r="B8" s="69"/>
      <c r="C8" s="74">
        <v>0.59992280452669144</v>
      </c>
      <c r="D8" s="74">
        <v>0.78994968048566738</v>
      </c>
      <c r="E8" s="74">
        <v>0.79115775328723359</v>
      </c>
      <c r="F8" s="74">
        <v>0.79630292527457103</v>
      </c>
      <c r="G8" s="74">
        <v>0.79707400098400516</v>
      </c>
      <c r="H8" s="74">
        <v>0.7732273111961333</v>
      </c>
      <c r="I8" s="74">
        <v>0.79299759007282111</v>
      </c>
      <c r="J8" s="74">
        <v>0.79386881275772958</v>
      </c>
      <c r="K8" s="74">
        <v>0.79626476759986076</v>
      </c>
      <c r="L8" s="74">
        <v>0.79693219200265863</v>
      </c>
    </row>
    <row r="9" spans="1:12" x14ac:dyDescent="0.25">
      <c r="A9" s="70" t="s">
        <v>95</v>
      </c>
      <c r="B9" s="75"/>
      <c r="C9" s="76">
        <v>2.1731650022483149</v>
      </c>
      <c r="D9" s="76">
        <v>2.1847923914713587</v>
      </c>
      <c r="E9" s="76">
        <v>2.404857949449549</v>
      </c>
      <c r="F9" s="76">
        <v>2.5878633019323858</v>
      </c>
      <c r="G9" s="76">
        <v>2.9696411667434486</v>
      </c>
      <c r="H9" s="76">
        <v>3.3350321867187676</v>
      </c>
      <c r="I9" s="76">
        <v>3.5619085796793102</v>
      </c>
      <c r="J9" s="76">
        <v>3.7712064392367513</v>
      </c>
      <c r="K9" s="76">
        <v>4.05494209149097</v>
      </c>
      <c r="L9" s="76">
        <v>4.4848257135389771</v>
      </c>
    </row>
    <row r="10" spans="1:12" x14ac:dyDescent="0.25">
      <c r="A10" s="70" t="s">
        <v>96</v>
      </c>
      <c r="B10" s="69"/>
      <c r="C10" s="76">
        <v>3.2461722144917013</v>
      </c>
      <c r="D10" s="76">
        <v>3.1120367038115555</v>
      </c>
      <c r="E10" s="76">
        <v>3.3120618062611649</v>
      </c>
      <c r="F10" s="76">
        <v>3.6538485067743154</v>
      </c>
      <c r="G10" s="76">
        <v>3.708766879096272</v>
      </c>
      <c r="H10" s="76">
        <v>5.2295243462496712</v>
      </c>
      <c r="I10" s="76">
        <v>8.1597557105864258</v>
      </c>
      <c r="J10" s="76">
        <v>9.605294891696694</v>
      </c>
      <c r="K10" s="76">
        <v>9.6623409110330343</v>
      </c>
      <c r="L10" s="76">
        <v>11.695042045829677</v>
      </c>
    </row>
    <row r="11" spans="1:12" x14ac:dyDescent="0.25">
      <c r="A11" s="70" t="s">
        <v>97</v>
      </c>
      <c r="B11" s="77"/>
      <c r="C11" s="74">
        <v>4.7612155668029781E-2</v>
      </c>
      <c r="D11" s="74">
        <v>4.7544402402000592E-2</v>
      </c>
      <c r="E11" s="74">
        <v>4.7544402267762506E-2</v>
      </c>
      <c r="F11" s="74">
        <v>4.754440234537672E-2</v>
      </c>
      <c r="G11" s="74">
        <v>4.7544536684011172E-2</v>
      </c>
      <c r="H11" s="74">
        <v>4.7544531882915277E-2</v>
      </c>
      <c r="I11" s="74">
        <v>4.754452719113493E-2</v>
      </c>
      <c r="J11" s="74">
        <v>4.7544522596421397E-2</v>
      </c>
      <c r="K11" s="74">
        <v>4.7544518107590486E-2</v>
      </c>
      <c r="L11" s="74">
        <v>4.7544083948900535E-2</v>
      </c>
    </row>
    <row r="12" spans="1:12" x14ac:dyDescent="0.25">
      <c r="A12" s="70" t="s">
        <v>98</v>
      </c>
      <c r="B12" s="69"/>
      <c r="C12" s="76">
        <v>0.15934061203406596</v>
      </c>
      <c r="D12" s="76">
        <v>0.17312642309321397</v>
      </c>
      <c r="E12" s="76">
        <v>0.18976557508293598</v>
      </c>
      <c r="F12" s="76">
        <v>0.21241098579849615</v>
      </c>
      <c r="G12" s="76">
        <v>0.22711374769191706</v>
      </c>
      <c r="H12" s="76">
        <v>0.25203223203666847</v>
      </c>
      <c r="I12" s="76">
        <v>0.27626249297339983</v>
      </c>
      <c r="J12" s="76">
        <v>0.28720719011847584</v>
      </c>
      <c r="K12" s="76">
        <v>0.2925906533403847</v>
      </c>
      <c r="L12" s="76">
        <v>0.30889018347459241</v>
      </c>
    </row>
    <row r="13" spans="1:12" x14ac:dyDescent="0.25">
      <c r="A13" s="70"/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x14ac:dyDescent="0.25">
      <c r="A14" s="78" t="s">
        <v>127</v>
      </c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2" x14ac:dyDescent="0.25">
      <c r="A15" s="70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</row>
    <row r="16" spans="1:12" x14ac:dyDescent="0.25">
      <c r="A16" s="73" t="s">
        <v>117</v>
      </c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1:12" x14ac:dyDescent="0.25">
      <c r="A17" s="70" t="s">
        <v>99</v>
      </c>
      <c r="B17" s="77"/>
      <c r="C17" s="79">
        <v>1.2870641608528035</v>
      </c>
      <c r="D17" s="79">
        <v>0.56020627305278259</v>
      </c>
      <c r="E17" s="79">
        <v>0.52015662949043129</v>
      </c>
      <c r="F17" s="79">
        <v>0.53908210657540634</v>
      </c>
      <c r="G17" s="79">
        <v>0.53536686840179049</v>
      </c>
      <c r="H17" s="79">
        <v>0.81617812787039878</v>
      </c>
      <c r="I17" s="79">
        <v>0.58888877395413497</v>
      </c>
      <c r="J17" s="79">
        <v>0.58686717705381164</v>
      </c>
      <c r="K17" s="79">
        <v>0.56942080011752572</v>
      </c>
      <c r="L17" s="79">
        <v>0.61108316780588401</v>
      </c>
    </row>
    <row r="18" spans="1:12" hidden="1" x14ac:dyDescent="0.25">
      <c r="A18" s="70" t="s">
        <v>118</v>
      </c>
      <c r="B18" s="69"/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</row>
    <row r="19" spans="1:12" hidden="1" x14ac:dyDescent="0.25">
      <c r="A19" s="70" t="s">
        <v>119</v>
      </c>
      <c r="B19" s="69"/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</row>
    <row r="20" spans="1:12" hidden="1" x14ac:dyDescent="0.25">
      <c r="A20" s="70" t="s">
        <v>120</v>
      </c>
      <c r="B20" s="69"/>
      <c r="C20" s="80">
        <v>2.065923914299884</v>
      </c>
      <c r="D20" s="80">
        <v>0.21775001897576199</v>
      </c>
      <c r="E20" s="80">
        <v>0.84109208303522098</v>
      </c>
      <c r="F20" s="80">
        <v>0.84383287807904084</v>
      </c>
      <c r="G20" s="80">
        <v>0.85474128147226036</v>
      </c>
      <c r="H20" s="80">
        <v>1.2236468277632608</v>
      </c>
      <c r="I20" s="80">
        <v>0.90529973501773997</v>
      </c>
      <c r="J20" s="80">
        <v>0.961041044511311</v>
      </c>
      <c r="K20" s="80">
        <v>0.97756320277160569</v>
      </c>
      <c r="L20" s="80">
        <v>1.0367059379282173</v>
      </c>
    </row>
    <row r="21" spans="1:12" hidden="1" x14ac:dyDescent="0.25">
      <c r="A21" s="70"/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1:12" hidden="1" x14ac:dyDescent="0.25">
      <c r="A22" s="73" t="s">
        <v>121</v>
      </c>
      <c r="B22" s="75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1:12" hidden="1" x14ac:dyDescent="0.25">
      <c r="A23" s="70" t="s">
        <v>100</v>
      </c>
      <c r="B23" s="77"/>
      <c r="C23" s="79">
        <v>6.4678023913923716E-2</v>
      </c>
      <c r="D23" s="79">
        <v>0.23787626883453647</v>
      </c>
      <c r="E23" s="79">
        <v>5.2022869866535655E-2</v>
      </c>
      <c r="F23" s="79">
        <v>5.1055215289204078E-2</v>
      </c>
      <c r="G23" s="79">
        <v>4.3764550516074939E-2</v>
      </c>
      <c r="H23" s="79">
        <v>3.5759754863189705E-2</v>
      </c>
      <c r="I23" s="79">
        <v>3.4616482185865376E-2</v>
      </c>
      <c r="J23" s="79">
        <v>2.9837870853208413E-2</v>
      </c>
      <c r="K23" s="79">
        <v>2.1794177462164624E-2</v>
      </c>
      <c r="L23" s="79">
        <v>1.6852244958792721E-2</v>
      </c>
    </row>
    <row r="24" spans="1:12" hidden="1" x14ac:dyDescent="0.25">
      <c r="A24" s="70" t="s">
        <v>122</v>
      </c>
      <c r="B24" s="77"/>
      <c r="C24" s="79">
        <v>0.38304767799236966</v>
      </c>
      <c r="D24" s="79">
        <v>0.43518487175810328</v>
      </c>
      <c r="E24" s="79">
        <v>0.45041060719252041</v>
      </c>
      <c r="F24" s="79">
        <v>0.45114187433194791</v>
      </c>
      <c r="G24" s="79">
        <v>0.44803878870504737</v>
      </c>
      <c r="H24" s="79">
        <v>0.41961353179761507</v>
      </c>
      <c r="I24" s="79">
        <v>0.44918637779965004</v>
      </c>
      <c r="J24" s="79">
        <v>0.44989299785537368</v>
      </c>
      <c r="K24" s="79">
        <v>0.45017772360286212</v>
      </c>
      <c r="L24" s="79">
        <v>0.45088880361906231</v>
      </c>
    </row>
    <row r="25" spans="1:12" hidden="1" x14ac:dyDescent="0.25">
      <c r="A25" s="70"/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</row>
    <row r="26" spans="1:12" hidden="1" x14ac:dyDescent="0.25">
      <c r="A26" s="73" t="s">
        <v>123</v>
      </c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1:12" hidden="1" x14ac:dyDescent="0.25">
      <c r="A27" s="70" t="s">
        <v>93</v>
      </c>
      <c r="B27" s="69"/>
      <c r="C27" s="81">
        <v>-2.1780443557166483E-2</v>
      </c>
      <c r="D27" s="81">
        <v>3.769671749293432E-3</v>
      </c>
      <c r="E27" s="81">
        <v>1.7130404942940436E-2</v>
      </c>
      <c r="F27" s="81">
        <v>2.0899807086582022E-2</v>
      </c>
      <c r="G27" s="81">
        <v>2.174158327370624E-2</v>
      </c>
      <c r="H27" s="81">
        <v>2.1271312046932229E-2</v>
      </c>
      <c r="I27" s="81">
        <v>2.731690095538785E-2</v>
      </c>
      <c r="J27" s="81">
        <v>3.2470209179630151E-2</v>
      </c>
      <c r="K27" s="81">
        <v>3.7125140603630639E-2</v>
      </c>
      <c r="L27" s="81">
        <v>3.7101989698523546E-2</v>
      </c>
    </row>
    <row r="28" spans="1:12" hidden="1" x14ac:dyDescent="0.25">
      <c r="A28" s="70" t="s">
        <v>124</v>
      </c>
      <c r="B28" s="69"/>
      <c r="C28" s="81">
        <v>0.64205868737322858</v>
      </c>
      <c r="D28" s="81">
        <v>0.76211991686223002</v>
      </c>
      <c r="E28" s="81">
        <v>0.78825789182500694</v>
      </c>
      <c r="F28" s="81">
        <v>0.78897462491275394</v>
      </c>
      <c r="G28" s="81">
        <v>0.79160031161986666</v>
      </c>
      <c r="H28" s="81">
        <v>0.74064686363702614</v>
      </c>
      <c r="I28" s="81">
        <v>0.79220601589457973</v>
      </c>
      <c r="J28" s="81">
        <v>0.79379357647307369</v>
      </c>
      <c r="K28" s="81">
        <v>0.79465701313489856</v>
      </c>
      <c r="L28" s="81">
        <v>0.79523985389771423</v>
      </c>
    </row>
    <row r="29" spans="1:12" hidden="1" x14ac:dyDescent="0.25">
      <c r="A29" s="70" t="s">
        <v>125</v>
      </c>
      <c r="B29" s="77"/>
      <c r="C29" s="79">
        <v>0.75781753047496858</v>
      </c>
      <c r="D29" s="79">
        <v>0.6686526716267247</v>
      </c>
      <c r="E29" s="79">
        <v>0.58573911476353369</v>
      </c>
      <c r="F29" s="79">
        <v>0.59051305661369324</v>
      </c>
      <c r="G29" s="79">
        <v>0.59732356614081494</v>
      </c>
      <c r="H29" s="79">
        <v>0.63216828417000348</v>
      </c>
      <c r="I29" s="79">
        <v>0.64672633761623854</v>
      </c>
      <c r="J29" s="79">
        <v>0.67959792538393604</v>
      </c>
      <c r="K29" s="79">
        <v>0.74876932930104256</v>
      </c>
      <c r="L29" s="79">
        <v>0.76339247346348971</v>
      </c>
    </row>
    <row r="30" spans="1:12" hidden="1" x14ac:dyDescent="0.25">
      <c r="A30" s="70" t="s">
        <v>118</v>
      </c>
      <c r="B30" s="69"/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</row>
    <row r="31" spans="1:12" hidden="1" x14ac:dyDescent="0.25">
      <c r="A31" s="70" t="s">
        <v>119</v>
      </c>
      <c r="B31" s="69"/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</row>
    <row r="32" spans="1:12" hidden="1" x14ac:dyDescent="0.25">
      <c r="A32" s="70" t="s">
        <v>100</v>
      </c>
      <c r="B32" s="77"/>
      <c r="C32" s="79">
        <v>5.9083104157511307E-2</v>
      </c>
      <c r="D32" s="79">
        <v>0.21848428636457778</v>
      </c>
      <c r="E32" s="79">
        <v>4.7849330918780131E-2</v>
      </c>
      <c r="F32" s="79">
        <v>4.7001826930785626E-2</v>
      </c>
      <c r="G32" s="79">
        <v>4.0339989881290644E-2</v>
      </c>
      <c r="H32" s="79">
        <v>3.2968978756094149E-2</v>
      </c>
      <c r="I32" s="79">
        <v>3.1898697511144047E-2</v>
      </c>
      <c r="J32" s="79">
        <v>2.7531828817733354E-2</v>
      </c>
      <c r="K32" s="79">
        <v>2.0117749518319666E-2</v>
      </c>
      <c r="L32" s="79">
        <v>1.5559415699723049E-2</v>
      </c>
    </row>
    <row r="33" spans="1:12" hidden="1" x14ac:dyDescent="0.25">
      <c r="A33" s="70" t="s">
        <v>126</v>
      </c>
      <c r="B33" s="77"/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</row>
    <row r="34" spans="1:12" hidden="1" x14ac:dyDescent="0.25">
      <c r="A34" s="78" t="s">
        <v>127</v>
      </c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</row>
    <row r="35" spans="1:12" x14ac:dyDescent="0.25">
      <c r="A35" s="25" t="s">
        <v>100</v>
      </c>
      <c r="B35" s="69"/>
      <c r="C35" s="79">
        <v>8.4428406643547949E-2</v>
      </c>
      <c r="D35" s="79">
        <v>9.8697371028273806E-2</v>
      </c>
      <c r="E35" s="79">
        <v>9.3354877994597463E-2</v>
      </c>
      <c r="F35" s="79">
        <v>8.351853868354378E-2</v>
      </c>
      <c r="G35" s="79">
        <v>8.104112959536533E-2</v>
      </c>
      <c r="H35" s="79">
        <v>5.8438739381491946E-2</v>
      </c>
      <c r="I35" s="79">
        <v>3.5317277545964358E-2</v>
      </c>
      <c r="J35" s="79">
        <v>3.0017763386920096E-2</v>
      </c>
      <c r="K35" s="79">
        <v>2.9362076033488844E-2</v>
      </c>
      <c r="L35" s="79">
        <v>2.4546137162975535E-2</v>
      </c>
    </row>
  </sheetData>
  <mergeCells count="1">
    <mergeCell ref="C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C2DB-406B-4632-BB90-CFCF2FA077DC}">
  <dimension ref="A1:K31"/>
  <sheetViews>
    <sheetView workbookViewId="0">
      <selection activeCell="E19" sqref="E19"/>
    </sheetView>
  </sheetViews>
  <sheetFormatPr defaultRowHeight="15" x14ac:dyDescent="0.25"/>
  <cols>
    <col min="1" max="1" width="60.5703125" customWidth="1"/>
    <col min="2" max="11" width="12.85546875" customWidth="1"/>
  </cols>
  <sheetData>
    <row r="1" spans="1:11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x14ac:dyDescent="0.25">
      <c r="A2" s="82" t="s">
        <v>105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x14ac:dyDescent="0.25">
      <c r="A3" s="82" t="s">
        <v>128</v>
      </c>
      <c r="B3" s="164" t="s">
        <v>2</v>
      </c>
      <c r="C3" s="164"/>
      <c r="D3" s="164"/>
      <c r="E3" s="164"/>
      <c r="F3" s="164"/>
      <c r="G3" s="164"/>
      <c r="H3" s="164"/>
      <c r="I3" s="164"/>
      <c r="J3" s="164"/>
      <c r="K3" s="164"/>
    </row>
    <row r="4" spans="1:11" x14ac:dyDescent="0.25">
      <c r="A4" s="82" t="s">
        <v>101</v>
      </c>
      <c r="B4" s="29" t="str">
        <f>Starting_year_general&amp;"/"&amp;RIGHT(Starting_year_general+1,2)</f>
        <v>2021/22</v>
      </c>
      <c r="C4" s="29" t="str">
        <f>Starting_year_general+1&amp;"/"&amp;RIGHT(Starting_year_general+2,2)</f>
        <v>2022/23</v>
      </c>
      <c r="D4" s="29" t="str">
        <f>Starting_year_general+2&amp;"/"&amp;RIGHT(Starting_year_general+3,2)</f>
        <v>2023/24</v>
      </c>
      <c r="E4" s="29" t="str">
        <f>Starting_year_general+3&amp;"/"&amp;RIGHT(Starting_year_general+4,2)</f>
        <v>2024/25</v>
      </c>
      <c r="F4" s="29" t="str">
        <f>Starting_year_general+4&amp;"/"&amp;RIGHT(Starting_year_general+5,2)</f>
        <v>2025/26</v>
      </c>
      <c r="G4" s="29" t="str">
        <f>Starting_year_general+5&amp;"/"&amp;RIGHT(Starting_year_general+6,2)</f>
        <v>2026/27</v>
      </c>
      <c r="H4" s="29" t="str">
        <f>Starting_year_general+6&amp;"/"&amp;RIGHT(Starting_year_general+7,2)</f>
        <v>2027/28</v>
      </c>
      <c r="I4" s="29" t="str">
        <f>Starting_year_general+7&amp;"/"&amp;RIGHT(Starting_year_general+8,2)</f>
        <v>2028/29</v>
      </c>
      <c r="J4" s="29" t="str">
        <f>Starting_year_general+8&amp;"/"&amp;RIGHT(Starting_year_general+9,2)</f>
        <v>2029/30</v>
      </c>
      <c r="K4" s="29" t="str">
        <f>Starting_year_general+9&amp;"/"&amp;RIGHT(Starting_year_general+10,2)</f>
        <v>2030/31</v>
      </c>
    </row>
    <row r="5" spans="1:11" ht="15.75" thickBot="1" x14ac:dyDescent="0.3">
      <c r="A5" s="84"/>
      <c r="B5" s="85" t="s">
        <v>12</v>
      </c>
      <c r="C5" s="85" t="s">
        <v>12</v>
      </c>
      <c r="D5" s="85" t="s">
        <v>12</v>
      </c>
      <c r="E5" s="85" t="s">
        <v>12</v>
      </c>
      <c r="F5" s="85" t="s">
        <v>12</v>
      </c>
      <c r="G5" s="85" t="s">
        <v>12</v>
      </c>
      <c r="H5" s="85" t="s">
        <v>12</v>
      </c>
      <c r="I5" s="85" t="s">
        <v>12</v>
      </c>
      <c r="J5" s="85" t="s">
        <v>12</v>
      </c>
      <c r="K5" s="85" t="s">
        <v>12</v>
      </c>
    </row>
    <row r="6" spans="1:11" x14ac:dyDescent="0.25">
      <c r="A6" s="86" t="s">
        <v>13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x14ac:dyDescent="0.25">
      <c r="A7" s="88" t="s">
        <v>14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1" x14ac:dyDescent="0.25">
      <c r="A8" s="87" t="s">
        <v>15</v>
      </c>
      <c r="B8" s="89">
        <v>7362858</v>
      </c>
      <c r="C8" s="89">
        <v>8498548</v>
      </c>
      <c r="D8" s="89">
        <v>8668518</v>
      </c>
      <c r="E8" s="89">
        <v>8841892</v>
      </c>
      <c r="F8" s="89">
        <v>9018729.8399999999</v>
      </c>
      <c r="G8" s="89">
        <v>9199104.4300000016</v>
      </c>
      <c r="H8" s="89">
        <v>9383086.5199999996</v>
      </c>
      <c r="I8" s="89">
        <v>9570748.2600000016</v>
      </c>
      <c r="J8" s="89">
        <v>9762163.2300000004</v>
      </c>
      <c r="K8" s="89">
        <v>9957406.4900000002</v>
      </c>
    </row>
    <row r="9" spans="1:11" x14ac:dyDescent="0.25">
      <c r="A9" s="87" t="s">
        <v>16</v>
      </c>
      <c r="B9" s="89">
        <v>12802234</v>
      </c>
      <c r="C9" s="89">
        <v>13058279</v>
      </c>
      <c r="D9" s="89">
        <v>13319444</v>
      </c>
      <c r="E9" s="89">
        <v>13585833</v>
      </c>
      <c r="F9" s="89">
        <v>13857549.66</v>
      </c>
      <c r="G9" s="89">
        <v>14134700.660000002</v>
      </c>
      <c r="H9" s="89">
        <v>14417394.699999999</v>
      </c>
      <c r="I9" s="89">
        <v>14705742.6</v>
      </c>
      <c r="J9" s="89">
        <v>14999857.459999999</v>
      </c>
      <c r="K9" s="89">
        <v>15299854.599999996</v>
      </c>
    </row>
    <row r="10" spans="1:11" x14ac:dyDescent="0.25">
      <c r="A10" s="87" t="s">
        <v>18</v>
      </c>
      <c r="B10" s="89">
        <v>38620</v>
      </c>
      <c r="C10" s="89">
        <v>39392</v>
      </c>
      <c r="D10" s="89">
        <v>40180</v>
      </c>
      <c r="E10" s="89">
        <v>40984</v>
      </c>
      <c r="F10" s="89">
        <v>41803.68</v>
      </c>
      <c r="G10" s="89">
        <v>42639.75</v>
      </c>
      <c r="H10" s="89">
        <v>43492.549999999996</v>
      </c>
      <c r="I10" s="89">
        <v>44362.400000000001</v>
      </c>
      <c r="J10" s="89">
        <v>45249.65</v>
      </c>
      <c r="K10" s="89">
        <v>46154.64</v>
      </c>
    </row>
    <row r="11" spans="1:11" x14ac:dyDescent="0.25">
      <c r="A11" s="87" t="s">
        <v>19</v>
      </c>
      <c r="B11" s="89">
        <v>209500</v>
      </c>
      <c r="C11" s="89">
        <v>213690</v>
      </c>
      <c r="D11" s="89">
        <v>217963</v>
      </c>
      <c r="E11" s="89">
        <v>222322</v>
      </c>
      <c r="F11" s="89">
        <v>226641.1</v>
      </c>
      <c r="G11" s="89">
        <v>231046.58</v>
      </c>
      <c r="H11" s="89">
        <v>235540.17</v>
      </c>
      <c r="I11" s="89">
        <v>240123.63</v>
      </c>
      <c r="J11" s="89">
        <v>244798.76</v>
      </c>
      <c r="K11" s="89">
        <v>249567.4</v>
      </c>
    </row>
    <row r="12" spans="1:11" x14ac:dyDescent="0.25">
      <c r="A12" s="87" t="s">
        <v>20</v>
      </c>
      <c r="B12" s="89">
        <v>2028047</v>
      </c>
      <c r="C12" s="89">
        <v>1864608</v>
      </c>
      <c r="D12" s="89">
        <v>1901900</v>
      </c>
      <c r="E12" s="89">
        <v>1939937</v>
      </c>
      <c r="F12" s="89">
        <v>1978512</v>
      </c>
      <c r="G12" s="89">
        <v>2017858</v>
      </c>
      <c r="H12" s="89">
        <v>2057991</v>
      </c>
      <c r="I12" s="89">
        <v>2098928</v>
      </c>
      <c r="J12" s="89">
        <v>2140683</v>
      </c>
      <c r="K12" s="89">
        <v>2183273</v>
      </c>
    </row>
    <row r="13" spans="1:11" x14ac:dyDescent="0.25">
      <c r="A13" s="87" t="s">
        <v>17</v>
      </c>
      <c r="B13" s="89">
        <v>218580</v>
      </c>
      <c r="C13" s="89">
        <v>193210</v>
      </c>
      <c r="D13" s="89">
        <v>203864</v>
      </c>
      <c r="E13" s="89">
        <v>214774</v>
      </c>
      <c r="F13" s="89">
        <v>401277.44</v>
      </c>
      <c r="G13" s="89">
        <v>354295.35</v>
      </c>
      <c r="H13" s="89">
        <v>377067.24</v>
      </c>
      <c r="I13" s="89">
        <v>400481.62</v>
      </c>
      <c r="J13" s="89">
        <v>424553.03</v>
      </c>
      <c r="K13" s="89">
        <v>447692.01</v>
      </c>
    </row>
    <row r="14" spans="1:11" x14ac:dyDescent="0.25">
      <c r="A14" s="88" t="s">
        <v>21</v>
      </c>
      <c r="B14" s="90">
        <f>SUM(B8:B13)</f>
        <v>22659839</v>
      </c>
      <c r="C14" s="90">
        <f t="shared" ref="C14:K14" si="0">SUM(C8:C13)</f>
        <v>23867727</v>
      </c>
      <c r="D14" s="90">
        <f t="shared" si="0"/>
        <v>24351869</v>
      </c>
      <c r="E14" s="90">
        <f t="shared" si="0"/>
        <v>24845742</v>
      </c>
      <c r="F14" s="90">
        <f t="shared" si="0"/>
        <v>25524513.720000003</v>
      </c>
      <c r="G14" s="90">
        <f t="shared" si="0"/>
        <v>25979644.770000003</v>
      </c>
      <c r="H14" s="90">
        <f t="shared" si="0"/>
        <v>26514572.18</v>
      </c>
      <c r="I14" s="90">
        <f t="shared" si="0"/>
        <v>27060386.509999998</v>
      </c>
      <c r="J14" s="90">
        <f t="shared" si="0"/>
        <v>27617305.129999999</v>
      </c>
      <c r="K14" s="90">
        <f t="shared" si="0"/>
        <v>28183948.139999997</v>
      </c>
    </row>
    <row r="15" spans="1:11" x14ac:dyDescent="0.2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</row>
    <row r="16" spans="1:11" x14ac:dyDescent="0.25">
      <c r="A16" s="86" t="s">
        <v>22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</row>
    <row r="17" spans="1:11" x14ac:dyDescent="0.25">
      <c r="A17" s="87" t="s">
        <v>23</v>
      </c>
      <c r="B17" s="89">
        <v>2966036</v>
      </c>
      <c r="C17" s="89">
        <v>3025357</v>
      </c>
      <c r="D17" s="89">
        <v>3085866</v>
      </c>
      <c r="E17" s="89">
        <v>3147584</v>
      </c>
      <c r="F17" s="89">
        <v>3210535.6799999992</v>
      </c>
      <c r="G17" s="89">
        <v>3274746.4000000004</v>
      </c>
      <c r="H17" s="89">
        <v>3340241.3200000003</v>
      </c>
      <c r="I17" s="89">
        <v>3407046.1599999997</v>
      </c>
      <c r="J17" s="89">
        <v>3475187.0400000024</v>
      </c>
      <c r="K17" s="89">
        <v>3544690.8299999996</v>
      </c>
    </row>
    <row r="18" spans="1:11" x14ac:dyDescent="0.25">
      <c r="A18" s="87" t="s">
        <v>24</v>
      </c>
      <c r="B18" s="89">
        <v>691635</v>
      </c>
      <c r="C18" s="89">
        <v>763068.00453211414</v>
      </c>
      <c r="D18" s="89">
        <v>688262.64764230861</v>
      </c>
      <c r="E18" s="89">
        <v>633261.57097901788</v>
      </c>
      <c r="F18" s="89">
        <v>557401.95617479517</v>
      </c>
      <c r="G18" s="89">
        <v>479186.88801300747</v>
      </c>
      <c r="H18" s="89">
        <v>411474.35248116782</v>
      </c>
      <c r="I18" s="89">
        <v>344753.23478513822</v>
      </c>
      <c r="J18" s="89">
        <v>285934.31732341839</v>
      </c>
      <c r="K18" s="89">
        <v>236316.27762071806</v>
      </c>
    </row>
    <row r="19" spans="1:11" x14ac:dyDescent="0.25">
      <c r="A19" s="87" t="s">
        <v>25</v>
      </c>
      <c r="B19" s="89">
        <v>9452231</v>
      </c>
      <c r="C19" s="89">
        <v>9572701</v>
      </c>
      <c r="D19" s="89">
        <v>9723784</v>
      </c>
      <c r="E19" s="89">
        <v>9890595</v>
      </c>
      <c r="F19" s="89">
        <v>10156184.029999997</v>
      </c>
      <c r="G19" s="89">
        <v>10452924.919999998</v>
      </c>
      <c r="H19" s="89">
        <v>10482523.150000006</v>
      </c>
      <c r="I19" s="89">
        <v>10732063.450000003</v>
      </c>
      <c r="J19" s="89">
        <v>10877352.800000004</v>
      </c>
      <c r="K19" s="89">
        <v>11256103.880000001</v>
      </c>
    </row>
    <row r="20" spans="1:11" x14ac:dyDescent="0.25">
      <c r="A20" s="87" t="s">
        <v>26</v>
      </c>
      <c r="B20" s="89">
        <v>5711630</v>
      </c>
      <c r="C20" s="89">
        <v>6289505</v>
      </c>
      <c r="D20" s="89">
        <v>6290822</v>
      </c>
      <c r="E20" s="89">
        <v>6290822</v>
      </c>
      <c r="F20" s="89">
        <v>6298319</v>
      </c>
      <c r="G20" s="89">
        <v>6402355</v>
      </c>
      <c r="H20" s="89">
        <v>6425796</v>
      </c>
      <c r="I20" s="89">
        <v>6441751</v>
      </c>
      <c r="J20" s="89">
        <v>6459445</v>
      </c>
      <c r="K20" s="89">
        <v>6504994</v>
      </c>
    </row>
    <row r="21" spans="1:11" x14ac:dyDescent="0.25">
      <c r="A21" s="87" t="s">
        <v>27</v>
      </c>
      <c r="B21" s="89">
        <v>2258775</v>
      </c>
      <c r="C21" s="89">
        <v>2302810</v>
      </c>
      <c r="D21" s="89">
        <v>2328743</v>
      </c>
      <c r="E21" s="89">
        <v>2355197</v>
      </c>
      <c r="F21" s="89">
        <v>2415466.8200000003</v>
      </c>
      <c r="G21" s="89">
        <v>2477339.25</v>
      </c>
      <c r="H21" s="89">
        <v>2540858.2199999997</v>
      </c>
      <c r="I21" s="89">
        <v>2606069.1100000003</v>
      </c>
      <c r="J21" s="89">
        <v>2673018.33</v>
      </c>
      <c r="K21" s="89">
        <v>2741753.7600000002</v>
      </c>
    </row>
    <row r="22" spans="1:11" x14ac:dyDescent="0.25">
      <c r="A22" s="88" t="s">
        <v>28</v>
      </c>
      <c r="B22" s="90">
        <f>SUM(B17:B21)</f>
        <v>21080307</v>
      </c>
      <c r="C22" s="90">
        <f t="shared" ref="C22:K22" si="1">SUM(C17:C21)</f>
        <v>21953441.004532114</v>
      </c>
      <c r="D22" s="90">
        <f t="shared" si="1"/>
        <v>22117477.647642307</v>
      </c>
      <c r="E22" s="90">
        <f t="shared" si="1"/>
        <v>22317459.570979018</v>
      </c>
      <c r="F22" s="90">
        <f t="shared" si="1"/>
        <v>22637907.486174792</v>
      </c>
      <c r="G22" s="90">
        <f t="shared" si="1"/>
        <v>23086552.458013006</v>
      </c>
      <c r="H22" s="90">
        <f t="shared" si="1"/>
        <v>23200893.042481173</v>
      </c>
      <c r="I22" s="90">
        <f t="shared" si="1"/>
        <v>23531682.954785138</v>
      </c>
      <c r="J22" s="90">
        <f t="shared" si="1"/>
        <v>23770937.487323426</v>
      </c>
      <c r="K22" s="90">
        <f t="shared" si="1"/>
        <v>24283858.74762072</v>
      </c>
    </row>
    <row r="23" spans="1:11" x14ac:dyDescent="0.25">
      <c r="A23" s="88"/>
      <c r="B23" s="87"/>
      <c r="C23" s="87"/>
      <c r="D23" s="87"/>
      <c r="E23" s="87"/>
      <c r="F23" s="87"/>
      <c r="G23" s="87"/>
      <c r="H23" s="87"/>
      <c r="I23" s="87"/>
      <c r="J23" s="87"/>
      <c r="K23" s="87"/>
    </row>
    <row r="24" spans="1:11" x14ac:dyDescent="0.25">
      <c r="A24" s="86" t="s">
        <v>29</v>
      </c>
      <c r="B24" s="90">
        <f>+B14-B22</f>
        <v>1579532</v>
      </c>
      <c r="C24" s="90">
        <f t="shared" ref="C24:K24" si="2">+C14-C22</f>
        <v>1914285.9954678863</v>
      </c>
      <c r="D24" s="90">
        <f t="shared" si="2"/>
        <v>2234391.352357693</v>
      </c>
      <c r="E24" s="90">
        <f t="shared" si="2"/>
        <v>2528282.4290209822</v>
      </c>
      <c r="F24" s="90">
        <f t="shared" si="2"/>
        <v>2886606.2338252105</v>
      </c>
      <c r="G24" s="90">
        <f t="shared" si="2"/>
        <v>2893092.3119869977</v>
      </c>
      <c r="H24" s="90">
        <f t="shared" si="2"/>
        <v>3313679.1375188269</v>
      </c>
      <c r="I24" s="90">
        <f t="shared" si="2"/>
        <v>3528703.5552148595</v>
      </c>
      <c r="J24" s="90">
        <f t="shared" si="2"/>
        <v>3846367.6426765732</v>
      </c>
      <c r="K24" s="90">
        <f t="shared" si="2"/>
        <v>3900089.3923792765</v>
      </c>
    </row>
    <row r="25" spans="1:11" x14ac:dyDescent="0.2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</row>
    <row r="26" spans="1:11" x14ac:dyDescent="0.25">
      <c r="A26" s="88"/>
      <c r="B26" s="87"/>
      <c r="C26" s="87"/>
      <c r="D26" s="87"/>
      <c r="E26" s="87"/>
      <c r="F26" s="87"/>
      <c r="G26" s="87"/>
      <c r="H26" s="87"/>
      <c r="I26" s="87"/>
      <c r="J26" s="87"/>
      <c r="K26" s="87"/>
    </row>
    <row r="27" spans="1:11" ht="15.75" thickBot="1" x14ac:dyDescent="0.3">
      <c r="A27" s="86" t="s">
        <v>30</v>
      </c>
      <c r="B27" s="91">
        <f>+B24</f>
        <v>1579532</v>
      </c>
      <c r="C27" s="91">
        <f t="shared" ref="C27:K27" si="3">+C24</f>
        <v>1914285.9954678863</v>
      </c>
      <c r="D27" s="91">
        <f t="shared" si="3"/>
        <v>2234391.352357693</v>
      </c>
      <c r="E27" s="91">
        <f t="shared" si="3"/>
        <v>2528282.4290209822</v>
      </c>
      <c r="F27" s="91">
        <f t="shared" si="3"/>
        <v>2886606.2338252105</v>
      </c>
      <c r="G27" s="91">
        <f t="shared" si="3"/>
        <v>2893092.3119869977</v>
      </c>
      <c r="H27" s="91">
        <f t="shared" si="3"/>
        <v>3313679.1375188269</v>
      </c>
      <c r="I27" s="91">
        <f t="shared" si="3"/>
        <v>3528703.5552148595</v>
      </c>
      <c r="J27" s="91">
        <f t="shared" si="3"/>
        <v>3846367.6426765732</v>
      </c>
      <c r="K27" s="91">
        <f t="shared" si="3"/>
        <v>3900089.3923792765</v>
      </c>
    </row>
    <row r="28" spans="1:11" ht="15.75" thickTop="1" x14ac:dyDescent="0.25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</row>
    <row r="29" spans="1:11" x14ac:dyDescent="0.25">
      <c r="A29" s="92" t="s">
        <v>31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</row>
    <row r="30" spans="1:11" x14ac:dyDescent="0.25">
      <c r="A30" s="92" t="s">
        <v>32</v>
      </c>
      <c r="B30" s="93">
        <f>+B27-B12</f>
        <v>-448515</v>
      </c>
      <c r="C30" s="93">
        <f t="shared" ref="C30:K30" si="4">+C27-C12</f>
        <v>49677.995467886329</v>
      </c>
      <c r="D30" s="93">
        <f t="shared" si="4"/>
        <v>332491.35235769302</v>
      </c>
      <c r="E30" s="93">
        <f t="shared" si="4"/>
        <v>588345.42902098224</v>
      </c>
      <c r="F30" s="93">
        <f t="shared" si="4"/>
        <v>908094.23382521048</v>
      </c>
      <c r="G30" s="93">
        <f t="shared" si="4"/>
        <v>875234.31198699772</v>
      </c>
      <c r="H30" s="93">
        <f t="shared" si="4"/>
        <v>1255688.1375188269</v>
      </c>
      <c r="I30" s="93">
        <f t="shared" si="4"/>
        <v>1429775.5552148595</v>
      </c>
      <c r="J30" s="93">
        <f t="shared" si="4"/>
        <v>1705684.6426765732</v>
      </c>
      <c r="K30" s="93">
        <f t="shared" si="4"/>
        <v>1716816.3923792765</v>
      </c>
    </row>
    <row r="31" spans="1:11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</row>
  </sheetData>
  <mergeCells count="1">
    <mergeCell ref="B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CF Income Statement</vt:lpstr>
      <vt:lpstr>CF Balance Sheet</vt:lpstr>
      <vt:lpstr>CF Cash Flow</vt:lpstr>
      <vt:lpstr>CF KPI </vt:lpstr>
      <vt:lpstr>GF Income Statement</vt:lpstr>
      <vt:lpstr>GF Balance Sheet</vt:lpstr>
      <vt:lpstr>GF Cash Flow</vt:lpstr>
      <vt:lpstr>GF KPI</vt:lpstr>
      <vt:lpstr>WF Income Statement</vt:lpstr>
      <vt:lpstr>WF Balance Sheet</vt:lpstr>
      <vt:lpstr>WF Cash Flow</vt:lpstr>
      <vt:lpstr>WF KPI</vt:lpstr>
      <vt:lpstr>SF Income Statement</vt:lpstr>
      <vt:lpstr>SF Balance Sheet</vt:lpstr>
      <vt:lpstr>SF Cash Flow</vt:lpstr>
      <vt:lpstr>SF KPI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Gould, Michael</dc:creator>
  <cp:lastModifiedBy>Gould, Michael</cp:lastModifiedBy>
  <dcterms:created xsi:type="dcterms:W3CDTF">2021-01-13T23:04:28Z</dcterms:created>
  <dcterms:modified xsi:type="dcterms:W3CDTF">2022-04-28T08:05:51Z</dcterms:modified>
</cp:coreProperties>
</file>