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0905" windowHeight="9945" activeTab="1"/>
  </bookViews>
  <sheets>
    <sheet name="Cover Sheet" sheetId="4" r:id="rId1"/>
    <sheet name="Benchmark Unit Rates" sheetId="1" r:id="rId2"/>
    <sheet name="Example Scenarios" sheetId="2" r:id="rId3"/>
    <sheet name="Operating Cost Summary" sheetId="9" r:id="rId4"/>
    <sheet name="Scenario Assumptions" sheetId="7" r:id="rId5"/>
    <sheet name="Scenario Layouts" sheetId="8" r:id="rId6"/>
    <sheet name="Name Ranges" sheetId="3" state="hidden" r:id="rId7"/>
  </sheets>
  <definedNames>
    <definedName name="_xlnm._FilterDatabase" localSheetId="1" hidden="1">'Benchmark Unit Rates'!$D$10:$O$89</definedName>
    <definedName name="_xlnm.Print_Area" localSheetId="1">'Benchmark Unit Rates'!$D$10:$O$79</definedName>
    <definedName name="_xlnm.Print_Area" localSheetId="0">'Cover Sheet'!$A$1:$C$20</definedName>
    <definedName name="_xlnm.Print_Area" localSheetId="2">'Example Scenarios'!$F$1:$L$98</definedName>
    <definedName name="Service_Names">'Name Ranges'!$D$7:$D$11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2" l="1"/>
  <c r="K26" i="2"/>
  <c r="K24" i="2"/>
  <c r="A79" i="2" l="1"/>
  <c r="A80" i="2"/>
  <c r="A81" i="2"/>
  <c r="A82" i="2"/>
  <c r="A83" i="2"/>
  <c r="A84" i="2"/>
  <c r="A85" i="2"/>
  <c r="A86" i="2"/>
  <c r="A87" i="2"/>
  <c r="A88" i="2"/>
  <c r="A89" i="2"/>
  <c r="A78" i="2"/>
  <c r="J95" i="2" l="1"/>
  <c r="H95" i="2"/>
  <c r="K25" i="2"/>
  <c r="I27" i="2"/>
  <c r="I26" i="2"/>
  <c r="I25" i="2"/>
  <c r="I24" i="2"/>
  <c r="G28" i="2"/>
  <c r="G27" i="2"/>
  <c r="G26" i="2"/>
  <c r="G25" i="2"/>
  <c r="G24" i="2"/>
  <c r="K28" i="2" l="1"/>
  <c r="L95" i="2" s="1"/>
  <c r="I28" i="2"/>
  <c r="L92" i="2"/>
  <c r="K92" i="2"/>
  <c r="J92" i="2"/>
  <c r="I92" i="2"/>
  <c r="L74" i="2"/>
  <c r="K74" i="2"/>
  <c r="J74" i="2"/>
  <c r="I74" i="2"/>
  <c r="H74" i="2"/>
  <c r="G74" i="2"/>
  <c r="C26" i="9"/>
  <c r="C22" i="9"/>
  <c r="C20" i="9"/>
  <c r="C16" i="9"/>
  <c r="C12" i="9"/>
  <c r="G19" i="2"/>
  <c r="I19" i="2"/>
  <c r="K19" i="2"/>
  <c r="A32" i="2"/>
  <c r="K32" i="2" s="1"/>
  <c r="C32" i="2"/>
  <c r="D32" i="2"/>
  <c r="A33" i="2"/>
  <c r="A34" i="2"/>
  <c r="G34" i="2" s="1"/>
  <c r="B34" i="2"/>
  <c r="A35" i="2"/>
  <c r="A36" i="2"/>
  <c r="G36" i="2" s="1"/>
  <c r="B36" i="2"/>
  <c r="A37" i="2"/>
  <c r="A38" i="2"/>
  <c r="G38" i="2" s="1"/>
  <c r="A39" i="2"/>
  <c r="A40" i="2"/>
  <c r="A41" i="2"/>
  <c r="I41" i="2" s="1"/>
  <c r="A42" i="2"/>
  <c r="A43" i="2"/>
  <c r="A44" i="2"/>
  <c r="I44" i="2" s="1"/>
  <c r="A45" i="2"/>
  <c r="A46" i="2"/>
  <c r="A47" i="2"/>
  <c r="K47" i="2" s="1"/>
  <c r="A48" i="2"/>
  <c r="A49" i="2"/>
  <c r="H49" i="2" s="1"/>
  <c r="B49" i="2"/>
  <c r="A50" i="2"/>
  <c r="H50" i="2" s="1"/>
  <c r="A51" i="2"/>
  <c r="A52" i="2"/>
  <c r="H52" i="2" s="1"/>
  <c r="A53" i="2"/>
  <c r="A54" i="2"/>
  <c r="A55" i="2"/>
  <c r="A56" i="2"/>
  <c r="J56" i="2" s="1"/>
  <c r="C56" i="2"/>
  <c r="D56" i="2"/>
  <c r="A57" i="2"/>
  <c r="A58" i="2"/>
  <c r="J58" i="2" s="1"/>
  <c r="A59" i="2"/>
  <c r="A60" i="2"/>
  <c r="J60" i="2" s="1"/>
  <c r="A61" i="2"/>
  <c r="A62" i="2"/>
  <c r="A63" i="2"/>
  <c r="L63" i="2" s="1"/>
  <c r="A64" i="2"/>
  <c r="A65" i="2"/>
  <c r="A66" i="2"/>
  <c r="A67" i="2"/>
  <c r="L67" i="2" s="1"/>
  <c r="A68" i="2"/>
  <c r="G71" i="2"/>
  <c r="H71" i="2"/>
  <c r="I71" i="2"/>
  <c r="J71" i="2"/>
  <c r="K71" i="2"/>
  <c r="L71" i="2"/>
  <c r="J83" i="2"/>
  <c r="J90" i="2" s="1"/>
  <c r="K88" i="2"/>
  <c r="I89" i="2"/>
  <c r="H98" i="2"/>
  <c r="R2"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0" i="1"/>
  <c r="G21" i="1"/>
  <c r="G19" i="1"/>
  <c r="G18" i="1"/>
  <c r="L56" i="2" l="1"/>
  <c r="K41" i="2"/>
  <c r="K72" i="2" s="1"/>
  <c r="K89" i="2"/>
  <c r="K90" i="2" s="1"/>
  <c r="J67" i="2"/>
  <c r="J72" i="2" s="1"/>
  <c r="L60" i="2"/>
  <c r="L58" i="2"/>
  <c r="I88" i="2"/>
  <c r="I90" i="2" s="1"/>
  <c r="L98" i="2"/>
  <c r="J98" i="2"/>
  <c r="G72" i="2"/>
  <c r="H72" i="2"/>
  <c r="I32" i="2"/>
  <c r="I72" i="2" s="1"/>
  <c r="L83" i="2"/>
  <c r="L90" i="2" s="1"/>
  <c r="L72" i="2" l="1"/>
  <c r="L94" i="2" s="1"/>
  <c r="L97" i="2" s="1"/>
  <c r="H94" i="2"/>
  <c r="H97" i="2" s="1"/>
  <c r="J94" i="2"/>
  <c r="J97" i="2" s="1"/>
</calcChain>
</file>

<file path=xl/comments1.xml><?xml version="1.0" encoding="utf-8"?>
<comments xmlns="http://schemas.openxmlformats.org/spreadsheetml/2006/main">
  <authors>
    <author>Tim Ryan</author>
  </authors>
  <commentList>
    <comment ref="F23" authorId="0">
      <text>
        <r>
          <rPr>
            <b/>
            <sz val="9"/>
            <color indexed="81"/>
            <rFont val="Tahoma"/>
            <family val="2"/>
          </rPr>
          <t>Tim Ryan:</t>
        </r>
        <r>
          <rPr>
            <sz val="9"/>
            <color indexed="81"/>
            <rFont val="Tahoma"/>
            <family val="2"/>
          </rPr>
          <t xml:space="preserve">
These costs are annual and for the provision of both water and wastewater</t>
        </r>
      </text>
    </comment>
  </commentList>
</comments>
</file>

<file path=xl/sharedStrings.xml><?xml version="1.0" encoding="utf-8"?>
<sst xmlns="http://schemas.openxmlformats.org/spreadsheetml/2006/main" count="1020" uniqueCount="302">
  <si>
    <t>Service</t>
  </si>
  <si>
    <t>Asset</t>
  </si>
  <si>
    <t>Standardised Unit</t>
  </si>
  <si>
    <t>Value per Unit</t>
  </si>
  <si>
    <t>Expected Life</t>
  </si>
  <si>
    <t>Lifecycle Opex</t>
  </si>
  <si>
    <t>Economies of Scale</t>
  </si>
  <si>
    <t>Economies of Scope</t>
  </si>
  <si>
    <t>Topography</t>
  </si>
  <si>
    <t>Delivery of Service</t>
  </si>
  <si>
    <t>Comments</t>
  </si>
  <si>
    <t>Water Retail</t>
  </si>
  <si>
    <t>Water Reticulation</t>
  </si>
  <si>
    <t>Wastewater Retail</t>
  </si>
  <si>
    <t>Wastewater Reticulation - Gravity</t>
  </si>
  <si>
    <t>Wastewater Reticulation - Pressure</t>
  </si>
  <si>
    <t>Service_Names</t>
  </si>
  <si>
    <t>Asset Characteristics</t>
  </si>
  <si>
    <t>Factors that Influence Characteristics</t>
  </si>
  <si>
    <t>Scheme characteristics</t>
  </si>
  <si>
    <t>End use customers</t>
  </si>
  <si>
    <t>Water consumption (from incumbent's network)</t>
  </si>
  <si>
    <t>Sewage discharge (to incumbent's network</t>
  </si>
  <si>
    <t>Retail metering</t>
  </si>
  <si>
    <t>Number of meters</t>
  </si>
  <si>
    <t>Capital expenditure</t>
  </si>
  <si>
    <t>Average asset lives</t>
  </si>
  <si>
    <t>Reticulation network</t>
  </si>
  <si>
    <t>Total length of reticulation network</t>
  </si>
  <si>
    <t>Distribution system pumping station (if typically necessary)</t>
  </si>
  <si>
    <t>Water</t>
  </si>
  <si>
    <t>Sewerage</t>
  </si>
  <si>
    <t>Retail infrastructure</t>
  </si>
  <si>
    <t>Example 1: 2,000 20mm equivalent brownfield development</t>
  </si>
  <si>
    <t>Example 2: 2,000 20mm equivalent greenfield development</t>
  </si>
  <si>
    <t>Example 3: 10,000 20mm equivalent greenfield development</t>
  </si>
  <si>
    <t>1,800 residential apartments; 200 20mm equivalent commercial properties</t>
  </si>
  <si>
    <t>2 x 80mm
1 x 150 mm</t>
  </si>
  <si>
    <t>Water meters (connection point to incumbent)</t>
  </si>
  <si>
    <t>20mm meter</t>
  </si>
  <si>
    <t>12 years</t>
  </si>
  <si>
    <t>FOR EXAMPLE</t>
  </si>
  <si>
    <t>The topography is unlikely to have an impact on the unit cost of 20mm meters</t>
  </si>
  <si>
    <t>Geotechnical</t>
  </si>
  <si>
    <t>1-</t>
  </si>
  <si>
    <t>Assumptions and Qualifications</t>
  </si>
  <si>
    <t>2-</t>
  </si>
  <si>
    <t>3-</t>
  </si>
  <si>
    <t>Min DN150 for all water reticulation main to allow for firewater connection(s) of potable water reticulation network</t>
  </si>
  <si>
    <t>4-</t>
  </si>
  <si>
    <t>5-</t>
  </si>
  <si>
    <t>6-</t>
  </si>
  <si>
    <t>Quantity of pipework based on:</t>
  </si>
  <si>
    <t>a- total development size of 300m x 260m</t>
  </si>
  <si>
    <t>Common</t>
  </si>
  <si>
    <t>Valves, hydrants and associated fittings are accounted for within the unit rates of pipework</t>
  </si>
  <si>
    <t>Single sewer discharge from development site to town main</t>
  </si>
  <si>
    <t>Manholes and bends are accounted for within the unit rates of pipework</t>
  </si>
  <si>
    <t>CPI</t>
  </si>
  <si>
    <t>DN50 uPVC - Water</t>
  </si>
  <si>
    <t>DN80 uPVC - Water</t>
  </si>
  <si>
    <t>DN100 DICL - Brownfield - Water</t>
  </si>
  <si>
    <t>DN150 DICL - Brownfield - Water</t>
  </si>
  <si>
    <t>DN200 DICL - Brownfield - Water</t>
  </si>
  <si>
    <t>DN250 DICL - Brownfield - Water</t>
  </si>
  <si>
    <t>DN300 DICL - Brownfield - Water</t>
  </si>
  <si>
    <t>DN375 DICL - Brownfield - Water</t>
  </si>
  <si>
    <t>DN100 DICL - Greenfield - Water</t>
  </si>
  <si>
    <t>DN150 DICL - Greenfield - Water</t>
  </si>
  <si>
    <t>DN200 DICL - Greenfield - Water</t>
  </si>
  <si>
    <t>DN250 DICL - Greenfield - Water</t>
  </si>
  <si>
    <t>DN300 DICL - Greenfield - Water</t>
  </si>
  <si>
    <t>DN375 DICL - Greenfield - Water</t>
  </si>
  <si>
    <t>DN100 - Brownfield - Sewer</t>
  </si>
  <si>
    <t>DN150 - Brownfield - Sewer</t>
  </si>
  <si>
    <t>DN225 - Brownfield - Sewer</t>
  </si>
  <si>
    <t>DN300 - Brownfield - Sewer</t>
  </si>
  <si>
    <t>DN375 - Brownfield - Sewer</t>
  </si>
  <si>
    <t>DN450 - Brownfield - Sewer</t>
  </si>
  <si>
    <t>DN500 - Brownfield - Sewer</t>
  </si>
  <si>
    <t>DN600 - Brownfield - Sewer</t>
  </si>
  <si>
    <t>262,800kL/year</t>
  </si>
  <si>
    <t>210,240kL/year</t>
  </si>
  <si>
    <t>DN100 - Greenfield - Sewer</t>
  </si>
  <si>
    <t>DN150 - Greenfield - Sewer</t>
  </si>
  <si>
    <t>DN225 - Greenfield - Sewer</t>
  </si>
  <si>
    <t>DN300 - Greenfield - Sewer</t>
  </si>
  <si>
    <t>DN375 - Greenfield - Sewer</t>
  </si>
  <si>
    <t>DN450 - Greenfield - Sewer</t>
  </si>
  <si>
    <t>DN500 - Greenfield - Sewer</t>
  </si>
  <si>
    <t>DN600 - Greenfield - Sewer</t>
  </si>
  <si>
    <t>DN100 DICL - Sewer Pressure Pipe</t>
  </si>
  <si>
    <t>DN150 DICL - Sewer Pressure Pipe</t>
  </si>
  <si>
    <t>DN200 DICL - Sewer Pressure Pipe</t>
  </si>
  <si>
    <t>DN250 DICL - Sewer Pressure Pipe</t>
  </si>
  <si>
    <t>Sewerage Pump - 10L/s</t>
  </si>
  <si>
    <t>Sewerage Pump - 20L/s</t>
  </si>
  <si>
    <t>Sewerage Pump - 30L/s</t>
  </si>
  <si>
    <t>Sewerage Pump - 40L/s</t>
  </si>
  <si>
    <t>Sewerage Pump - 50L/s</t>
  </si>
  <si>
    <t>Each</t>
  </si>
  <si>
    <t>The topography is unlikely to have an impact on the unit cost.</t>
  </si>
  <si>
    <t>1x100mm</t>
  </si>
  <si>
    <t>Sewerage Pump - 60L/s</t>
  </si>
  <si>
    <t>Sewerage Pump - 80L/s</t>
  </si>
  <si>
    <t>DN300 DICL - Sewer Pressure Pipe</t>
  </si>
  <si>
    <t>DN375 DICL - Sewer Pressure Pipe</t>
  </si>
  <si>
    <t>b- total 8 street block, each has 4x service connections</t>
  </si>
  <si>
    <t>c- Block size at 100m x 50m with 10 level of residential and ground level for commercial (total 11 Levels)</t>
  </si>
  <si>
    <t>Rates assumed no existing services</t>
  </si>
  <si>
    <t>Min DN100 for all water reticulation main to allow for firewater connection(s) of potable water reticulation network</t>
  </si>
  <si>
    <t>Assets' expected life and usage calculation based on WSA02 - Sewerage Code of Australia</t>
  </si>
  <si>
    <t>Pipe: 100 years
Valves: 30 years</t>
  </si>
  <si>
    <t>Pipe: 100 years
Maint Struct: 100 years</t>
  </si>
  <si>
    <t>Pumps: 25 years
Pipeworks: 50 years
Valves: 30 years
Struct: 100 years
EI&amp;C: 15-25 years</t>
  </si>
  <si>
    <t>Pipe: 100 yrs
Ancillary: 30 yrs</t>
  </si>
  <si>
    <t xml:space="preserve">100 yrs
</t>
  </si>
  <si>
    <t>Metre</t>
  </si>
  <si>
    <t>Denser development may assist with reducing the length of pipe required, however, it may require larger pipe size which has a higher unit cost</t>
  </si>
  <si>
    <t>See above</t>
  </si>
  <si>
    <t>Unlikely to have an impact on the unit cost as the sizing of the pump station is independent of the denser</t>
  </si>
  <si>
    <t>On the basis that, the sewer pump station is a wet well (typically 5m-10m deep),  the ground condition such as rock excavation, contaminated soil, water charged ground and bearing capacity is likely to have an impact on the unit cost.</t>
  </si>
  <si>
    <t>Water Pumping Station - 10kW</t>
  </si>
  <si>
    <t>Water Pumping Station - 20kW</t>
  </si>
  <si>
    <t>Water Pumping Station - 30kW</t>
  </si>
  <si>
    <t>Water Pumping Station - 50kW</t>
  </si>
  <si>
    <t>Water Pumping Station - 100kW</t>
  </si>
  <si>
    <t>On the basis that, the pumping station is an above ground structure, the topography is unlikely to have an impact on the unit cost.</t>
  </si>
  <si>
    <t>Pumps: 20 years
Pipeworks: 100 years
Valves: 30 years
EI&amp;C: 15-25 years</t>
  </si>
  <si>
    <t>On the basis that, the reservoir is an above ground structure, the topography is unlikely to have an impact on the unit cost.</t>
  </si>
  <si>
    <t>Boundary Traps</t>
  </si>
  <si>
    <t>1x 20mm</t>
  </si>
  <si>
    <t>1x20mm</t>
  </si>
  <si>
    <t>e- 50% build-up area per lot (i.e. half of the land area is building structure</t>
  </si>
  <si>
    <t>Rates allow for existing services and associated increased construction difficulties</t>
  </si>
  <si>
    <t>both pipe size and length may varies pending on water consumption and sewage flow assumed and the layout of the development site.</t>
  </si>
  <si>
    <t>Water Infrastructure</t>
  </si>
  <si>
    <t>d- road reserve width at 20m, total road length estimated to be 2200m</t>
  </si>
  <si>
    <t>Single DN250 feed pipe from authority main to development site</t>
  </si>
  <si>
    <t>No allowance for water booster pump station. i.e. There is sufficient pressure in the authority main to supply the whole development</t>
  </si>
  <si>
    <t>Based on one service connection point per apartment block (with 2x DN80 and 1x DN150 water service connections)</t>
  </si>
  <si>
    <t>Based on one service connection point per apartment block (with 1x DN150 sewer connection)</t>
  </si>
  <si>
    <t>Authority receiving sewer has capacity floes from development via gravity</t>
  </si>
  <si>
    <t>b- total 36 street block, each has 20x service connections</t>
  </si>
  <si>
    <t>Based on one service connection point per property (with 1x DN20 water service connections)</t>
  </si>
  <si>
    <t>Based on one service connection point per property (with 1x DN100 sewer connection)</t>
  </si>
  <si>
    <t>Due to topography and development size, 1x sewerage pumping station allowed.</t>
  </si>
  <si>
    <t>Sewerage Infrastructure</t>
  </si>
  <si>
    <t>b- total 180 street block, each has 20x service connections</t>
  </si>
  <si>
    <t>c- block size at 200m x 50m with 500m2 land lot for property</t>
  </si>
  <si>
    <t>Assumed</t>
  </si>
  <si>
    <t>Case 1 - Brownfield with 2,000 Equivalent</t>
  </si>
  <si>
    <t>Case 2 - Greenfield with 2,000 Equivalent</t>
  </si>
  <si>
    <t>Case 3 - Greenfield with 10,000 Equivalent</t>
  </si>
  <si>
    <t>DN450 DICL - Greenfield - Water</t>
  </si>
  <si>
    <t>Sewerage Pump - 100L/s</t>
  </si>
  <si>
    <t>Sewerage Pump - 140L/s</t>
  </si>
  <si>
    <t>Sewerage Pump - 180L/s</t>
  </si>
  <si>
    <t>Sewerage Pump - 200L/s</t>
  </si>
  <si>
    <t>2,483,460kL/year</t>
  </si>
  <si>
    <t>3,547,800kL/year</t>
  </si>
  <si>
    <t>532,170kL/year</t>
  </si>
  <si>
    <t>760,242kL/year</t>
  </si>
  <si>
    <t>d- road reserve width at 20m, total length estimated to be 39km</t>
  </si>
  <si>
    <t>Single DN450 feed pipe from authority main to development site</t>
  </si>
  <si>
    <t>Two sewer discharge from development site to town main</t>
  </si>
  <si>
    <t>Assumed wastewater to be gravity drained to two sewerage pumping stations prior to discharge to town sewer main via sewer rising main</t>
  </si>
  <si>
    <t>This cost estimate was completed based on the following:</t>
  </si>
  <si>
    <t>a- Brownfield development has lesser land size and requires med to high density zoning to accommodate the proposed development</t>
  </si>
  <si>
    <t>b- Greenfield development has larger land size and will be low density zoning to accommodate the proposed development</t>
  </si>
  <si>
    <t>Total Capital Expenditures</t>
  </si>
  <si>
    <t>Reticulation Capital expenditure</t>
  </si>
  <si>
    <t>Pumping capital expenditure</t>
  </si>
  <si>
    <t>Total Operating Expenditures</t>
  </si>
  <si>
    <t>Pumping annual operating expenditure</t>
  </si>
  <si>
    <t xml:space="preserve"> Reticulation annual operating expenditure</t>
  </si>
  <si>
    <t xml:space="preserve">Retail metering Operating expenditure </t>
  </si>
  <si>
    <t>a- total development size of 2km x 1km</t>
  </si>
  <si>
    <t>a- total development size of 3km x 3km</t>
  </si>
  <si>
    <t>d- road reserve width at 20m, total length estimated to be 180km</t>
  </si>
  <si>
    <t>Due to topography and development size, 3x sewerage pumping station allowed.</t>
  </si>
  <si>
    <t>DISCLAIMER:</t>
  </si>
  <si>
    <t>DESCRIPTION OF SPREADSHEET:</t>
  </si>
  <si>
    <t xml:space="preserve">CALCULATION OF REASONABLY EFFICIENT COMPETITOR COSTS </t>
  </si>
  <si>
    <t>BENCHMARK UNIT RATES</t>
  </si>
  <si>
    <t>EXAMPLE SCENARIO COST INFORMATION</t>
  </si>
  <si>
    <t>ASSUMPTIONS REGARDING EXAMPLE SCENARIO COSTINGS</t>
  </si>
  <si>
    <t>Common to all scenarios</t>
  </si>
  <si>
    <t>DN250 ring main allowed around the perimeter of development site to provide redundancy and security of supply in the event of shut down for maintenance</t>
  </si>
  <si>
    <t>e- total 1,800 residential  and 200 commercial properties</t>
  </si>
  <si>
    <t>Total 1x water pumping stations and water reservoirs allowed for water supply to the whole development</t>
  </si>
  <si>
    <t>Assumed all property wastewater will be gravity drained to sewerage pumping station(s)</t>
  </si>
  <si>
    <t>Total 2x sewerage pumping stations allowed for sewerage discharge from the whole development to authority mains (assumed 2x sewerage discharge points)</t>
  </si>
  <si>
    <t>Total 2x water pumping stations and water reservoirs allowed for water supply to the whole development</t>
  </si>
  <si>
    <t>DN450 ring main allowed around the perimeter of development site to provide redundancy and security of supply in the event of shut down for maintenance</t>
  </si>
  <si>
    <t>ASSUMED LAYOUTS FOR EACH EXAMPLE SCENARIO</t>
  </si>
  <si>
    <t>Nil. To be managed by property owner</t>
  </si>
  <si>
    <t>The density and the size of development is unlikely to have an impact on the unit cost.</t>
  </si>
  <si>
    <t>As the water meter is generally required to be installed by licenced plumbers, thus it is unlikely to have an impact on the unit cost</t>
  </si>
  <si>
    <t>The geotechnical condition of the ground is unlikely to have an impact on the unit cost as it is likely to be installed above ground</t>
  </si>
  <si>
    <t xml:space="preserve">Different delivery options may impact on factors such as warehousing costs, however it is unlikely to be a material impact on this high level analysis. </t>
  </si>
  <si>
    <t>Nil assumed to be installed / constructed by property developer</t>
  </si>
  <si>
    <t>DN20 - Water Service Connection</t>
  </si>
  <si>
    <t>$2 / metre</t>
  </si>
  <si>
    <t>As the water service connection is generally required to be installed by licenced plumbers, thus it is unlikely to have an impact on the unit cost</t>
  </si>
  <si>
    <t>The topography is unlikely to have an impact as the average depth of pipe is similar in flat and undulated terrains.</t>
  </si>
  <si>
    <t>Ground condition such as rock excavation, contaminated soil, water charged ground and bearing capacity is likely to have an impact on the unit cost.
Encountering rock in trench installation can increase the cost by 20% to 5 times pending on the strength and level of the rock in the pipe trench.</t>
  </si>
  <si>
    <t>Asset life based on Water Supply Code of Australia 
Unit rate based on DN50 uPVC - Water pipe
Opex based on "2013-14 Water Supply and Sewerage NSW Benchmarking Report" Benchmarking cost data, published by Department of Primary Industries, increased to 2016 prices with CPI of 3.5%</t>
  </si>
  <si>
    <t>Capex cost may be lower if utility services (such as water, sewer, stormwater) can be installed by a single civil contractor.</t>
  </si>
  <si>
    <t>The topography is unlikely to have an impact on the unit cost as the average depth of pipe is similar in flat and undulated terrains.</t>
  </si>
  <si>
    <t>Asset life based on Water Supply Code of Australia 
Rates are based on "NSW Reference Rates Manual - Valuation of water supply, sewerage and stormwater assets", published by Department of Primary Industries - Office of Water, 2014, increased to 2016 prices with CPI of 3.5%
Opex based on "2013-14 Water Supply and Sewerage NSW Benchmarking Report" Benchmarking cost data, published by Department of Primary Industries, increased to 2016 prices with CPI of 3.5%</t>
  </si>
  <si>
    <t>$3 / metre</t>
  </si>
  <si>
    <t>The topography is likely to have an impact on the unit cost as the sewer gravity main would have a deeper average depth in flatter terrain compared to undulating terrain.
Pending on the installation depth of the sewer gravity main, the unit cost could double to 3 times for a depth up to 4.5m</t>
  </si>
  <si>
    <t>Asset life based on Sewerage Code of Australia 
'Unit rate based on minimum pipe installation depth as per Sewerage Code of Australia (typical 1.5m to 3.0m, laid in roadway).
Rates are based on "NSW Reference Rates Manual - Valuation of water supply, sewerage and stormwater assets", published by Department of Primary Industries - Office of Water, 2014, increased to 2016 prices with CPI of 3.5%
For brownfield installation, additional cost of moderate construction difficulty has been applied (e.g. existing services)
Opex based on "2013-14 Water Supply and Sewerage NSW Benchmarking Report" Benchmarking cost data, published by Department of Primary Industries, increased to 2016 prices with CPI of 3.5%</t>
  </si>
  <si>
    <t>The topography is likely to have an impact on the unit cost as cost of installation increases with the deep of installation. The sewer gravity main would have a deeper average depth in flatter terrain compare to an undulated terrain.
Pending on the installation depth of the sewer gravity main, the unit cost could double to 3 times for a depth up to 4.5m</t>
  </si>
  <si>
    <t>Asset life based on Sewerage Code of Australia 
'Unit rate based on minimum pipe installation depth as per Sewerage Code of Australia (typical 1.5m to 3.0m, laid in roadway).
Rates are based on "NSW Reference Rates Manual - Valuation of water supply, sewerage and stormwater assets", published by Department of Primary Industries - Office of Water, 2014, increased to 2016 prices with CPI of 3.5%
Opex based on "2013-14 Water Supply and Sewerage NSW Benchmarking Report", published by Department of Primary Industries, increased to 2016 prices with CPI of 3.5%</t>
  </si>
  <si>
    <t>Asset life based on Sewerage Code of Australia 
'Unit rate based on minimum pipe installation depth as per Sewerage Code of Australia (typical 600-750mm, laid in roadway).
Rates are based on "NSW Reference Rates Manual - Valuation of water supply, sewerage and stormwater assets", published by Department of Primary Industries - Office of Water, 2014, increased to 2016 prices with CPI of 3.5%
Opex based on "2013-14 Water Supply and Sewerage NSW Benchmarking Report", published by Department of Primary Industries, increased to 2016 prices with CPI of 3.5%</t>
  </si>
  <si>
    <t>$14,490 / each</t>
  </si>
  <si>
    <t>Capex cost may be lower if sewerage pumping station and unity services can be constructed together. Other factor such as sourcing off-the-shelf pump skid may also reduce the Capex Cost</t>
  </si>
  <si>
    <t>Asset life based on Sewage Pumping Station Code of Australia 
Rates are based on "NSW Reference Rates Manual - Valuation of water supply, sewerage and stormwater assets", published by Department of Primary Industries - Office of Water, 2014, increased to 2016 prices with CPI of 3.5%
Opex based on "2013-14 Water Supply and Sewerage NSW Benchmarking Report" Benchmarking cost data, published by Department of Primary Industries, increased to 2016 prices with CPI of 3.5%</t>
  </si>
  <si>
    <t>$26,910 / each</t>
  </si>
  <si>
    <t>Capex cost may be lower if water pumping station and water reservoir can be constructed together. Other factor such as sourcing off-the-shelf pump skid may also reduce the Capex Cost</t>
  </si>
  <si>
    <t>On the basis that, the pumping station is above ground,  the ground condition such as rock excavation, contaminated soil, water charged ground and bearing capacity is likely to have an impact on the unit cost.</t>
  </si>
  <si>
    <t>Water Service Reservoirs - 0.5ML</t>
  </si>
  <si>
    <t>$10 / property</t>
  </si>
  <si>
    <t>Capex cost may be lower if water reservoir and water pumping station can be constructed together.</t>
  </si>
  <si>
    <t>On the basis that, the reservoir is above ground,  the ground condition such as rock excavation, contaminated soil, water charged ground and bearing capacity is likely to have an impact on the unit cost.</t>
  </si>
  <si>
    <t>Water Service Reservoirs - 1ML</t>
  </si>
  <si>
    <t>Water Service Reservoirs - 2ML</t>
  </si>
  <si>
    <t>Water Service Reservoirs - 4ML</t>
  </si>
  <si>
    <t>Water Service Reservoirs - 5ML</t>
  </si>
  <si>
    <t>Water Service Reservoirs - 8ML</t>
  </si>
  <si>
    <t>Water Service Reservoirs - 10ML</t>
  </si>
  <si>
    <t>Water Service Reservoirs - 15ML</t>
  </si>
  <si>
    <t>Quantity</t>
  </si>
  <si>
    <t>Service Connection Length</t>
  </si>
  <si>
    <t>Case 1</t>
  </si>
  <si>
    <t>Case 2</t>
  </si>
  <si>
    <t>Case 3</t>
  </si>
  <si>
    <t>Rates</t>
  </si>
  <si>
    <t>Qty</t>
  </si>
  <si>
    <t>1,800 residential houses &amp; 200 of commercial properties</t>
  </si>
  <si>
    <t>9,000 residential houses &amp; 1,000 of commercial properties</t>
  </si>
  <si>
    <t>1x 150mm</t>
  </si>
  <si>
    <t>Inflation Factor</t>
  </si>
  <si>
    <t>Capex per property</t>
  </si>
  <si>
    <t>Opex per property</t>
  </si>
  <si>
    <t>OPERATING COST SUMMARY</t>
  </si>
  <si>
    <t>Item</t>
  </si>
  <si>
    <t>Cost</t>
  </si>
  <si>
    <t>UoM</t>
  </si>
  <si>
    <t>Remarks</t>
  </si>
  <si>
    <t>Reference</t>
  </si>
  <si>
    <t>Water main</t>
  </si>
  <si>
    <t>per m</t>
  </si>
  <si>
    <t>'000 / 100km</t>
  </si>
  <si>
    <t>Operation Cost</t>
  </si>
  <si>
    <t>2013-14 Water Supply and Sewerage NSW Benchmarking Report, Table 13</t>
  </si>
  <si>
    <t>Maintenance cost</t>
  </si>
  <si>
    <t>Water Pump Station</t>
  </si>
  <si>
    <t>each</t>
  </si>
  <si>
    <t>'000 / Pump</t>
  </si>
  <si>
    <t>Energy Cost</t>
  </si>
  <si>
    <t>Water Reservoir</t>
  </si>
  <si>
    <t>per property</t>
  </si>
  <si>
    <t>Sewer Main</t>
  </si>
  <si>
    <t>2013-14 Water Supply and Sewerage NSW Benchmarking Report, Table 18</t>
  </si>
  <si>
    <t>Sewer Pump Station</t>
  </si>
  <si>
    <t>Service mains (i.e. from reticulation main to property connection) assumed to be 10m in length</t>
  </si>
  <si>
    <t>Both pipe size and length may varies pending on water consumption and sewage flow assumed and the layout of the development site.</t>
  </si>
  <si>
    <t>e- total 9,000 residential  and 1,000 commercial properties</t>
  </si>
  <si>
    <t>Billing services</t>
  </si>
  <si>
    <t>Call centre services</t>
  </si>
  <si>
    <t>Outbound customer communications</t>
  </si>
  <si>
    <t>Other retail activities</t>
  </si>
  <si>
    <t>Billing Services</t>
  </si>
  <si>
    <t>Per customer, per month</t>
  </si>
  <si>
    <t>Call Centre Services</t>
  </si>
  <si>
    <t>Outbound Customer Communications</t>
  </si>
  <si>
    <t>Other Retail Services</t>
  </si>
  <si>
    <t>$2-$4</t>
  </si>
  <si>
    <t>$0.50-$1</t>
  </si>
  <si>
    <t>NA</t>
  </si>
  <si>
    <t xml:space="preserve">Only Opex </t>
  </si>
  <si>
    <t>Given upfront costs of establishing these retail services, we have assumed that these services would be more efficiently provided through an external service provider</t>
  </si>
  <si>
    <t>No impact on the unit rate of this service</t>
  </si>
  <si>
    <t>The range provided is based on the number of customers that would be serviced by the new entrant. The lower end of the range ($2) would represent a higher customer base, while the upper end of the range ($4) would represent a smaller customer base.</t>
  </si>
  <si>
    <t>The range provided is based on the number of customers that would be serviced by the new entrant. The lower end of the range ($0.50) would represent a higher customer base, while the upper end of the range ($1) would represent a smaller customer base.</t>
  </si>
  <si>
    <t>There would be economies of scope for billing services - as costs for providing billing services for water-only, wastewater-only or a combined water and wastewater service would be the same (assuming the same number of customers).</t>
  </si>
  <si>
    <t>There are economies of scope in call centre costs for providing wastewater services in addition to water services as the additional call centre costs for wastewater services would be expected to be lower.</t>
  </si>
  <si>
    <t xml:space="preserve">There are unlikely to be material differences in the unit rates for the size of customers for call centre services. </t>
  </si>
  <si>
    <t xml:space="preserve">Based on information provided by external managed service provider. </t>
  </si>
  <si>
    <t xml:space="preserve">Based on information provided by external managed service provider and industry knowledge. </t>
  </si>
  <si>
    <t>Retail Non-Meter Retail Operating Expenditure</t>
  </si>
  <si>
    <t>Based on $200 for unit and $300 for installation</t>
  </si>
  <si>
    <t>Asset life based on Water Supply Code of Australia 
For water reticulation networks, the typical spacing for valves is around 200m, depending on the complexity of the system. Based on this, it is estimated that approximately 5-20% of pipe-related capex is related to valves. 
Rates are based on "NSW Reference Rates Manual - Valuation of water supply, sewerage and stormwater assets", published by Department of Primary Industries - Office of Water, 2014, increased to 2016 prices with CPI of 3.5%
Opex based on "2013-14 Water Supply and Sewerage NSW Benchmarking Report" Benchmarking cost data, published by Department of Primary Industries, increased to 2016 prices with CPI of 3.5%</t>
  </si>
  <si>
    <t>Asset life based on Water Supply Code of Australia 
For water reticulation networks, the typical spacing for valves is around 200m, depending on the complexity of the system. Based on this, it is estimated that approximately 5-20% of pipe-related capex is related to valves. 
Rates are based on "NSW Reference Rates Manual - Valuation of water supply, sewerage and stormwater assets", published by Department of Primary Industries - Office of Water, 2014, increased to 2016 price with CPI of 3.5%
Opex based on "2013-14 Water Supply and Sewerage NSW Benchmarking Report" Benchmarking cost data, published by Department of Primary Industries, increased to 2016 prices with CPI of 3.5%</t>
  </si>
  <si>
    <t>Asset life based on Water Supply Code of Australia 
For water reticulation networks, the typical spacing for valves is around 200m, depending on the complexity of the system. Based on this, it is estimated that approximately 5-20% of pipe-related capex is related to valves. 
'Unit rate based on minimum pipe installation depth as per Water Supply Code of Australia (typical 600-750mm, laid in roadway).
Rates are based on "NSW Reference Rates Manual - Valuation of water supply, sewerage and stormwater assets", published by Department of Primary Industries - Office of Water, 2014, increased to 2016 prices with CPI of 3.5%
For brownfield installation, additional cost of moderate construction difficulty has been applied (e.g. existing services)
Opex based on "2013-14 Water Supply and Sewerage NSW Benchmarking Report" Benchmarking cost data, published by Department of Primary Industries, increased to 2016 prices with CPI of 3.5%</t>
  </si>
  <si>
    <t>Asset life based on Water Supply Code of Australia 
For water reticulation networks, the typical spacing for valves is around 200m, depending on the complexity of the system. Based on this, it is estimated that approximately 5-20% of pipe-related capex is related to valves. 
'Unit rate based on minimum pipe installation depth as per Water Supply Code of Australia (typical 600-750mm, laid in roadway).
Rates are based on "NSW Reference Rates Manual - Valuation of water supply, sewerage and stormwater assets", published by Department of Primary Industries - Office of Water, 2014, increased to 2016 prices with CPI of 3.5%
Opex based on "2013-14 Water Supply and Sewerage NSW Benchmarking Report" Benchmarking cost data, published by Department of Primary Industries, increased to 2016 prices with CPI of 3.5%</t>
  </si>
  <si>
    <t xml:space="preserve">The Excel Spreadsheet has been prepared for the Independent Pricing and Regulatory Tribunal as part of its review into wholesale water and sewerage prices. 
The analysis and information provided in this Excel Spreadsheet is derived in whole or in part from information prepared by a range of parties other than Oakley Greenwood. Oakley Greenwood explicitly disclaims liability for any errors or omissions in that information, or any other aspect of the validity of that information. We also disclaim liability for the use of any information in this report by any party for any purpose other than the intended purpose. </t>
  </si>
  <si>
    <t xml:space="preserve">This Excel Spreadsheet sets out benchmark unit rates for a reasonably efficient competitor seeking to enter the water and/or sewerage industries. We have sought to indicate whether certain factors would influence the costs of each of the asset categories and then used these benchmark unit rates in a number of examples scenarios to demonstrate the likely cost to be faced by a new entrant seeking to provide water and/or sewerage services. The assumptions that we have used to cost the example scenarios are contained in the tabs following Example Scenario. 
An associated report "Calculation of Reasonably Efficient Competitor Costs" also prepared for the Independent Pricing and Regulatory Tribunal should be read in conjunction with this spreadsheet. </t>
  </si>
  <si>
    <t>Unlikely to have an impact on the unit cost as the sizing of the pump station is independent of the density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</si>
</sst>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0.000%"/>
  </numFmts>
  <fonts count="2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i/>
      <sz val="11"/>
      <color theme="0" tint="-0.499984740745262"/>
      <name val="Calibri"/>
      <family val="2"/>
      <scheme val="minor"/>
    </font>
    <font>
      <b/>
      <sz val="11"/>
      <name val="Calibri"/>
      <family val="2"/>
      <scheme val="minor"/>
    </font>
    <font>
      <b/>
      <sz val="12"/>
      <color theme="0"/>
      <name val="Calibri"/>
      <family val="2"/>
      <scheme val="minor"/>
    </font>
    <font>
      <sz val="9"/>
      <color indexed="81"/>
      <name val="Tahoma"/>
      <family val="2"/>
    </font>
    <font>
      <b/>
      <sz val="9"/>
      <color indexed="81"/>
      <name val="Tahoma"/>
      <family val="2"/>
    </font>
    <font>
      <b/>
      <sz val="12"/>
      <color rgb="FF09869B"/>
      <name val="Calibri"/>
      <family val="2"/>
      <scheme val="minor"/>
    </font>
    <font>
      <b/>
      <sz val="11"/>
      <color rgb="FFFF0000"/>
      <name val="Calibri"/>
      <family val="2"/>
      <scheme val="minor"/>
    </font>
    <font>
      <i/>
      <sz val="11"/>
      <color theme="0"/>
      <name val="Calibri"/>
      <family val="2"/>
      <scheme val="minor"/>
    </font>
    <font>
      <sz val="11"/>
      <color theme="1"/>
      <name val="Calibri"/>
      <family val="2"/>
      <scheme val="minor"/>
    </font>
    <font>
      <sz val="11"/>
      <name val="Calibri"/>
      <family val="2"/>
      <scheme val="minor"/>
    </font>
    <font>
      <sz val="11"/>
      <color theme="1"/>
      <name val="Microsoft Sans Serif"/>
      <family val="2"/>
    </font>
    <font>
      <b/>
      <u/>
      <sz val="11"/>
      <color theme="1"/>
      <name val="Microsoft Sans Serif"/>
      <family val="2"/>
    </font>
    <font>
      <b/>
      <sz val="16"/>
      <color rgb="FF09869B"/>
      <name val="Microsoft Sans Serif"/>
      <family val="2"/>
    </font>
    <font>
      <b/>
      <u/>
      <sz val="11"/>
      <color rgb="FF09869B"/>
      <name val="Microsoft Sans Serif"/>
      <family val="2"/>
    </font>
    <font>
      <i/>
      <u/>
      <sz val="11"/>
      <color theme="2" tint="-0.499984740745262"/>
      <name val="Microsoft Sans Serif"/>
      <family val="2"/>
    </font>
    <font>
      <sz val="11"/>
      <name val="Microsoft Sans Serif"/>
      <family val="2"/>
    </font>
    <font>
      <u/>
      <sz val="11"/>
      <color theme="1"/>
      <name val="Calibri"/>
      <family val="2"/>
      <scheme val="minor"/>
    </font>
    <font>
      <b/>
      <sz val="11"/>
      <color theme="1"/>
      <name val="Microsoft Sans Serif"/>
      <family val="2"/>
    </font>
  </fonts>
  <fills count="6">
    <fill>
      <patternFill patternType="none"/>
    </fill>
    <fill>
      <patternFill patternType="gray125"/>
    </fill>
    <fill>
      <patternFill patternType="solid">
        <fgColor rgb="FF09869B"/>
        <bgColor indexed="64"/>
      </patternFill>
    </fill>
    <fill>
      <patternFill patternType="solid">
        <fgColor theme="0"/>
        <bgColor indexed="64"/>
      </patternFill>
    </fill>
    <fill>
      <patternFill patternType="solid">
        <fgColor rgb="FFA4EEFA"/>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rgb="FF09869B"/>
      </left>
      <right/>
      <top style="thick">
        <color rgb="FF09869B"/>
      </top>
      <bottom/>
      <diagonal/>
    </border>
    <border>
      <left/>
      <right style="thick">
        <color rgb="FF09869B"/>
      </right>
      <top style="thick">
        <color rgb="FF09869B"/>
      </top>
      <bottom/>
      <diagonal/>
    </border>
    <border>
      <left style="thick">
        <color rgb="FF09869B"/>
      </left>
      <right/>
      <top/>
      <bottom/>
      <diagonal/>
    </border>
    <border>
      <left/>
      <right style="thick">
        <color rgb="FF09869B"/>
      </right>
      <top/>
      <bottom/>
      <diagonal/>
    </border>
    <border>
      <left style="thick">
        <color rgb="FF09869B"/>
      </left>
      <right/>
      <top/>
      <bottom style="thick">
        <color rgb="FF09869B"/>
      </bottom>
      <diagonal/>
    </border>
    <border>
      <left style="thin">
        <color rgb="FF09869B"/>
      </left>
      <right style="thick">
        <color rgb="FF09869B"/>
      </right>
      <top/>
      <bottom style="thick">
        <color rgb="FF09869B"/>
      </bottom>
      <diagonal/>
    </border>
    <border>
      <left style="thick">
        <color rgb="FF09869B"/>
      </left>
      <right style="thin">
        <color rgb="FF09869B"/>
      </right>
      <top style="thin">
        <color rgb="FF09869B"/>
      </top>
      <bottom style="thin">
        <color rgb="FF09869B"/>
      </bottom>
      <diagonal/>
    </border>
    <border>
      <left style="thin">
        <color rgb="FF09869B"/>
      </left>
      <right style="thick">
        <color rgb="FF09869B"/>
      </right>
      <top style="thin">
        <color rgb="FF09869B"/>
      </top>
      <bottom style="thin">
        <color rgb="FF09869B"/>
      </bottom>
      <diagonal/>
    </border>
    <border>
      <left style="thick">
        <color rgb="FF09869B"/>
      </left>
      <right/>
      <top style="thin">
        <color rgb="FF09869B"/>
      </top>
      <bottom/>
      <diagonal/>
    </border>
    <border>
      <left/>
      <right style="thick">
        <color rgb="FF09869B"/>
      </right>
      <top style="thin">
        <color rgb="FF09869B"/>
      </top>
      <bottom/>
      <diagonal/>
    </border>
    <border>
      <left style="thick">
        <color rgb="FF09869B"/>
      </left>
      <right/>
      <top/>
      <bottom style="thin">
        <color rgb="FF09869B"/>
      </bottom>
      <diagonal/>
    </border>
    <border>
      <left/>
      <right style="thick">
        <color rgb="FF09869B"/>
      </right>
      <top/>
      <bottom style="thin">
        <color rgb="FF09869B"/>
      </bottom>
      <diagonal/>
    </border>
    <border>
      <left style="thick">
        <color rgb="FF09869B"/>
      </left>
      <right/>
      <top style="thick">
        <color rgb="FF09869B"/>
      </top>
      <bottom style="thin">
        <color rgb="FF09869B"/>
      </bottom>
      <diagonal/>
    </border>
    <border>
      <left/>
      <right style="thick">
        <color rgb="FF09869B"/>
      </right>
      <top style="thick">
        <color rgb="FF09869B"/>
      </top>
      <bottom style="thin">
        <color rgb="FF09869B"/>
      </bottom>
      <diagonal/>
    </border>
    <border>
      <left style="thick">
        <color rgb="FF09869B"/>
      </left>
      <right style="thin">
        <color rgb="FF09869B"/>
      </right>
      <top style="thick">
        <color rgb="FF09869B"/>
      </top>
      <bottom style="thin">
        <color rgb="FF09869B"/>
      </bottom>
      <diagonal/>
    </border>
    <border>
      <left style="thin">
        <color rgb="FF09869B"/>
      </left>
      <right style="thick">
        <color rgb="FF09869B"/>
      </right>
      <top style="thick">
        <color rgb="FF09869B"/>
      </top>
      <bottom style="thin">
        <color rgb="FF09869B"/>
      </bottom>
      <diagonal/>
    </border>
    <border>
      <left style="thin">
        <color rgb="FF09869B"/>
      </left>
      <right style="thin">
        <color rgb="FF09869B"/>
      </right>
      <top style="thin">
        <color rgb="FF09869B"/>
      </top>
      <bottom/>
      <diagonal/>
    </border>
    <border>
      <left style="thin">
        <color rgb="FF09869B"/>
      </left>
      <right style="thin">
        <color rgb="FF09869B"/>
      </right>
      <top/>
      <bottom/>
      <diagonal/>
    </border>
    <border>
      <left style="thin">
        <color rgb="FF09869B"/>
      </left>
      <right style="thin">
        <color rgb="FF09869B"/>
      </right>
      <top/>
      <bottom style="dotted">
        <color rgb="FF09869B"/>
      </bottom>
      <diagonal/>
    </border>
    <border>
      <left style="thin">
        <color rgb="FF09869B"/>
      </left>
      <right style="thin">
        <color rgb="FF09869B"/>
      </right>
      <top style="dotted">
        <color rgb="FF09869B"/>
      </top>
      <bottom style="dotted">
        <color rgb="FF09869B"/>
      </bottom>
      <diagonal/>
    </border>
    <border>
      <left/>
      <right style="thick">
        <color rgb="FF09869B"/>
      </right>
      <top/>
      <bottom style="dotted">
        <color rgb="FF09869B"/>
      </bottom>
      <diagonal/>
    </border>
    <border>
      <left/>
      <right style="thick">
        <color rgb="FF09869B"/>
      </right>
      <top style="dotted">
        <color rgb="FF09869B"/>
      </top>
      <bottom style="dotted">
        <color rgb="FF09869B"/>
      </bottom>
      <diagonal/>
    </border>
    <border>
      <left/>
      <right style="thick">
        <color rgb="FF09869B"/>
      </right>
      <top style="dotted">
        <color rgb="FF09869B"/>
      </top>
      <bottom/>
      <diagonal/>
    </border>
  </borders>
  <cellStyleXfs count="3">
    <xf numFmtId="0" fontId="0" fillId="0" borderId="0"/>
    <xf numFmtId="44" fontId="12" fillId="0" borderId="0" applyFont="0" applyFill="0" applyBorder="0" applyAlignment="0" applyProtection="0"/>
    <xf numFmtId="43" fontId="12" fillId="0" borderId="0" applyFont="0" applyFill="0" applyBorder="0" applyAlignment="0" applyProtection="0"/>
  </cellStyleXfs>
  <cellXfs count="121">
    <xf numFmtId="0" fontId="0" fillId="0" borderId="0" xfId="0"/>
    <xf numFmtId="0" fontId="3" fillId="0" borderId="0" xfId="0" applyFont="1"/>
    <xf numFmtId="0" fontId="4" fillId="0" borderId="0" xfId="0" applyFont="1" applyAlignment="1">
      <alignment wrapText="1"/>
    </xf>
    <xf numFmtId="0" fontId="5" fillId="0" borderId="0" xfId="0" applyFont="1"/>
    <xf numFmtId="0" fontId="0" fillId="0" borderId="1" xfId="0" applyBorder="1"/>
    <xf numFmtId="0" fontId="9" fillId="3" borderId="0" xfId="0" applyFont="1" applyFill="1" applyAlignment="1">
      <alignment horizontal="center"/>
    </xf>
    <xf numFmtId="0" fontId="9" fillId="3" borderId="2" xfId="0" applyFont="1" applyFill="1" applyBorder="1" applyAlignment="1">
      <alignment horizontal="center"/>
    </xf>
    <xf numFmtId="0" fontId="0" fillId="0" borderId="1" xfId="0" applyBorder="1" applyAlignment="1">
      <alignment wrapText="1"/>
    </xf>
    <xf numFmtId="0" fontId="0" fillId="0" borderId="1" xfId="0" applyBorder="1" applyAlignment="1">
      <alignment vertical="center" wrapText="1"/>
    </xf>
    <xf numFmtId="0" fontId="10" fillId="0" borderId="0" xfId="0" applyFont="1" applyAlignment="1">
      <alignment horizontal="right" vertical="center"/>
    </xf>
    <xf numFmtId="0" fontId="0" fillId="0" borderId="9" xfId="0" applyBorder="1" applyAlignment="1">
      <alignment wrapText="1"/>
    </xf>
    <xf numFmtId="0" fontId="0" fillId="0" borderId="10" xfId="0" applyBorder="1" applyAlignment="1">
      <alignment wrapText="1"/>
    </xf>
    <xf numFmtId="0" fontId="0" fillId="0" borderId="10" xfId="0" applyBorder="1"/>
    <xf numFmtId="0" fontId="0" fillId="0" borderId="9" xfId="0" applyBorder="1"/>
    <xf numFmtId="0" fontId="0" fillId="0" borderId="11" xfId="0" applyBorder="1"/>
    <xf numFmtId="0" fontId="0" fillId="0" borderId="12" xfId="0" applyBorder="1"/>
    <xf numFmtId="0" fontId="0" fillId="4" borderId="15" xfId="0" applyFill="1" applyBorder="1"/>
    <xf numFmtId="0" fontId="0" fillId="4" borderId="16" xfId="0" applyFill="1" applyBorder="1"/>
    <xf numFmtId="0" fontId="11" fillId="2" borderId="7" xfId="0" applyFont="1" applyFill="1" applyBorder="1" applyAlignment="1">
      <alignment horizontal="center"/>
    </xf>
    <xf numFmtId="0" fontId="11" fillId="2" borderId="8" xfId="0" applyFont="1" applyFill="1" applyBorder="1" applyAlignment="1">
      <alignment horizontal="center"/>
    </xf>
    <xf numFmtId="0" fontId="0" fillId="4" borderId="13" xfId="0" applyFill="1" applyBorder="1"/>
    <xf numFmtId="0" fontId="0" fillId="4" borderId="14" xfId="0" applyFill="1" applyBorder="1"/>
    <xf numFmtId="0" fontId="0" fillId="0" borderId="1" xfId="0" quotePrefix="1" applyBorder="1" applyAlignment="1">
      <alignment vertical="center" wrapText="1"/>
    </xf>
    <xf numFmtId="44" fontId="0" fillId="0" borderId="1" xfId="1" applyFont="1" applyBorder="1" applyAlignment="1">
      <alignment vertical="center" wrapText="1"/>
    </xf>
    <xf numFmtId="44" fontId="0" fillId="0" borderId="10" xfId="0" applyNumberFormat="1" applyBorder="1"/>
    <xf numFmtId="44" fontId="0" fillId="0" borderId="10" xfId="1" applyFont="1" applyBorder="1"/>
    <xf numFmtId="44" fontId="0" fillId="0" borderId="9" xfId="1" applyFont="1" applyBorder="1"/>
    <xf numFmtId="0" fontId="13" fillId="0" borderId="1" xfId="0" applyFont="1" applyBorder="1" applyAlignment="1">
      <alignment vertical="center" wrapText="1"/>
    </xf>
    <xf numFmtId="0" fontId="13" fillId="0" borderId="1" xfId="0" quotePrefix="1" applyFont="1" applyBorder="1" applyAlignment="1">
      <alignment vertical="center" wrapText="1"/>
    </xf>
    <xf numFmtId="44" fontId="13" fillId="0" borderId="1" xfId="1" applyFont="1" applyBorder="1" applyAlignment="1">
      <alignment vertical="center" wrapText="1"/>
    </xf>
    <xf numFmtId="44" fontId="0" fillId="0" borderId="0" xfId="0" applyNumberFormat="1"/>
    <xf numFmtId="164" fontId="0" fillId="0" borderId="0" xfId="0" applyNumberFormat="1"/>
    <xf numFmtId="164" fontId="0" fillId="0" borderId="9"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164" fontId="0" fillId="4" borderId="13" xfId="0" applyNumberFormat="1" applyFill="1" applyBorder="1"/>
    <xf numFmtId="164" fontId="0" fillId="4" borderId="14" xfId="0" applyNumberFormat="1" applyFill="1" applyBorder="1"/>
    <xf numFmtId="164" fontId="0" fillId="0" borderId="5" xfId="0" applyNumberFormat="1" applyBorder="1"/>
    <xf numFmtId="164" fontId="0" fillId="0" borderId="6" xfId="0" applyNumberFormat="1" applyBorder="1"/>
    <xf numFmtId="164" fontId="0" fillId="0" borderId="9" xfId="1" applyNumberFormat="1" applyFont="1" applyBorder="1"/>
    <xf numFmtId="164" fontId="0" fillId="0" borderId="10" xfId="1" applyNumberFormat="1" applyFont="1" applyBorder="1"/>
    <xf numFmtId="165" fontId="0" fillId="0" borderId="9" xfId="2" applyNumberFormat="1" applyFont="1" applyBorder="1"/>
    <xf numFmtId="165" fontId="0" fillId="0" borderId="10" xfId="2" applyNumberFormat="1" applyFont="1" applyBorder="1"/>
    <xf numFmtId="0" fontId="13" fillId="0" borderId="9" xfId="0" applyFont="1" applyBorder="1" applyAlignment="1">
      <alignment wrapText="1"/>
    </xf>
    <xf numFmtId="164" fontId="0" fillId="0" borderId="10" xfId="2" applyNumberFormat="1" applyFont="1" applyFill="1" applyBorder="1"/>
    <xf numFmtId="165" fontId="0" fillId="0" borderId="10" xfId="2" applyNumberFormat="1" applyFont="1" applyFill="1" applyBorder="1"/>
    <xf numFmtId="164" fontId="0" fillId="0" borderId="10" xfId="1" applyNumberFormat="1" applyFont="1" applyFill="1" applyBorder="1"/>
    <xf numFmtId="0" fontId="5" fillId="0" borderId="0" xfId="0" applyFont="1" applyFill="1" applyBorder="1" applyAlignment="1">
      <alignment horizontal="right" vertical="center"/>
    </xf>
    <xf numFmtId="164" fontId="0" fillId="0" borderId="7" xfId="1" applyNumberFormat="1" applyFont="1" applyBorder="1"/>
    <xf numFmtId="164" fontId="0" fillId="0" borderId="8" xfId="1" applyNumberFormat="1" applyFont="1" applyBorder="1"/>
    <xf numFmtId="164" fontId="0" fillId="0" borderId="0" xfId="0" applyNumberFormat="1" applyAlignment="1">
      <alignment horizontal="left" vertical="top" wrapText="1"/>
    </xf>
    <xf numFmtId="164" fontId="3" fillId="0" borderId="7" xfId="1" applyNumberFormat="1" applyFont="1" applyBorder="1"/>
    <xf numFmtId="0" fontId="3" fillId="0" borderId="17" xfId="0" applyFont="1" applyBorder="1"/>
    <xf numFmtId="164" fontId="3" fillId="0" borderId="18" xfId="1" applyNumberFormat="1" applyFont="1" applyBorder="1"/>
    <xf numFmtId="164" fontId="5" fillId="0" borderId="17" xfId="1" applyNumberFormat="1" applyFont="1" applyBorder="1" applyAlignment="1">
      <alignment wrapText="1"/>
    </xf>
    <xf numFmtId="164" fontId="3" fillId="0" borderId="18" xfId="1" applyNumberFormat="1" applyFont="1" applyBorder="1" applyAlignment="1">
      <alignment wrapText="1"/>
    </xf>
    <xf numFmtId="0" fontId="0" fillId="0" borderId="0" xfId="0" applyBorder="1"/>
    <xf numFmtId="0" fontId="3" fillId="0" borderId="0" xfId="0"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right"/>
    </xf>
    <xf numFmtId="0" fontId="2" fillId="0" borderId="0" xfId="0" applyFont="1" applyBorder="1"/>
    <xf numFmtId="0" fontId="14" fillId="0" borderId="0" xfId="0" applyFont="1"/>
    <xf numFmtId="0" fontId="15" fillId="0" borderId="0" xfId="0" applyFont="1"/>
    <xf numFmtId="0" fontId="14" fillId="0" borderId="0" xfId="0" applyFont="1" applyAlignment="1">
      <alignment wrapText="1"/>
    </xf>
    <xf numFmtId="0" fontId="16" fillId="0" borderId="0" xfId="0" applyFont="1"/>
    <xf numFmtId="0" fontId="17" fillId="0" borderId="0" xfId="0" applyFont="1"/>
    <xf numFmtId="0" fontId="18" fillId="0" borderId="0" xfId="0" applyFont="1"/>
    <xf numFmtId="0" fontId="14" fillId="0" borderId="0" xfId="0" applyFont="1" applyAlignment="1">
      <alignment horizontal="right"/>
    </xf>
    <xf numFmtId="0" fontId="19" fillId="0" borderId="0" xfId="0" applyFont="1" applyAlignment="1">
      <alignment wrapText="1"/>
    </xf>
    <xf numFmtId="164" fontId="0" fillId="0" borderId="1" xfId="1" applyNumberFormat="1" applyFont="1" applyBorder="1" applyAlignment="1">
      <alignment vertical="center" wrapText="1"/>
    </xf>
    <xf numFmtId="0" fontId="0" fillId="0" borderId="19" xfId="0" applyBorder="1"/>
    <xf numFmtId="0" fontId="0" fillId="0" borderId="20" xfId="0" applyBorder="1"/>
    <xf numFmtId="0" fontId="0" fillId="0" borderId="21" xfId="0" applyBorder="1" applyAlignment="1">
      <alignment horizontal="center" vertical="center"/>
    </xf>
    <xf numFmtId="0" fontId="0" fillId="0" borderId="21" xfId="0" applyBorder="1"/>
    <xf numFmtId="1" fontId="0" fillId="0" borderId="22" xfId="0" applyNumberFormat="1" applyBorder="1" applyAlignment="1">
      <alignment horizontal="center" vertical="center"/>
    </xf>
    <xf numFmtId="0" fontId="0" fillId="0" borderId="22" xfId="0" applyBorder="1" applyAlignment="1">
      <alignment horizontal="center" vertical="center"/>
    </xf>
    <xf numFmtId="0" fontId="0" fillId="0" borderId="22" xfId="0" applyBorder="1"/>
    <xf numFmtId="0" fontId="13" fillId="0" borderId="22" xfId="0" applyFont="1" applyBorder="1" applyAlignment="1">
      <alignment horizontal="center" vertical="center"/>
    </xf>
    <xf numFmtId="0" fontId="13" fillId="0" borderId="22" xfId="0" applyFont="1" applyBorder="1"/>
    <xf numFmtId="166" fontId="0" fillId="0" borderId="0" xfId="0" applyNumberFormat="1"/>
    <xf numFmtId="0" fontId="20" fillId="0" borderId="0" xfId="0" applyFont="1" applyAlignment="1">
      <alignment horizontal="center"/>
    </xf>
    <xf numFmtId="0" fontId="3" fillId="0" borderId="0" xfId="0" applyFont="1" applyAlignment="1">
      <alignment horizontal="right" vertical="center"/>
    </xf>
    <xf numFmtId="0" fontId="0" fillId="0" borderId="0" xfId="0" applyAlignment="1">
      <alignment horizontal="right" vertical="center"/>
    </xf>
    <xf numFmtId="0" fontId="3" fillId="0" borderId="23" xfId="0" applyFont="1" applyBorder="1" applyAlignment="1">
      <alignment horizontal="right" vertical="center"/>
    </xf>
    <xf numFmtId="0" fontId="0" fillId="0" borderId="24" xfId="0" applyBorder="1" applyAlignment="1">
      <alignment horizontal="right" vertical="center"/>
    </xf>
    <xf numFmtId="0" fontId="13" fillId="0" borderId="24" xfId="0" applyFont="1" applyBorder="1" applyAlignment="1">
      <alignment horizontal="right" vertical="center"/>
    </xf>
    <xf numFmtId="44" fontId="0" fillId="0" borderId="11" xfId="0" applyNumberFormat="1" applyBorder="1"/>
    <xf numFmtId="44" fontId="0" fillId="0" borderId="12" xfId="0" applyNumberFormat="1" applyBorder="1"/>
    <xf numFmtId="0" fontId="3" fillId="0" borderId="24" xfId="0" applyFont="1" applyBorder="1" applyAlignment="1">
      <alignment horizontal="right" vertical="center"/>
    </xf>
    <xf numFmtId="0" fontId="13" fillId="0" borderId="25" xfId="0" applyFont="1" applyBorder="1" applyAlignment="1">
      <alignment horizontal="right" vertical="center"/>
    </xf>
    <xf numFmtId="0" fontId="0" fillId="0" borderId="0" xfId="0" applyAlignment="1">
      <alignment horizontal="right"/>
    </xf>
    <xf numFmtId="44" fontId="3" fillId="0" borderId="18" xfId="1" applyNumberFormat="1" applyFont="1" applyBorder="1"/>
    <xf numFmtId="0" fontId="21" fillId="0" borderId="1" xfId="0" applyFont="1" applyBorder="1"/>
    <xf numFmtId="0" fontId="21" fillId="0" borderId="1" xfId="0" applyFont="1" applyFill="1" applyBorder="1"/>
    <xf numFmtId="0" fontId="14" fillId="5" borderId="1" xfId="0" applyFont="1" applyFill="1" applyBorder="1"/>
    <xf numFmtId="164" fontId="14" fillId="5" borderId="1" xfId="0" applyNumberFormat="1" applyFont="1" applyFill="1" applyBorder="1"/>
    <xf numFmtId="0" fontId="14" fillId="0" borderId="1" xfId="0" applyFont="1" applyBorder="1"/>
    <xf numFmtId="164" fontId="14" fillId="0" borderId="1" xfId="1" applyNumberFormat="1" applyFont="1" applyBorder="1"/>
    <xf numFmtId="0" fontId="14" fillId="0" borderId="1" xfId="0" quotePrefix="1" applyFont="1" applyBorder="1"/>
    <xf numFmtId="165" fontId="0" fillId="0" borderId="9" xfId="1" applyNumberFormat="1" applyFont="1" applyBorder="1"/>
    <xf numFmtId="0" fontId="14" fillId="0" borderId="0" xfId="0" applyFont="1" applyAlignment="1">
      <alignment vertical="top"/>
    </xf>
    <xf numFmtId="0" fontId="18" fillId="0" borderId="0" xfId="0" applyFont="1" applyAlignment="1">
      <alignment vertical="top"/>
    </xf>
    <xf numFmtId="0" fontId="14" fillId="0" borderId="0" xfId="0" applyFont="1" applyAlignment="1">
      <alignment horizontal="right" vertical="top"/>
    </xf>
    <xf numFmtId="0" fontId="14" fillId="0" borderId="0" xfId="0" applyFont="1" applyAlignment="1">
      <alignment vertical="top" wrapText="1"/>
    </xf>
    <xf numFmtId="0" fontId="14" fillId="0" borderId="0" xfId="0" applyFont="1" applyAlignment="1">
      <alignment horizontal="right" vertical="top" wrapText="1"/>
    </xf>
    <xf numFmtId="0" fontId="19" fillId="0" borderId="0" xfId="0" applyFont="1" applyAlignment="1">
      <alignment vertical="top" wrapText="1"/>
    </xf>
    <xf numFmtId="0" fontId="0" fillId="0" borderId="0" xfId="0" applyFont="1" applyAlignment="1">
      <alignment horizontal="right" vertical="center"/>
    </xf>
    <xf numFmtId="164" fontId="0" fillId="0" borderId="13" xfId="0" applyNumberFormat="1" applyFill="1" applyBorder="1"/>
    <xf numFmtId="164" fontId="0" fillId="0" borderId="14" xfId="0" applyNumberFormat="1" applyFill="1" applyBorder="1"/>
    <xf numFmtId="44" fontId="13" fillId="0" borderId="1" xfId="1" applyFont="1" applyBorder="1" applyAlignment="1">
      <alignment horizontal="right" vertical="center" wrapText="1"/>
    </xf>
    <xf numFmtId="164" fontId="0" fillId="0" borderId="9" xfId="0" applyNumberFormat="1" applyFill="1" applyBorder="1"/>
    <xf numFmtId="164" fontId="0" fillId="0" borderId="10" xfId="0" applyNumberFormat="1" applyFill="1" applyBorder="1"/>
    <xf numFmtId="164" fontId="3" fillId="0" borderId="8" xfId="1" applyNumberFormat="1" applyFont="1" applyFill="1" applyBorder="1"/>
    <xf numFmtId="44" fontId="3" fillId="0" borderId="8" xfId="1" applyNumberFormat="1" applyFont="1" applyFill="1" applyBorder="1"/>
    <xf numFmtId="0" fontId="6" fillId="2" borderId="0" xfId="0" applyFont="1" applyFill="1" applyAlignment="1">
      <alignment horizontal="center" vertical="center"/>
    </xf>
    <xf numFmtId="0" fontId="6" fillId="2" borderId="0" xfId="0" applyFont="1" applyFill="1" applyAlignment="1">
      <alignment horizont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09869B"/>
      <color rgb="FFA4EEFA"/>
      <color rgb="FF6A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6351</xdr:colOff>
      <xdr:row>1</xdr:row>
      <xdr:rowOff>50800</xdr:rowOff>
    </xdr:from>
    <xdr:to>
      <xdr:col>1</xdr:col>
      <xdr:colOff>3189515</xdr:colOff>
      <xdr:row>4</xdr:row>
      <xdr:rowOff>50800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1" y="234950"/>
          <a:ext cx="3183164" cy="552450"/>
        </a:xfrm>
        <a:prstGeom prst="rect">
          <a:avLst/>
        </a:prstGeom>
      </xdr:spPr>
    </xdr:pic>
    <xdr:clientData/>
  </xdr:twoCellAnchor>
  <xdr:twoCellAnchor editAs="oneCell">
    <xdr:from>
      <xdr:col>1</xdr:col>
      <xdr:colOff>3594100</xdr:colOff>
      <xdr:row>1</xdr:row>
      <xdr:rowOff>76200</xdr:rowOff>
    </xdr:from>
    <xdr:to>
      <xdr:col>2</xdr:col>
      <xdr:colOff>161608</xdr:colOff>
      <xdr:row>4</xdr:row>
      <xdr:rowOff>101600</xdr:rowOff>
    </xdr:to>
    <xdr:pic>
      <xdr:nvPicPr>
        <xdr:cNvPr id="6" name="Picture 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3700" y="260350"/>
          <a:ext cx="3438208" cy="57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927047</xdr:colOff>
      <xdr:row>4</xdr:row>
      <xdr:rowOff>178920</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7765" y="373529"/>
          <a:ext cx="3183164" cy="552450"/>
        </a:xfrm>
        <a:prstGeom prst="rect">
          <a:avLst/>
        </a:prstGeom>
      </xdr:spPr>
    </xdr:pic>
    <xdr:clientData/>
  </xdr:twoCellAnchor>
  <xdr:twoCellAnchor editAs="oneCell">
    <xdr:from>
      <xdr:col>4</xdr:col>
      <xdr:colOff>1374588</xdr:colOff>
      <xdr:row>1</xdr:row>
      <xdr:rowOff>171823</xdr:rowOff>
    </xdr:from>
    <xdr:to>
      <xdr:col>6</xdr:col>
      <xdr:colOff>659149</xdr:colOff>
      <xdr:row>5</xdr:row>
      <xdr:rowOff>2614</xdr:rowOff>
    </xdr:to>
    <xdr:pic>
      <xdr:nvPicPr>
        <xdr:cNvPr id="3" name="Picture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8470" y="358588"/>
          <a:ext cx="3438208" cy="57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6350</xdr:colOff>
      <xdr:row>1</xdr:row>
      <xdr:rowOff>31377</xdr:rowOff>
    </xdr:from>
    <xdr:to>
      <xdr:col>8</xdr:col>
      <xdr:colOff>292047</xdr:colOff>
      <xdr:row>4</xdr:row>
      <xdr:rowOff>26147</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1700" y="215527"/>
          <a:ext cx="3181297" cy="547220"/>
        </a:xfrm>
        <a:prstGeom prst="rect">
          <a:avLst/>
        </a:prstGeom>
      </xdr:spPr>
    </xdr:pic>
    <xdr:clientData/>
  </xdr:twoCellAnchor>
  <xdr:twoCellAnchor editAs="oneCell">
    <xdr:from>
      <xdr:col>8</xdr:col>
      <xdr:colOff>739588</xdr:colOff>
      <xdr:row>1</xdr:row>
      <xdr:rowOff>19050</xdr:rowOff>
    </xdr:from>
    <xdr:to>
      <xdr:col>10</xdr:col>
      <xdr:colOff>1287799</xdr:colOff>
      <xdr:row>4</xdr:row>
      <xdr:rowOff>33991</xdr:rowOff>
    </xdr:to>
    <xdr:pic>
      <xdr:nvPicPr>
        <xdr:cNvPr id="3" name="Picture 2">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70538" y="203200"/>
          <a:ext cx="3443811" cy="567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12327</xdr:rowOff>
    </xdr:from>
    <xdr:to>
      <xdr:col>3</xdr:col>
      <xdr:colOff>800047</xdr:colOff>
      <xdr:row>4</xdr:row>
      <xdr:rowOff>26147</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0127"/>
          <a:ext cx="3181297" cy="547220"/>
        </a:xfrm>
        <a:prstGeom prst="rect">
          <a:avLst/>
        </a:prstGeom>
      </xdr:spPr>
    </xdr:pic>
    <xdr:clientData/>
  </xdr:twoCellAnchor>
  <xdr:twoCellAnchor editAs="oneCell">
    <xdr:from>
      <xdr:col>4</xdr:col>
      <xdr:colOff>523688</xdr:colOff>
      <xdr:row>1</xdr:row>
      <xdr:rowOff>0</xdr:rowOff>
    </xdr:from>
    <xdr:to>
      <xdr:col>7</xdr:col>
      <xdr:colOff>379749</xdr:colOff>
      <xdr:row>4</xdr:row>
      <xdr:rowOff>33991</xdr:rowOff>
    </xdr:to>
    <xdr:pic>
      <xdr:nvPicPr>
        <xdr:cNvPr id="3" name="Picture 2">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76538" y="177800"/>
          <a:ext cx="3443811" cy="567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12327</xdr:rowOff>
    </xdr:from>
    <xdr:to>
      <xdr:col>3</xdr:col>
      <xdr:colOff>1962097</xdr:colOff>
      <xdr:row>4</xdr:row>
      <xdr:rowOff>26147</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6477"/>
          <a:ext cx="3181297" cy="547220"/>
        </a:xfrm>
        <a:prstGeom prst="rect">
          <a:avLst/>
        </a:prstGeom>
      </xdr:spPr>
    </xdr:pic>
    <xdr:clientData/>
  </xdr:twoCellAnchor>
  <xdr:twoCellAnchor editAs="oneCell">
    <xdr:from>
      <xdr:col>3</xdr:col>
      <xdr:colOff>2358838</xdr:colOff>
      <xdr:row>1</xdr:row>
      <xdr:rowOff>38100</xdr:rowOff>
    </xdr:from>
    <xdr:to>
      <xdr:col>3</xdr:col>
      <xdr:colOff>5802649</xdr:colOff>
      <xdr:row>4</xdr:row>
      <xdr:rowOff>72091</xdr:rowOff>
    </xdr:to>
    <xdr:pic>
      <xdr:nvPicPr>
        <xdr:cNvPr id="3" name="Picture 2">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7638" y="215900"/>
          <a:ext cx="3443811" cy="567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12327</xdr:rowOff>
    </xdr:from>
    <xdr:to>
      <xdr:col>3</xdr:col>
      <xdr:colOff>1962097</xdr:colOff>
      <xdr:row>4</xdr:row>
      <xdr:rowOff>26147</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0127"/>
          <a:ext cx="3181297" cy="547220"/>
        </a:xfrm>
        <a:prstGeom prst="rect">
          <a:avLst/>
        </a:prstGeom>
      </xdr:spPr>
    </xdr:pic>
    <xdr:clientData/>
  </xdr:twoCellAnchor>
  <xdr:twoCellAnchor editAs="oneCell">
    <xdr:from>
      <xdr:col>3</xdr:col>
      <xdr:colOff>2358838</xdr:colOff>
      <xdr:row>1</xdr:row>
      <xdr:rowOff>38100</xdr:rowOff>
    </xdr:from>
    <xdr:to>
      <xdr:col>3</xdr:col>
      <xdr:colOff>5802649</xdr:colOff>
      <xdr:row>4</xdr:row>
      <xdr:rowOff>72091</xdr:rowOff>
    </xdr:to>
    <xdr:pic>
      <xdr:nvPicPr>
        <xdr:cNvPr id="3" name="Picture 2">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7638" y="215900"/>
          <a:ext cx="3443811" cy="567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107950</xdr:colOff>
      <xdr:row>11</xdr:row>
      <xdr:rowOff>114300</xdr:rowOff>
    </xdr:from>
    <xdr:to>
      <xdr:col>3</xdr:col>
      <xdr:colOff>3850132</xdr:colOff>
      <xdr:row>29</xdr:row>
      <xdr:rowOff>152400</xdr:rowOff>
    </xdr:to>
    <xdr:pic>
      <xdr:nvPicPr>
        <xdr:cNvPr id="4" name="Picture 3">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7550" y="2152650"/>
          <a:ext cx="4961382"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514350</xdr:colOff>
      <xdr:row>33</xdr:row>
      <xdr:rowOff>19050</xdr:rowOff>
    </xdr:from>
    <xdr:to>
      <xdr:col>4</xdr:col>
      <xdr:colOff>6350</xdr:colOff>
      <xdr:row>55</xdr:row>
      <xdr:rowOff>0</xdr:rowOff>
    </xdr:to>
    <xdr:grpSp>
      <xdr:nvGrpSpPr>
        <xdr:cNvPr id="9" name="Group 8">
          <a:extLst>
            <a:ext uri="{FF2B5EF4-FFF2-40B4-BE49-F238E27FC236}">
              <a16:creationId xmlns:a16="http://schemas.microsoft.com/office/drawing/2014/main" xmlns="" id="{00000000-0008-0000-0500-000009000000}"/>
            </a:ext>
          </a:extLst>
        </xdr:cNvPr>
        <xdr:cNvGrpSpPr/>
      </xdr:nvGrpSpPr>
      <xdr:grpSpPr>
        <a:xfrm>
          <a:off x="514350" y="5969000"/>
          <a:ext cx="8407400" cy="3892550"/>
          <a:chOff x="514350" y="5969000"/>
          <a:chExt cx="8407400" cy="3962400"/>
        </a:xfrm>
      </xdr:grpSpPr>
      <xdr:grpSp>
        <xdr:nvGrpSpPr>
          <xdr:cNvPr id="7" name="Group 6">
            <a:extLst>
              <a:ext uri="{FF2B5EF4-FFF2-40B4-BE49-F238E27FC236}">
                <a16:creationId xmlns:a16="http://schemas.microsoft.com/office/drawing/2014/main" xmlns="" id="{00000000-0008-0000-0500-000007000000}"/>
              </a:ext>
            </a:extLst>
          </xdr:cNvPr>
          <xdr:cNvGrpSpPr/>
        </xdr:nvGrpSpPr>
        <xdr:grpSpPr>
          <a:xfrm>
            <a:off x="514350" y="6051550"/>
            <a:ext cx="8407400" cy="3790950"/>
            <a:chOff x="514350" y="6051550"/>
            <a:chExt cx="8407400" cy="3790950"/>
          </a:xfrm>
        </xdr:grpSpPr>
        <xdr:pic>
          <xdr:nvPicPr>
            <xdr:cNvPr id="5" name="Picture 4">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350" y="6051550"/>
              <a:ext cx="8407400" cy="37909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Rectangle 5">
              <a:extLst>
                <a:ext uri="{FF2B5EF4-FFF2-40B4-BE49-F238E27FC236}">
                  <a16:creationId xmlns:a16="http://schemas.microsoft.com/office/drawing/2014/main" xmlns="" id="{00000000-0008-0000-0500-000006000000}"/>
                </a:ext>
              </a:extLst>
            </xdr:cNvPr>
            <xdr:cNvSpPr/>
          </xdr:nvSpPr>
          <xdr:spPr>
            <a:xfrm>
              <a:off x="558800" y="6350000"/>
              <a:ext cx="2527300" cy="25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8" name="Rectangle 7">
            <a:extLst>
              <a:ext uri="{FF2B5EF4-FFF2-40B4-BE49-F238E27FC236}">
                <a16:creationId xmlns:a16="http://schemas.microsoft.com/office/drawing/2014/main" xmlns="" id="{00000000-0008-0000-0500-000008000000}"/>
              </a:ext>
            </a:extLst>
          </xdr:cNvPr>
          <xdr:cNvSpPr/>
        </xdr:nvSpPr>
        <xdr:spPr>
          <a:xfrm>
            <a:off x="577850" y="5969000"/>
            <a:ext cx="165100" cy="39624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xdr:col>
      <xdr:colOff>6350</xdr:colOff>
      <xdr:row>58</xdr:row>
      <xdr:rowOff>114300</xdr:rowOff>
    </xdr:from>
    <xdr:to>
      <xdr:col>4</xdr:col>
      <xdr:colOff>69850</xdr:colOff>
      <xdr:row>84</xdr:row>
      <xdr:rowOff>95250</xdr:rowOff>
    </xdr:to>
    <xdr:grpSp>
      <xdr:nvGrpSpPr>
        <xdr:cNvPr id="14" name="Group 13">
          <a:extLst>
            <a:ext uri="{FF2B5EF4-FFF2-40B4-BE49-F238E27FC236}">
              <a16:creationId xmlns:a16="http://schemas.microsoft.com/office/drawing/2014/main" xmlns="" id="{00000000-0008-0000-0500-00000E000000}"/>
            </a:ext>
          </a:extLst>
        </xdr:cNvPr>
        <xdr:cNvGrpSpPr/>
      </xdr:nvGrpSpPr>
      <xdr:grpSpPr>
        <a:xfrm>
          <a:off x="615950" y="10509250"/>
          <a:ext cx="8369300" cy="4603750"/>
          <a:chOff x="615950" y="10509250"/>
          <a:chExt cx="8369300" cy="4603750"/>
        </a:xfrm>
      </xdr:grpSpPr>
      <xdr:grpSp>
        <xdr:nvGrpSpPr>
          <xdr:cNvPr id="12" name="Group 11">
            <a:extLst>
              <a:ext uri="{FF2B5EF4-FFF2-40B4-BE49-F238E27FC236}">
                <a16:creationId xmlns:a16="http://schemas.microsoft.com/office/drawing/2014/main" xmlns="" id="{00000000-0008-0000-0500-00000C000000}"/>
              </a:ext>
            </a:extLst>
          </xdr:cNvPr>
          <xdr:cNvGrpSpPr/>
        </xdr:nvGrpSpPr>
        <xdr:grpSpPr>
          <a:xfrm>
            <a:off x="615950" y="10579100"/>
            <a:ext cx="8369300" cy="4375150"/>
            <a:chOff x="615950" y="10579100"/>
            <a:chExt cx="8369300" cy="4375150"/>
          </a:xfrm>
        </xdr:grpSpPr>
        <xdr:pic>
          <xdr:nvPicPr>
            <xdr:cNvPr id="10" name="Picture 9">
              <a:extLst>
                <a:ext uri="{FF2B5EF4-FFF2-40B4-BE49-F238E27FC236}">
                  <a16:creationId xmlns:a16="http://schemas.microsoft.com/office/drawing/2014/main" xmlns="" id="{00000000-0008-0000-05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7700" y="10579100"/>
              <a:ext cx="8337550" cy="43751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Rectangle 10">
              <a:extLst>
                <a:ext uri="{FF2B5EF4-FFF2-40B4-BE49-F238E27FC236}">
                  <a16:creationId xmlns:a16="http://schemas.microsoft.com/office/drawing/2014/main" xmlns="" id="{00000000-0008-0000-0500-00000B000000}"/>
                </a:ext>
              </a:extLst>
            </xdr:cNvPr>
            <xdr:cNvSpPr/>
          </xdr:nvSpPr>
          <xdr:spPr>
            <a:xfrm>
              <a:off x="615950" y="10699750"/>
              <a:ext cx="2419350" cy="2286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13" name="Rectangle 12">
            <a:extLst>
              <a:ext uri="{FF2B5EF4-FFF2-40B4-BE49-F238E27FC236}">
                <a16:creationId xmlns:a16="http://schemas.microsoft.com/office/drawing/2014/main" xmlns="" id="{00000000-0008-0000-0500-00000D000000}"/>
              </a:ext>
            </a:extLst>
          </xdr:cNvPr>
          <xdr:cNvSpPr/>
        </xdr:nvSpPr>
        <xdr:spPr>
          <a:xfrm>
            <a:off x="666750" y="10509250"/>
            <a:ext cx="133350" cy="46037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17"/>
  <sheetViews>
    <sheetView showGridLines="0" view="pageBreakPreview" zoomScaleNormal="100" zoomScaleSheetLayoutView="100" workbookViewId="0"/>
  </sheetViews>
  <sheetFormatPr defaultRowHeight="15" x14ac:dyDescent="0.25"/>
  <cols>
    <col min="2" max="2" width="98.42578125" customWidth="1"/>
  </cols>
  <sheetData>
    <row r="5" spans="2:2" ht="14.45" x14ac:dyDescent="0.35">
      <c r="B5" s="1"/>
    </row>
    <row r="8" spans="2:2" ht="20.45" x14ac:dyDescent="0.45">
      <c r="B8" s="65" t="s">
        <v>183</v>
      </c>
    </row>
    <row r="9" spans="2:2" ht="14.45" x14ac:dyDescent="0.35">
      <c r="B9" s="62"/>
    </row>
    <row r="10" spans="2:2" ht="14.45" x14ac:dyDescent="0.35">
      <c r="B10" s="63" t="s">
        <v>181</v>
      </c>
    </row>
    <row r="11" spans="2:2" ht="14.45" x14ac:dyDescent="0.35">
      <c r="B11" s="62"/>
    </row>
    <row r="12" spans="2:2" ht="112.5" x14ac:dyDescent="0.35">
      <c r="B12" s="64" t="s">
        <v>299</v>
      </c>
    </row>
    <row r="13" spans="2:2" ht="14.45" x14ac:dyDescent="0.35">
      <c r="B13" s="62"/>
    </row>
    <row r="14" spans="2:2" ht="14.45" x14ac:dyDescent="0.35">
      <c r="B14" s="62"/>
    </row>
    <row r="15" spans="2:2" ht="14.45" x14ac:dyDescent="0.35">
      <c r="B15" s="63" t="s">
        <v>182</v>
      </c>
    </row>
    <row r="16" spans="2:2" ht="14.45" x14ac:dyDescent="0.35">
      <c r="B16" s="62"/>
    </row>
    <row r="17" spans="2:2" ht="132" customHeight="1" x14ac:dyDescent="0.35">
      <c r="B17" s="64" t="s">
        <v>300</v>
      </c>
    </row>
  </sheetData>
  <sheetProtection algorithmName="SHA-512" hashValue="exeu/KYIA+0nTNquRnqHfxnIyzA8GibOxM7hY0MGS4NVPV29T1j6brazgDSzB1wxRxlmYMJ1bX9SlkzzjOBqHg==" saltValue="PB7zYgY5z1pJyj5zgFJWFA==" spinCount="100000" sheet="1" objects="1" scenarios="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9"/>
  <sheetViews>
    <sheetView showGridLines="0" tabSelected="1" topLeftCell="C1" zoomScale="80" zoomScaleNormal="80" zoomScaleSheetLayoutView="100" workbookViewId="0">
      <pane xSplit="3" ySplit="11" topLeftCell="F12" activePane="bottomRight" state="frozen"/>
      <selection activeCell="C1" sqref="C1"/>
      <selection pane="topRight" activeCell="F1" sqref="F1"/>
      <selection pane="bottomLeft" activeCell="C8" sqref="C8"/>
      <selection pane="bottomRight" activeCell="G13" sqref="G13"/>
    </sheetView>
  </sheetViews>
  <sheetFormatPr defaultRowHeight="15" x14ac:dyDescent="0.25"/>
  <cols>
    <col min="4" max="4" width="32.28515625" customWidth="1"/>
    <col min="5" max="5" width="39.7109375" customWidth="1"/>
    <col min="6" max="6" width="19.85546875" customWidth="1"/>
    <col min="7" max="7" width="16.7109375" customWidth="1"/>
    <col min="8" max="8" width="25.28515625" customWidth="1"/>
    <col min="9" max="9" width="19.5703125" customWidth="1"/>
    <col min="10" max="14" width="33.140625" customWidth="1"/>
    <col min="15" max="15" width="51.7109375" customWidth="1"/>
    <col min="18" max="18" width="12.5703125" customWidth="1"/>
  </cols>
  <sheetData>
    <row r="1" spans="2:18" ht="14.45" x14ac:dyDescent="0.35">
      <c r="R1" s="81" t="s">
        <v>244</v>
      </c>
    </row>
    <row r="2" spans="2:18" ht="14.45" x14ac:dyDescent="0.35">
      <c r="R2" s="80">
        <f>1+3.5%</f>
        <v>1.0349999999999999</v>
      </c>
    </row>
    <row r="5" spans="2:18" ht="14.45" x14ac:dyDescent="0.35">
      <c r="D5" s="2"/>
      <c r="E5" s="2"/>
      <c r="F5" s="2"/>
      <c r="G5" s="2"/>
      <c r="H5" s="2"/>
      <c r="I5" s="2"/>
      <c r="J5" s="2"/>
      <c r="K5" s="2"/>
      <c r="L5" s="2"/>
      <c r="M5" s="2"/>
      <c r="N5" s="2"/>
      <c r="O5" s="2"/>
    </row>
    <row r="6" spans="2:18" ht="14.45" x14ac:dyDescent="0.35">
      <c r="D6" s="2"/>
      <c r="E6" s="2"/>
      <c r="F6" s="2"/>
      <c r="G6" s="2"/>
      <c r="H6" s="2"/>
      <c r="I6" s="2"/>
      <c r="J6" s="2"/>
      <c r="K6" s="2"/>
      <c r="L6" s="2"/>
      <c r="M6" s="2"/>
      <c r="N6" s="2"/>
      <c r="O6" s="2"/>
    </row>
    <row r="7" spans="2:18" ht="14.45" x14ac:dyDescent="0.35">
      <c r="D7" s="2"/>
      <c r="E7" s="2"/>
      <c r="F7" s="2"/>
      <c r="G7" s="2"/>
      <c r="H7" s="2"/>
      <c r="I7" s="2"/>
      <c r="J7" s="2"/>
      <c r="K7" s="2"/>
      <c r="L7" s="2"/>
      <c r="M7" s="2"/>
      <c r="N7" s="2"/>
      <c r="O7" s="2"/>
    </row>
    <row r="8" spans="2:18" ht="20.45" x14ac:dyDescent="0.45">
      <c r="D8" s="65" t="s">
        <v>184</v>
      </c>
      <c r="E8" s="2"/>
      <c r="F8" s="2"/>
      <c r="G8" s="2"/>
      <c r="H8" s="2"/>
      <c r="I8" s="2"/>
      <c r="J8" s="2"/>
      <c r="K8" s="2"/>
      <c r="L8" s="2"/>
      <c r="M8" s="2"/>
      <c r="N8" s="2"/>
      <c r="O8" s="2"/>
    </row>
    <row r="9" spans="2:18" ht="14.45" x14ac:dyDescent="0.35">
      <c r="D9" s="2"/>
      <c r="E9" s="2"/>
      <c r="F9" s="2"/>
      <c r="G9" s="2"/>
      <c r="H9" s="2"/>
      <c r="I9" s="2"/>
      <c r="J9" s="2"/>
      <c r="K9" s="2"/>
      <c r="L9" s="2"/>
      <c r="M9" s="2"/>
      <c r="N9" s="2"/>
      <c r="O9" s="2"/>
    </row>
    <row r="10" spans="2:18" s="3" customFormat="1" ht="15.75" x14ac:dyDescent="0.25">
      <c r="D10" s="115" t="s">
        <v>0</v>
      </c>
      <c r="E10" s="115" t="s">
        <v>1</v>
      </c>
      <c r="F10" s="115" t="s">
        <v>2</v>
      </c>
      <c r="G10" s="116" t="s">
        <v>17</v>
      </c>
      <c r="H10" s="116"/>
      <c r="I10" s="116"/>
      <c r="J10" s="116" t="s">
        <v>18</v>
      </c>
      <c r="K10" s="116"/>
      <c r="L10" s="116"/>
      <c r="M10" s="116"/>
      <c r="N10" s="116"/>
      <c r="O10" s="115" t="s">
        <v>10</v>
      </c>
    </row>
    <row r="11" spans="2:18" ht="15.75" x14ac:dyDescent="0.25">
      <c r="D11" s="115"/>
      <c r="E11" s="115"/>
      <c r="F11" s="115"/>
      <c r="G11" s="5" t="s">
        <v>3</v>
      </c>
      <c r="H11" s="5" t="s">
        <v>4</v>
      </c>
      <c r="I11" s="6" t="s">
        <v>5</v>
      </c>
      <c r="J11" s="5" t="s">
        <v>6</v>
      </c>
      <c r="K11" s="5" t="s">
        <v>7</v>
      </c>
      <c r="L11" s="5" t="s">
        <v>8</v>
      </c>
      <c r="M11" s="5" t="s">
        <v>43</v>
      </c>
      <c r="N11" s="5" t="s">
        <v>9</v>
      </c>
      <c r="O11" s="115"/>
    </row>
    <row r="12" spans="2:18" ht="57.95" x14ac:dyDescent="0.35">
      <c r="B12" s="9" t="s">
        <v>41</v>
      </c>
      <c r="C12" s="9"/>
      <c r="D12" s="8" t="s">
        <v>11</v>
      </c>
      <c r="E12" s="8" t="s">
        <v>39</v>
      </c>
      <c r="F12" s="8" t="s">
        <v>100</v>
      </c>
      <c r="G12" s="29">
        <v>500</v>
      </c>
      <c r="H12" s="8" t="s">
        <v>40</v>
      </c>
      <c r="I12" s="8" t="s">
        <v>196</v>
      </c>
      <c r="J12" s="8" t="s">
        <v>197</v>
      </c>
      <c r="K12" s="8" t="s">
        <v>198</v>
      </c>
      <c r="L12" s="8" t="s">
        <v>42</v>
      </c>
      <c r="M12" s="8" t="s">
        <v>199</v>
      </c>
      <c r="N12" s="8" t="s">
        <v>200</v>
      </c>
      <c r="O12" s="8" t="s">
        <v>294</v>
      </c>
    </row>
    <row r="13" spans="2:18" ht="116.1" x14ac:dyDescent="0.35">
      <c r="B13" s="9"/>
      <c r="C13" s="9"/>
      <c r="D13" s="8" t="s">
        <v>11</v>
      </c>
      <c r="E13" s="8" t="s">
        <v>275</v>
      </c>
      <c r="F13" s="8" t="s">
        <v>276</v>
      </c>
      <c r="G13" s="110" t="s">
        <v>280</v>
      </c>
      <c r="H13" s="8" t="s">
        <v>282</v>
      </c>
      <c r="I13" s="8" t="s">
        <v>283</v>
      </c>
      <c r="J13" s="8" t="s">
        <v>286</v>
      </c>
      <c r="K13" s="8" t="s">
        <v>288</v>
      </c>
      <c r="L13" s="8" t="s">
        <v>285</v>
      </c>
      <c r="M13" s="8" t="s">
        <v>285</v>
      </c>
      <c r="N13" s="8" t="s">
        <v>284</v>
      </c>
      <c r="O13" s="8" t="s">
        <v>291</v>
      </c>
    </row>
    <row r="14" spans="2:18" ht="87" x14ac:dyDescent="0.35">
      <c r="B14" s="9"/>
      <c r="C14" s="9"/>
      <c r="D14" s="8" t="s">
        <v>11</v>
      </c>
      <c r="E14" s="8" t="s">
        <v>277</v>
      </c>
      <c r="F14" s="8" t="s">
        <v>276</v>
      </c>
      <c r="G14" s="29">
        <v>4</v>
      </c>
      <c r="H14" s="8" t="s">
        <v>282</v>
      </c>
      <c r="I14" s="8" t="s">
        <v>283</v>
      </c>
      <c r="J14" s="8" t="s">
        <v>290</v>
      </c>
      <c r="K14" s="8" t="s">
        <v>289</v>
      </c>
      <c r="L14" s="8" t="s">
        <v>285</v>
      </c>
      <c r="M14" s="8" t="s">
        <v>285</v>
      </c>
      <c r="N14" s="8" t="s">
        <v>284</v>
      </c>
      <c r="O14" s="8" t="s">
        <v>292</v>
      </c>
    </row>
    <row r="15" spans="2:18" ht="116.1" x14ac:dyDescent="0.35">
      <c r="B15" s="9"/>
      <c r="C15" s="9"/>
      <c r="D15" s="8" t="s">
        <v>11</v>
      </c>
      <c r="E15" s="8" t="s">
        <v>278</v>
      </c>
      <c r="F15" s="8" t="s">
        <v>276</v>
      </c>
      <c r="G15" s="110" t="s">
        <v>281</v>
      </c>
      <c r="H15" s="8" t="s">
        <v>282</v>
      </c>
      <c r="I15" s="8" t="s">
        <v>283</v>
      </c>
      <c r="J15" s="8" t="s">
        <v>287</v>
      </c>
      <c r="K15" s="8" t="s">
        <v>285</v>
      </c>
      <c r="L15" s="8" t="s">
        <v>285</v>
      </c>
      <c r="M15" s="8" t="s">
        <v>285</v>
      </c>
      <c r="N15" s="8" t="s">
        <v>284</v>
      </c>
      <c r="O15" s="8" t="s">
        <v>291</v>
      </c>
    </row>
    <row r="16" spans="2:18" ht="116.1" x14ac:dyDescent="0.35">
      <c r="B16" s="9"/>
      <c r="C16" s="9"/>
      <c r="D16" s="8" t="s">
        <v>11</v>
      </c>
      <c r="E16" s="8" t="s">
        <v>279</v>
      </c>
      <c r="F16" s="8" t="s">
        <v>276</v>
      </c>
      <c r="G16" s="110" t="s">
        <v>281</v>
      </c>
      <c r="H16" s="8" t="s">
        <v>282</v>
      </c>
      <c r="I16" s="8" t="s">
        <v>283</v>
      </c>
      <c r="J16" s="8" t="s">
        <v>287</v>
      </c>
      <c r="K16" s="8" t="s">
        <v>285</v>
      </c>
      <c r="L16" s="8" t="s">
        <v>285</v>
      </c>
      <c r="M16" s="8" t="s">
        <v>285</v>
      </c>
      <c r="N16" s="8" t="s">
        <v>284</v>
      </c>
      <c r="O16" s="8" t="s">
        <v>292</v>
      </c>
    </row>
    <row r="17" spans="1:15" ht="29.1" x14ac:dyDescent="0.35">
      <c r="B17" s="9"/>
      <c r="C17" s="9"/>
      <c r="D17" s="8" t="s">
        <v>13</v>
      </c>
      <c r="E17" s="8" t="s">
        <v>130</v>
      </c>
      <c r="F17" s="8" t="s">
        <v>100</v>
      </c>
      <c r="G17" s="29">
        <v>1000</v>
      </c>
      <c r="H17" s="8"/>
      <c r="I17" s="8" t="s">
        <v>196</v>
      </c>
      <c r="J17" s="8" t="s">
        <v>201</v>
      </c>
      <c r="K17" s="8" t="s">
        <v>201</v>
      </c>
      <c r="L17" s="8" t="s">
        <v>201</v>
      </c>
      <c r="M17" s="8" t="s">
        <v>201</v>
      </c>
      <c r="N17" s="8"/>
      <c r="O17" s="8" t="s">
        <v>150</v>
      </c>
    </row>
    <row r="18" spans="1:15" ht="159.6" x14ac:dyDescent="0.35">
      <c r="B18" s="9"/>
      <c r="C18" s="9"/>
      <c r="D18" s="8" t="s">
        <v>13</v>
      </c>
      <c r="E18" s="8" t="s">
        <v>202</v>
      </c>
      <c r="F18" s="8" t="s">
        <v>117</v>
      </c>
      <c r="G18" s="23">
        <f>(62)*$R$2</f>
        <v>64.17</v>
      </c>
      <c r="H18" s="8" t="s">
        <v>112</v>
      </c>
      <c r="I18" s="70" t="s">
        <v>203</v>
      </c>
      <c r="J18" s="8" t="s">
        <v>197</v>
      </c>
      <c r="K18" s="8" t="s">
        <v>204</v>
      </c>
      <c r="L18" s="8" t="s">
        <v>205</v>
      </c>
      <c r="M18" s="27" t="s">
        <v>206</v>
      </c>
      <c r="N18" s="8"/>
      <c r="O18" s="8" t="s">
        <v>207</v>
      </c>
    </row>
    <row r="19" spans="1:15" ht="270" x14ac:dyDescent="0.25">
      <c r="B19" s="9"/>
      <c r="C19" s="9"/>
      <c r="D19" s="8" t="s">
        <v>12</v>
      </c>
      <c r="E19" s="8" t="s">
        <v>59</v>
      </c>
      <c r="F19" s="8" t="s">
        <v>117</v>
      </c>
      <c r="G19" s="23">
        <f>(62)*$R$2</f>
        <v>64.17</v>
      </c>
      <c r="H19" s="8" t="s">
        <v>112</v>
      </c>
      <c r="I19" s="70" t="s">
        <v>203</v>
      </c>
      <c r="J19" s="8" t="s">
        <v>197</v>
      </c>
      <c r="K19" s="8" t="s">
        <v>208</v>
      </c>
      <c r="L19" s="8" t="s">
        <v>209</v>
      </c>
      <c r="M19" s="27" t="s">
        <v>206</v>
      </c>
      <c r="N19" s="8"/>
      <c r="O19" s="8" t="s">
        <v>295</v>
      </c>
    </row>
    <row r="20" spans="1:15" ht="270" x14ac:dyDescent="0.25">
      <c r="D20" s="8" t="s">
        <v>12</v>
      </c>
      <c r="E20" s="8" t="s">
        <v>60</v>
      </c>
      <c r="F20" s="8" t="s">
        <v>117</v>
      </c>
      <c r="G20" s="23">
        <f>(80)*$R$2</f>
        <v>82.8</v>
      </c>
      <c r="H20" s="8" t="s">
        <v>112</v>
      </c>
      <c r="I20" s="70" t="s">
        <v>203</v>
      </c>
      <c r="J20" s="27" t="s">
        <v>118</v>
      </c>
      <c r="K20" s="8" t="s">
        <v>208</v>
      </c>
      <c r="L20" s="8" t="s">
        <v>209</v>
      </c>
      <c r="M20" s="27" t="s">
        <v>206</v>
      </c>
      <c r="N20" s="8"/>
      <c r="O20" s="8" t="s">
        <v>296</v>
      </c>
    </row>
    <row r="21" spans="1:15" ht="390" x14ac:dyDescent="0.25">
      <c r="A21" t="s">
        <v>58</v>
      </c>
      <c r="B21">
        <v>1.0349999999999999</v>
      </c>
      <c r="D21" s="8" t="s">
        <v>12</v>
      </c>
      <c r="E21" s="8" t="s">
        <v>61</v>
      </c>
      <c r="F21" s="8" t="s">
        <v>117</v>
      </c>
      <c r="G21" s="23">
        <f>(160+42)*$R$2</f>
        <v>209.07</v>
      </c>
      <c r="H21" s="8" t="s">
        <v>112</v>
      </c>
      <c r="I21" s="70" t="s">
        <v>203</v>
      </c>
      <c r="J21" s="27" t="s">
        <v>118</v>
      </c>
      <c r="K21" s="8" t="s">
        <v>208</v>
      </c>
      <c r="L21" s="8" t="s">
        <v>209</v>
      </c>
      <c r="M21" s="27" t="s">
        <v>206</v>
      </c>
      <c r="N21" s="8"/>
      <c r="O21" s="28" t="s">
        <v>297</v>
      </c>
    </row>
    <row r="22" spans="1:15" ht="30" x14ac:dyDescent="0.25">
      <c r="D22" s="8" t="s">
        <v>12</v>
      </c>
      <c r="E22" s="8" t="s">
        <v>62</v>
      </c>
      <c r="F22" s="8" t="s">
        <v>117</v>
      </c>
      <c r="G22" s="23">
        <f>(200+61)*$R$2</f>
        <v>270.13499999999999</v>
      </c>
      <c r="H22" s="8" t="s">
        <v>112</v>
      </c>
      <c r="I22" s="70" t="s">
        <v>203</v>
      </c>
      <c r="J22" s="8" t="s">
        <v>119</v>
      </c>
      <c r="K22" s="8" t="s">
        <v>119</v>
      </c>
      <c r="L22" s="8" t="s">
        <v>119</v>
      </c>
      <c r="M22" s="8" t="s">
        <v>119</v>
      </c>
      <c r="N22" s="8"/>
      <c r="O22" s="22" t="s">
        <v>119</v>
      </c>
    </row>
    <row r="23" spans="1:15" ht="30" x14ac:dyDescent="0.25">
      <c r="D23" s="8" t="s">
        <v>12</v>
      </c>
      <c r="E23" s="8" t="s">
        <v>63</v>
      </c>
      <c r="F23" s="8" t="s">
        <v>117</v>
      </c>
      <c r="G23" s="23">
        <f>(250+81)*$R$2</f>
        <v>342.58499999999998</v>
      </c>
      <c r="H23" s="8" t="s">
        <v>112</v>
      </c>
      <c r="I23" s="70" t="s">
        <v>203</v>
      </c>
      <c r="J23" s="8" t="s">
        <v>119</v>
      </c>
      <c r="K23" s="8" t="s">
        <v>119</v>
      </c>
      <c r="L23" s="8" t="s">
        <v>119</v>
      </c>
      <c r="M23" s="8" t="s">
        <v>119</v>
      </c>
      <c r="N23" s="8"/>
      <c r="O23" s="22" t="s">
        <v>119</v>
      </c>
    </row>
    <row r="24" spans="1:15" ht="30" x14ac:dyDescent="0.25">
      <c r="D24" s="8" t="s">
        <v>12</v>
      </c>
      <c r="E24" s="8" t="s">
        <v>64</v>
      </c>
      <c r="F24" s="8" t="s">
        <v>117</v>
      </c>
      <c r="G24" s="23">
        <f>(290+102)*$R$2</f>
        <v>405.71999999999997</v>
      </c>
      <c r="H24" s="8" t="s">
        <v>112</v>
      </c>
      <c r="I24" s="70" t="s">
        <v>203</v>
      </c>
      <c r="J24" s="8" t="s">
        <v>119</v>
      </c>
      <c r="K24" s="8" t="s">
        <v>119</v>
      </c>
      <c r="L24" s="8" t="s">
        <v>119</v>
      </c>
      <c r="M24" s="8" t="s">
        <v>119</v>
      </c>
      <c r="N24" s="8"/>
      <c r="O24" s="22" t="s">
        <v>119</v>
      </c>
    </row>
    <row r="25" spans="1:15" ht="30" x14ac:dyDescent="0.25">
      <c r="D25" s="8" t="s">
        <v>12</v>
      </c>
      <c r="E25" s="8" t="s">
        <v>65</v>
      </c>
      <c r="F25" s="8" t="s">
        <v>117</v>
      </c>
      <c r="G25" s="23">
        <f>(340+122)*$R$2</f>
        <v>478.16999999999996</v>
      </c>
      <c r="H25" s="8" t="s">
        <v>112</v>
      </c>
      <c r="I25" s="70" t="s">
        <v>203</v>
      </c>
      <c r="J25" s="8" t="s">
        <v>119</v>
      </c>
      <c r="K25" s="8" t="s">
        <v>119</v>
      </c>
      <c r="L25" s="8" t="s">
        <v>119</v>
      </c>
      <c r="M25" s="8" t="s">
        <v>119</v>
      </c>
      <c r="N25" s="8"/>
      <c r="O25" s="22" t="s">
        <v>119</v>
      </c>
    </row>
    <row r="26" spans="1:15" ht="30" x14ac:dyDescent="0.25">
      <c r="D26" s="8" t="s">
        <v>12</v>
      </c>
      <c r="E26" s="8" t="s">
        <v>66</v>
      </c>
      <c r="F26" s="8" t="s">
        <v>117</v>
      </c>
      <c r="G26" s="23">
        <f>(430+162)*$R$2</f>
        <v>612.71999999999991</v>
      </c>
      <c r="H26" s="8" t="s">
        <v>112</v>
      </c>
      <c r="I26" s="70" t="s">
        <v>203</v>
      </c>
      <c r="J26" s="8" t="s">
        <v>119</v>
      </c>
      <c r="K26" s="8" t="s">
        <v>119</v>
      </c>
      <c r="L26" s="8" t="s">
        <v>119</v>
      </c>
      <c r="M26" s="8" t="s">
        <v>119</v>
      </c>
      <c r="N26" s="8"/>
      <c r="O26" s="22" t="s">
        <v>119</v>
      </c>
    </row>
    <row r="27" spans="1:15" ht="330" x14ac:dyDescent="0.25">
      <c r="D27" s="8" t="s">
        <v>12</v>
      </c>
      <c r="E27" s="8" t="s">
        <v>67</v>
      </c>
      <c r="F27" s="8" t="s">
        <v>117</v>
      </c>
      <c r="G27" s="23">
        <f>(160)*$R$2</f>
        <v>165.6</v>
      </c>
      <c r="H27" s="8" t="s">
        <v>112</v>
      </c>
      <c r="I27" s="70" t="s">
        <v>203</v>
      </c>
      <c r="J27" s="27" t="s">
        <v>118</v>
      </c>
      <c r="K27" s="8" t="s">
        <v>208</v>
      </c>
      <c r="L27" s="8" t="s">
        <v>209</v>
      </c>
      <c r="M27" s="27" t="s">
        <v>206</v>
      </c>
      <c r="N27" s="8"/>
      <c r="O27" s="28" t="s">
        <v>298</v>
      </c>
    </row>
    <row r="28" spans="1:15" ht="30" x14ac:dyDescent="0.25">
      <c r="D28" s="8" t="s">
        <v>12</v>
      </c>
      <c r="E28" s="8" t="s">
        <v>68</v>
      </c>
      <c r="F28" s="8" t="s">
        <v>117</v>
      </c>
      <c r="G28" s="23">
        <f>(200)*$R$2</f>
        <v>206.99999999999997</v>
      </c>
      <c r="H28" s="8" t="s">
        <v>112</v>
      </c>
      <c r="I28" s="70" t="s">
        <v>203</v>
      </c>
      <c r="J28" s="8" t="s">
        <v>119</v>
      </c>
      <c r="K28" s="8" t="s">
        <v>119</v>
      </c>
      <c r="L28" s="8" t="s">
        <v>119</v>
      </c>
      <c r="M28" s="8" t="s">
        <v>119</v>
      </c>
      <c r="N28" s="8"/>
      <c r="O28" s="22" t="s">
        <v>119</v>
      </c>
    </row>
    <row r="29" spans="1:15" ht="30" x14ac:dyDescent="0.25">
      <c r="D29" s="8" t="s">
        <v>12</v>
      </c>
      <c r="E29" s="8" t="s">
        <v>69</v>
      </c>
      <c r="F29" s="8" t="s">
        <v>117</v>
      </c>
      <c r="G29" s="23">
        <f>(250)*$R$2</f>
        <v>258.75</v>
      </c>
      <c r="H29" s="8" t="s">
        <v>112</v>
      </c>
      <c r="I29" s="70" t="s">
        <v>203</v>
      </c>
      <c r="J29" s="8" t="s">
        <v>119</v>
      </c>
      <c r="K29" s="8" t="s">
        <v>119</v>
      </c>
      <c r="L29" s="8" t="s">
        <v>119</v>
      </c>
      <c r="M29" s="8" t="s">
        <v>119</v>
      </c>
      <c r="N29" s="8"/>
      <c r="O29" s="22" t="s">
        <v>119</v>
      </c>
    </row>
    <row r="30" spans="1:15" ht="30" x14ac:dyDescent="0.25">
      <c r="D30" s="8" t="s">
        <v>12</v>
      </c>
      <c r="E30" s="8" t="s">
        <v>70</v>
      </c>
      <c r="F30" s="8" t="s">
        <v>117</v>
      </c>
      <c r="G30" s="23">
        <f>(290)*$R$2</f>
        <v>300.14999999999998</v>
      </c>
      <c r="H30" s="8" t="s">
        <v>112</v>
      </c>
      <c r="I30" s="70" t="s">
        <v>203</v>
      </c>
      <c r="J30" s="8" t="s">
        <v>119</v>
      </c>
      <c r="K30" s="8" t="s">
        <v>119</v>
      </c>
      <c r="L30" s="8" t="s">
        <v>119</v>
      </c>
      <c r="M30" s="8" t="s">
        <v>119</v>
      </c>
      <c r="N30" s="8"/>
      <c r="O30" s="22" t="s">
        <v>119</v>
      </c>
    </row>
    <row r="31" spans="1:15" ht="30" x14ac:dyDescent="0.25">
      <c r="D31" s="8" t="s">
        <v>12</v>
      </c>
      <c r="E31" s="8" t="s">
        <v>71</v>
      </c>
      <c r="F31" s="8" t="s">
        <v>117</v>
      </c>
      <c r="G31" s="23">
        <f>(340)*$R$2</f>
        <v>351.9</v>
      </c>
      <c r="H31" s="8" t="s">
        <v>112</v>
      </c>
      <c r="I31" s="70" t="s">
        <v>203</v>
      </c>
      <c r="J31" s="8" t="s">
        <v>119</v>
      </c>
      <c r="K31" s="8" t="s">
        <v>119</v>
      </c>
      <c r="L31" s="8" t="s">
        <v>119</v>
      </c>
      <c r="M31" s="8" t="s">
        <v>119</v>
      </c>
      <c r="N31" s="8"/>
      <c r="O31" s="22" t="s">
        <v>119</v>
      </c>
    </row>
    <row r="32" spans="1:15" ht="30" x14ac:dyDescent="0.25">
      <c r="D32" s="8" t="s">
        <v>12</v>
      </c>
      <c r="E32" s="8" t="s">
        <v>72</v>
      </c>
      <c r="F32" s="8" t="s">
        <v>117</v>
      </c>
      <c r="G32" s="23">
        <f>(430)*$R$2</f>
        <v>445.04999999999995</v>
      </c>
      <c r="H32" s="8" t="s">
        <v>112</v>
      </c>
      <c r="I32" s="70" t="s">
        <v>203</v>
      </c>
      <c r="J32" s="8" t="s">
        <v>119</v>
      </c>
      <c r="K32" s="8" t="s">
        <v>119</v>
      </c>
      <c r="L32" s="8" t="s">
        <v>119</v>
      </c>
      <c r="M32" s="8" t="s">
        <v>119</v>
      </c>
      <c r="N32" s="8"/>
      <c r="O32" s="22" t="s">
        <v>119</v>
      </c>
    </row>
    <row r="33" spans="4:15" ht="30" x14ac:dyDescent="0.25">
      <c r="D33" s="8" t="s">
        <v>12</v>
      </c>
      <c r="E33" s="8" t="s">
        <v>154</v>
      </c>
      <c r="F33" s="8" t="s">
        <v>117</v>
      </c>
      <c r="G33" s="23">
        <f>(510)*$R$2</f>
        <v>527.84999999999991</v>
      </c>
      <c r="H33" s="8" t="s">
        <v>112</v>
      </c>
      <c r="I33" s="70" t="s">
        <v>203</v>
      </c>
      <c r="J33" s="8" t="s">
        <v>119</v>
      </c>
      <c r="K33" s="8" t="s">
        <v>119</v>
      </c>
      <c r="L33" s="8" t="s">
        <v>119</v>
      </c>
      <c r="M33" s="8" t="s">
        <v>119</v>
      </c>
      <c r="N33" s="8"/>
      <c r="O33" s="22" t="s">
        <v>119</v>
      </c>
    </row>
    <row r="34" spans="4:15" ht="300" x14ac:dyDescent="0.25">
      <c r="D34" s="8" t="s">
        <v>14</v>
      </c>
      <c r="E34" s="8" t="s">
        <v>73</v>
      </c>
      <c r="F34" s="8" t="s">
        <v>117</v>
      </c>
      <c r="G34" s="29">
        <f>(216+42)*$R$2</f>
        <v>267.02999999999997</v>
      </c>
      <c r="H34" s="8" t="s">
        <v>113</v>
      </c>
      <c r="I34" s="70" t="s">
        <v>211</v>
      </c>
      <c r="J34" s="27" t="s">
        <v>118</v>
      </c>
      <c r="K34" s="8" t="s">
        <v>208</v>
      </c>
      <c r="L34" s="27" t="s">
        <v>212</v>
      </c>
      <c r="M34" s="27" t="s">
        <v>206</v>
      </c>
      <c r="N34" s="8"/>
      <c r="O34" s="28" t="s">
        <v>213</v>
      </c>
    </row>
    <row r="35" spans="4:15" ht="30" x14ac:dyDescent="0.25">
      <c r="D35" s="8" t="s">
        <v>14</v>
      </c>
      <c r="E35" s="8" t="s">
        <v>74</v>
      </c>
      <c r="F35" s="8" t="s">
        <v>117</v>
      </c>
      <c r="G35" s="23">
        <f>(253+61)*$R$2</f>
        <v>324.98999999999995</v>
      </c>
      <c r="H35" s="8" t="s">
        <v>113</v>
      </c>
      <c r="I35" s="70" t="s">
        <v>211</v>
      </c>
      <c r="J35" s="8" t="s">
        <v>119</v>
      </c>
      <c r="K35" s="8" t="s">
        <v>119</v>
      </c>
      <c r="L35" s="8" t="s">
        <v>119</v>
      </c>
      <c r="M35" s="8" t="s">
        <v>119</v>
      </c>
      <c r="N35" s="8"/>
      <c r="O35" s="28" t="s">
        <v>119</v>
      </c>
    </row>
    <row r="36" spans="4:15" ht="30" x14ac:dyDescent="0.25">
      <c r="D36" s="8" t="s">
        <v>14</v>
      </c>
      <c r="E36" s="8" t="s">
        <v>75</v>
      </c>
      <c r="F36" s="8" t="s">
        <v>117</v>
      </c>
      <c r="G36" s="23">
        <f>(315+102)*$R$2</f>
        <v>431.59499999999997</v>
      </c>
      <c r="H36" s="8" t="s">
        <v>113</v>
      </c>
      <c r="I36" s="70" t="s">
        <v>211</v>
      </c>
      <c r="J36" s="8" t="s">
        <v>119</v>
      </c>
      <c r="K36" s="8" t="s">
        <v>119</v>
      </c>
      <c r="L36" s="8" t="s">
        <v>119</v>
      </c>
      <c r="M36" s="8" t="s">
        <v>119</v>
      </c>
      <c r="N36" s="8"/>
      <c r="O36" s="28" t="s">
        <v>119</v>
      </c>
    </row>
    <row r="37" spans="4:15" ht="30" x14ac:dyDescent="0.25">
      <c r="D37" s="8" t="s">
        <v>14</v>
      </c>
      <c r="E37" s="8" t="s">
        <v>76</v>
      </c>
      <c r="F37" s="8" t="s">
        <v>117</v>
      </c>
      <c r="G37" s="23">
        <f>(427+122)*$R$2</f>
        <v>568.21499999999992</v>
      </c>
      <c r="H37" s="8" t="s">
        <v>113</v>
      </c>
      <c r="I37" s="70" t="s">
        <v>211</v>
      </c>
      <c r="J37" s="8" t="s">
        <v>119</v>
      </c>
      <c r="K37" s="8" t="s">
        <v>119</v>
      </c>
      <c r="L37" s="8" t="s">
        <v>119</v>
      </c>
      <c r="M37" s="8" t="s">
        <v>119</v>
      </c>
      <c r="N37" s="8"/>
      <c r="O37" s="28" t="s">
        <v>119</v>
      </c>
    </row>
    <row r="38" spans="4:15" ht="30" x14ac:dyDescent="0.25">
      <c r="D38" s="8" t="s">
        <v>14</v>
      </c>
      <c r="E38" s="8" t="s">
        <v>77</v>
      </c>
      <c r="F38" s="8" t="s">
        <v>117</v>
      </c>
      <c r="G38" s="23">
        <f>(553+162)*$R$2</f>
        <v>740.02499999999998</v>
      </c>
      <c r="H38" s="8" t="s">
        <v>113</v>
      </c>
      <c r="I38" s="70" t="s">
        <v>211</v>
      </c>
      <c r="J38" s="8" t="s">
        <v>119</v>
      </c>
      <c r="K38" s="8" t="s">
        <v>119</v>
      </c>
      <c r="L38" s="8" t="s">
        <v>119</v>
      </c>
      <c r="M38" s="8" t="s">
        <v>119</v>
      </c>
      <c r="N38" s="8"/>
      <c r="O38" s="28" t="s">
        <v>119</v>
      </c>
    </row>
    <row r="39" spans="4:15" ht="30" x14ac:dyDescent="0.25">
      <c r="D39" s="8" t="s">
        <v>14</v>
      </c>
      <c r="E39" s="8" t="s">
        <v>78</v>
      </c>
      <c r="F39" s="8" t="s">
        <v>117</v>
      </c>
      <c r="G39" s="23">
        <f>(670+203)*$R$2</f>
        <v>903.55499999999995</v>
      </c>
      <c r="H39" s="8" t="s">
        <v>113</v>
      </c>
      <c r="I39" s="70" t="s">
        <v>211</v>
      </c>
      <c r="J39" s="8" t="s">
        <v>119</v>
      </c>
      <c r="K39" s="8" t="s">
        <v>119</v>
      </c>
      <c r="L39" s="8" t="s">
        <v>119</v>
      </c>
      <c r="M39" s="8" t="s">
        <v>119</v>
      </c>
      <c r="N39" s="8"/>
      <c r="O39" s="28" t="s">
        <v>119</v>
      </c>
    </row>
    <row r="40" spans="4:15" ht="30" x14ac:dyDescent="0.25">
      <c r="D40" s="8" t="s">
        <v>14</v>
      </c>
      <c r="E40" s="8" t="s">
        <v>79</v>
      </c>
      <c r="F40" s="8" t="s">
        <v>117</v>
      </c>
      <c r="G40" s="23">
        <f>(775+231)*$R$2</f>
        <v>1041.2099999999998</v>
      </c>
      <c r="H40" s="8" t="s">
        <v>113</v>
      </c>
      <c r="I40" s="70" t="s">
        <v>211</v>
      </c>
      <c r="J40" s="8" t="s">
        <v>119</v>
      </c>
      <c r="K40" s="8" t="s">
        <v>119</v>
      </c>
      <c r="L40" s="8" t="s">
        <v>119</v>
      </c>
      <c r="M40" s="8" t="s">
        <v>119</v>
      </c>
      <c r="N40" s="8"/>
      <c r="O40" s="28" t="s">
        <v>119</v>
      </c>
    </row>
    <row r="41" spans="4:15" ht="30" x14ac:dyDescent="0.25">
      <c r="D41" s="8" t="s">
        <v>14</v>
      </c>
      <c r="E41" s="8" t="s">
        <v>80</v>
      </c>
      <c r="F41" s="8" t="s">
        <v>117</v>
      </c>
      <c r="G41" s="23">
        <f>(1000+271)*$R$2</f>
        <v>1315.4849999999999</v>
      </c>
      <c r="H41" s="8" t="s">
        <v>113</v>
      </c>
      <c r="I41" s="70" t="s">
        <v>211</v>
      </c>
      <c r="J41" s="8" t="s">
        <v>119</v>
      </c>
      <c r="K41" s="8" t="s">
        <v>119</v>
      </c>
      <c r="L41" s="8" t="s">
        <v>119</v>
      </c>
      <c r="M41" s="8" t="s">
        <v>119</v>
      </c>
      <c r="N41" s="8"/>
      <c r="O41" s="28" t="s">
        <v>119</v>
      </c>
    </row>
    <row r="42" spans="4:15" ht="240" x14ac:dyDescent="0.25">
      <c r="D42" s="27" t="s">
        <v>14</v>
      </c>
      <c r="E42" s="27" t="s">
        <v>83</v>
      </c>
      <c r="F42" s="27" t="s">
        <v>117</v>
      </c>
      <c r="G42" s="29">
        <f>(216)*$R$2</f>
        <v>223.55999999999997</v>
      </c>
      <c r="H42" s="27" t="s">
        <v>113</v>
      </c>
      <c r="I42" s="70" t="s">
        <v>211</v>
      </c>
      <c r="J42" s="27" t="s">
        <v>118</v>
      </c>
      <c r="K42" s="8" t="s">
        <v>208</v>
      </c>
      <c r="L42" s="27" t="s">
        <v>214</v>
      </c>
      <c r="M42" s="27" t="s">
        <v>206</v>
      </c>
      <c r="N42" s="8"/>
      <c r="O42" s="28" t="s">
        <v>215</v>
      </c>
    </row>
    <row r="43" spans="4:15" ht="30" x14ac:dyDescent="0.25">
      <c r="D43" s="27" t="s">
        <v>14</v>
      </c>
      <c r="E43" s="27" t="s">
        <v>84</v>
      </c>
      <c r="F43" s="27" t="s">
        <v>117</v>
      </c>
      <c r="G43" s="29">
        <f>(253)*$R$2</f>
        <v>261.85499999999996</v>
      </c>
      <c r="H43" s="27" t="s">
        <v>113</v>
      </c>
      <c r="I43" s="70" t="s">
        <v>211</v>
      </c>
      <c r="J43" s="8" t="s">
        <v>119</v>
      </c>
      <c r="K43" s="8" t="s">
        <v>119</v>
      </c>
      <c r="L43" s="8" t="s">
        <v>119</v>
      </c>
      <c r="M43" s="8" t="s">
        <v>119</v>
      </c>
      <c r="N43" s="8"/>
      <c r="O43" s="22" t="s">
        <v>119</v>
      </c>
    </row>
    <row r="44" spans="4:15" ht="30" x14ac:dyDescent="0.25">
      <c r="D44" s="27" t="s">
        <v>14</v>
      </c>
      <c r="E44" s="27" t="s">
        <v>85</v>
      </c>
      <c r="F44" s="27" t="s">
        <v>117</v>
      </c>
      <c r="G44" s="29">
        <f>(315)*$R$2</f>
        <v>326.02499999999998</v>
      </c>
      <c r="H44" s="27" t="s">
        <v>113</v>
      </c>
      <c r="I44" s="70" t="s">
        <v>211</v>
      </c>
      <c r="J44" s="8" t="s">
        <v>119</v>
      </c>
      <c r="K44" s="8" t="s">
        <v>119</v>
      </c>
      <c r="L44" s="8" t="s">
        <v>119</v>
      </c>
      <c r="M44" s="8" t="s">
        <v>119</v>
      </c>
      <c r="N44" s="8"/>
      <c r="O44" s="22" t="s">
        <v>119</v>
      </c>
    </row>
    <row r="45" spans="4:15" ht="30" x14ac:dyDescent="0.25">
      <c r="D45" s="27" t="s">
        <v>14</v>
      </c>
      <c r="E45" s="27" t="s">
        <v>86</v>
      </c>
      <c r="F45" s="27" t="s">
        <v>117</v>
      </c>
      <c r="G45" s="29">
        <f>(427)*$R$2</f>
        <v>441.94499999999999</v>
      </c>
      <c r="H45" s="27" t="s">
        <v>113</v>
      </c>
      <c r="I45" s="70" t="s">
        <v>211</v>
      </c>
      <c r="J45" s="8" t="s">
        <v>119</v>
      </c>
      <c r="K45" s="8" t="s">
        <v>119</v>
      </c>
      <c r="L45" s="8" t="s">
        <v>119</v>
      </c>
      <c r="M45" s="8" t="s">
        <v>119</v>
      </c>
      <c r="N45" s="8"/>
      <c r="O45" s="22" t="s">
        <v>119</v>
      </c>
    </row>
    <row r="46" spans="4:15" ht="30" x14ac:dyDescent="0.25">
      <c r="D46" s="27" t="s">
        <v>14</v>
      </c>
      <c r="E46" s="27" t="s">
        <v>87</v>
      </c>
      <c r="F46" s="27" t="s">
        <v>117</v>
      </c>
      <c r="G46" s="29">
        <f>(553)*$R$2</f>
        <v>572.3549999999999</v>
      </c>
      <c r="H46" s="27" t="s">
        <v>113</v>
      </c>
      <c r="I46" s="70" t="s">
        <v>211</v>
      </c>
      <c r="J46" s="8" t="s">
        <v>119</v>
      </c>
      <c r="K46" s="8" t="s">
        <v>119</v>
      </c>
      <c r="L46" s="8" t="s">
        <v>119</v>
      </c>
      <c r="M46" s="8" t="s">
        <v>119</v>
      </c>
      <c r="N46" s="8"/>
      <c r="O46" s="22" t="s">
        <v>119</v>
      </c>
    </row>
    <row r="47" spans="4:15" ht="30" x14ac:dyDescent="0.25">
      <c r="D47" s="27" t="s">
        <v>14</v>
      </c>
      <c r="E47" s="27" t="s">
        <v>88</v>
      </c>
      <c r="F47" s="27" t="s">
        <v>117</v>
      </c>
      <c r="G47" s="29">
        <f>(670)*$R$2</f>
        <v>693.44999999999993</v>
      </c>
      <c r="H47" s="27" t="s">
        <v>113</v>
      </c>
      <c r="I47" s="70" t="s">
        <v>211</v>
      </c>
      <c r="J47" s="8" t="s">
        <v>119</v>
      </c>
      <c r="K47" s="8" t="s">
        <v>119</v>
      </c>
      <c r="L47" s="8" t="s">
        <v>119</v>
      </c>
      <c r="M47" s="8" t="s">
        <v>119</v>
      </c>
      <c r="N47" s="8"/>
      <c r="O47" s="22" t="s">
        <v>119</v>
      </c>
    </row>
    <row r="48" spans="4:15" ht="30" x14ac:dyDescent="0.25">
      <c r="D48" s="27" t="s">
        <v>14</v>
      </c>
      <c r="E48" s="27" t="s">
        <v>89</v>
      </c>
      <c r="F48" s="27" t="s">
        <v>117</v>
      </c>
      <c r="G48" s="29">
        <f>(775)*$R$2</f>
        <v>802.12499999999989</v>
      </c>
      <c r="H48" s="27" t="s">
        <v>113</v>
      </c>
      <c r="I48" s="70" t="s">
        <v>211</v>
      </c>
      <c r="J48" s="8" t="s">
        <v>119</v>
      </c>
      <c r="K48" s="8" t="s">
        <v>119</v>
      </c>
      <c r="L48" s="8" t="s">
        <v>119</v>
      </c>
      <c r="M48" s="8" t="s">
        <v>119</v>
      </c>
      <c r="N48" s="8"/>
      <c r="O48" s="22" t="s">
        <v>119</v>
      </c>
    </row>
    <row r="49" spans="4:15" ht="30" x14ac:dyDescent="0.25">
      <c r="D49" s="27" t="s">
        <v>14</v>
      </c>
      <c r="E49" s="27" t="s">
        <v>90</v>
      </c>
      <c r="F49" s="27" t="s">
        <v>117</v>
      </c>
      <c r="G49" s="29">
        <f>(1000)*$R$2</f>
        <v>1035</v>
      </c>
      <c r="H49" s="27" t="s">
        <v>113</v>
      </c>
      <c r="I49" s="70" t="s">
        <v>211</v>
      </c>
      <c r="J49" s="8" t="s">
        <v>119</v>
      </c>
      <c r="K49" s="8" t="s">
        <v>119</v>
      </c>
      <c r="L49" s="8" t="s">
        <v>119</v>
      </c>
      <c r="M49" s="8" t="s">
        <v>119</v>
      </c>
      <c r="N49" s="8"/>
      <c r="O49" s="22" t="s">
        <v>119</v>
      </c>
    </row>
    <row r="50" spans="4:15" ht="240" x14ac:dyDescent="0.25">
      <c r="D50" s="8" t="s">
        <v>15</v>
      </c>
      <c r="E50" s="8" t="s">
        <v>91</v>
      </c>
      <c r="F50" s="8" t="s">
        <v>117</v>
      </c>
      <c r="G50" s="23">
        <f>115*$R$2</f>
        <v>119.02499999999999</v>
      </c>
      <c r="H50" s="8" t="s">
        <v>112</v>
      </c>
      <c r="I50" s="70" t="s">
        <v>211</v>
      </c>
      <c r="J50" s="27" t="s">
        <v>118</v>
      </c>
      <c r="K50" s="8" t="s">
        <v>208</v>
      </c>
      <c r="L50" s="8" t="s">
        <v>209</v>
      </c>
      <c r="M50" s="27" t="s">
        <v>206</v>
      </c>
      <c r="N50" s="8"/>
      <c r="O50" s="28" t="s">
        <v>216</v>
      </c>
    </row>
    <row r="51" spans="4:15" ht="30" x14ac:dyDescent="0.25">
      <c r="D51" s="8" t="s">
        <v>15</v>
      </c>
      <c r="E51" s="8" t="s">
        <v>91</v>
      </c>
      <c r="F51" s="8" t="s">
        <v>117</v>
      </c>
      <c r="G51" s="23">
        <f>115*$R$2</f>
        <v>119.02499999999999</v>
      </c>
      <c r="H51" s="8" t="s">
        <v>112</v>
      </c>
      <c r="I51" s="70" t="s">
        <v>211</v>
      </c>
      <c r="J51" s="8" t="s">
        <v>119</v>
      </c>
      <c r="K51" s="8" t="s">
        <v>119</v>
      </c>
      <c r="L51" s="8" t="s">
        <v>119</v>
      </c>
      <c r="M51" s="8" t="s">
        <v>119</v>
      </c>
      <c r="N51" s="8"/>
      <c r="O51" s="22" t="s">
        <v>119</v>
      </c>
    </row>
    <row r="52" spans="4:15" ht="30" x14ac:dyDescent="0.25">
      <c r="D52" s="8" t="s">
        <v>15</v>
      </c>
      <c r="E52" s="8" t="s">
        <v>92</v>
      </c>
      <c r="F52" s="8" t="s">
        <v>117</v>
      </c>
      <c r="G52" s="23">
        <f>160*$R$2</f>
        <v>165.6</v>
      </c>
      <c r="H52" s="8" t="s">
        <v>112</v>
      </c>
      <c r="I52" s="70" t="s">
        <v>211</v>
      </c>
      <c r="J52" s="8" t="s">
        <v>119</v>
      </c>
      <c r="K52" s="8" t="s">
        <v>119</v>
      </c>
      <c r="L52" s="8" t="s">
        <v>119</v>
      </c>
      <c r="M52" s="8" t="s">
        <v>119</v>
      </c>
      <c r="N52" s="8"/>
      <c r="O52" s="22" t="s">
        <v>119</v>
      </c>
    </row>
    <row r="53" spans="4:15" ht="30" x14ac:dyDescent="0.25">
      <c r="D53" s="8" t="s">
        <v>15</v>
      </c>
      <c r="E53" s="8" t="s">
        <v>93</v>
      </c>
      <c r="F53" s="8" t="s">
        <v>117</v>
      </c>
      <c r="G53" s="23">
        <f>190*$R$2</f>
        <v>196.64999999999998</v>
      </c>
      <c r="H53" s="8" t="s">
        <v>112</v>
      </c>
      <c r="I53" s="70" t="s">
        <v>211</v>
      </c>
      <c r="J53" s="8" t="s">
        <v>119</v>
      </c>
      <c r="K53" s="8" t="s">
        <v>119</v>
      </c>
      <c r="L53" s="8" t="s">
        <v>119</v>
      </c>
      <c r="M53" s="8" t="s">
        <v>119</v>
      </c>
      <c r="N53" s="8"/>
      <c r="O53" s="22" t="s">
        <v>119</v>
      </c>
    </row>
    <row r="54" spans="4:15" ht="30" x14ac:dyDescent="0.25">
      <c r="D54" s="8" t="s">
        <v>15</v>
      </c>
      <c r="E54" s="8" t="s">
        <v>94</v>
      </c>
      <c r="F54" s="8" t="s">
        <v>117</v>
      </c>
      <c r="G54" s="23">
        <f>235*$R$2</f>
        <v>243.22499999999999</v>
      </c>
      <c r="H54" s="8" t="s">
        <v>112</v>
      </c>
      <c r="I54" s="70" t="s">
        <v>211</v>
      </c>
      <c r="J54" s="8" t="s">
        <v>119</v>
      </c>
      <c r="K54" s="8" t="s">
        <v>119</v>
      </c>
      <c r="L54" s="8" t="s">
        <v>119</v>
      </c>
      <c r="M54" s="8" t="s">
        <v>119</v>
      </c>
      <c r="N54" s="8"/>
      <c r="O54" s="22" t="s">
        <v>119</v>
      </c>
    </row>
    <row r="55" spans="4:15" ht="30" x14ac:dyDescent="0.25">
      <c r="D55" s="8" t="s">
        <v>15</v>
      </c>
      <c r="E55" s="8" t="s">
        <v>105</v>
      </c>
      <c r="F55" s="8" t="s">
        <v>117</v>
      </c>
      <c r="G55" s="23">
        <f>235*$R$2</f>
        <v>243.22499999999999</v>
      </c>
      <c r="H55" s="8" t="s">
        <v>112</v>
      </c>
      <c r="I55" s="70" t="s">
        <v>211</v>
      </c>
      <c r="J55" s="8" t="s">
        <v>119</v>
      </c>
      <c r="K55" s="8" t="s">
        <v>119</v>
      </c>
      <c r="L55" s="8" t="s">
        <v>119</v>
      </c>
      <c r="M55" s="8" t="s">
        <v>119</v>
      </c>
      <c r="N55" s="8"/>
      <c r="O55" s="22" t="s">
        <v>119</v>
      </c>
    </row>
    <row r="56" spans="4:15" ht="30" x14ac:dyDescent="0.25">
      <c r="D56" s="8" t="s">
        <v>15</v>
      </c>
      <c r="E56" s="8" t="s">
        <v>106</v>
      </c>
      <c r="F56" s="8" t="s">
        <v>117</v>
      </c>
      <c r="G56" s="23">
        <f>235*$R$2</f>
        <v>243.22499999999999</v>
      </c>
      <c r="H56" s="8" t="s">
        <v>112</v>
      </c>
      <c r="I56" s="70" t="s">
        <v>211</v>
      </c>
      <c r="J56" s="8" t="s">
        <v>119</v>
      </c>
      <c r="K56" s="8" t="s">
        <v>119</v>
      </c>
      <c r="L56" s="8" t="s">
        <v>119</v>
      </c>
      <c r="M56" s="8" t="s">
        <v>119</v>
      </c>
      <c r="N56" s="8"/>
      <c r="O56" s="22" t="s">
        <v>119</v>
      </c>
    </row>
    <row r="57" spans="4:15" ht="195" x14ac:dyDescent="0.25">
      <c r="D57" s="8" t="s">
        <v>15</v>
      </c>
      <c r="E57" s="8" t="s">
        <v>95</v>
      </c>
      <c r="F57" s="8" t="s">
        <v>100</v>
      </c>
      <c r="G57" s="23">
        <f>320000*$R$2</f>
        <v>331200</v>
      </c>
      <c r="H57" s="8" t="s">
        <v>114</v>
      </c>
      <c r="I57" s="8" t="s">
        <v>217</v>
      </c>
      <c r="J57" s="27" t="s">
        <v>301</v>
      </c>
      <c r="K57" s="8" t="s">
        <v>218</v>
      </c>
      <c r="L57" s="8" t="s">
        <v>101</v>
      </c>
      <c r="M57" s="27" t="s">
        <v>121</v>
      </c>
      <c r="N57" s="8"/>
      <c r="O57" s="8" t="s">
        <v>219</v>
      </c>
    </row>
    <row r="58" spans="4:15" ht="75" x14ac:dyDescent="0.25">
      <c r="D58" s="8" t="s">
        <v>15</v>
      </c>
      <c r="E58" s="8" t="s">
        <v>96</v>
      </c>
      <c r="F58" s="8" t="s">
        <v>100</v>
      </c>
      <c r="G58" s="23">
        <f>420000*$R$2</f>
        <v>434699.99999999994</v>
      </c>
      <c r="H58" s="8" t="s">
        <v>114</v>
      </c>
      <c r="I58" s="8" t="s">
        <v>217</v>
      </c>
      <c r="J58" s="8" t="s">
        <v>119</v>
      </c>
      <c r="K58" s="8" t="s">
        <v>119</v>
      </c>
      <c r="L58" s="8" t="s">
        <v>119</v>
      </c>
      <c r="M58" s="8" t="s">
        <v>119</v>
      </c>
      <c r="N58" s="8"/>
      <c r="O58" s="8" t="s">
        <v>119</v>
      </c>
    </row>
    <row r="59" spans="4:15" ht="75" x14ac:dyDescent="0.25">
      <c r="D59" s="8" t="s">
        <v>15</v>
      </c>
      <c r="E59" s="8" t="s">
        <v>97</v>
      </c>
      <c r="F59" s="8" t="s">
        <v>100</v>
      </c>
      <c r="G59" s="23">
        <f>530000*$R$2</f>
        <v>548550</v>
      </c>
      <c r="H59" s="8" t="s">
        <v>114</v>
      </c>
      <c r="I59" s="8" t="s">
        <v>217</v>
      </c>
      <c r="J59" s="8" t="s">
        <v>119</v>
      </c>
      <c r="K59" s="8" t="s">
        <v>119</v>
      </c>
      <c r="L59" s="8" t="s">
        <v>119</v>
      </c>
      <c r="M59" s="8" t="s">
        <v>119</v>
      </c>
      <c r="N59" s="8"/>
      <c r="O59" s="8" t="s">
        <v>119</v>
      </c>
    </row>
    <row r="60" spans="4:15" ht="75" x14ac:dyDescent="0.25">
      <c r="D60" s="8" t="s">
        <v>15</v>
      </c>
      <c r="E60" s="8" t="s">
        <v>98</v>
      </c>
      <c r="F60" s="8" t="s">
        <v>100</v>
      </c>
      <c r="G60" s="23">
        <f>630000*$R$2</f>
        <v>652050</v>
      </c>
      <c r="H60" s="8" t="s">
        <v>114</v>
      </c>
      <c r="I60" s="8" t="s">
        <v>217</v>
      </c>
      <c r="J60" s="8" t="s">
        <v>119</v>
      </c>
      <c r="K60" s="8" t="s">
        <v>119</v>
      </c>
      <c r="L60" s="8" t="s">
        <v>119</v>
      </c>
      <c r="M60" s="8" t="s">
        <v>119</v>
      </c>
      <c r="N60" s="8"/>
      <c r="O60" s="8" t="s">
        <v>119</v>
      </c>
    </row>
    <row r="61" spans="4:15" ht="75" x14ac:dyDescent="0.25">
      <c r="D61" s="8" t="s">
        <v>15</v>
      </c>
      <c r="E61" s="8" t="s">
        <v>99</v>
      </c>
      <c r="F61" s="8" t="s">
        <v>100</v>
      </c>
      <c r="G61" s="23">
        <f>720000*$R$2</f>
        <v>745200</v>
      </c>
      <c r="H61" s="8" t="s">
        <v>114</v>
      </c>
      <c r="I61" s="8" t="s">
        <v>217</v>
      </c>
      <c r="J61" s="8" t="s">
        <v>119</v>
      </c>
      <c r="K61" s="8" t="s">
        <v>119</v>
      </c>
      <c r="L61" s="8" t="s">
        <v>119</v>
      </c>
      <c r="M61" s="8" t="s">
        <v>119</v>
      </c>
      <c r="N61" s="8"/>
      <c r="O61" s="8" t="s">
        <v>119</v>
      </c>
    </row>
    <row r="62" spans="4:15" ht="75" x14ac:dyDescent="0.25">
      <c r="D62" s="8" t="s">
        <v>15</v>
      </c>
      <c r="E62" s="8" t="s">
        <v>103</v>
      </c>
      <c r="F62" s="8" t="s">
        <v>100</v>
      </c>
      <c r="G62" s="23">
        <f>800000*$R$2</f>
        <v>827999.99999999988</v>
      </c>
      <c r="H62" s="8" t="s">
        <v>114</v>
      </c>
      <c r="I62" s="8" t="s">
        <v>217</v>
      </c>
      <c r="J62" s="8" t="s">
        <v>119</v>
      </c>
      <c r="K62" s="8" t="s">
        <v>119</v>
      </c>
      <c r="L62" s="8" t="s">
        <v>119</v>
      </c>
      <c r="M62" s="8" t="s">
        <v>119</v>
      </c>
      <c r="N62" s="8"/>
      <c r="O62" s="8" t="s">
        <v>119</v>
      </c>
    </row>
    <row r="63" spans="4:15" ht="75" x14ac:dyDescent="0.25">
      <c r="D63" s="8" t="s">
        <v>15</v>
      </c>
      <c r="E63" s="8" t="s">
        <v>104</v>
      </c>
      <c r="F63" s="8" t="s">
        <v>100</v>
      </c>
      <c r="G63" s="23">
        <f>950000*$R$2</f>
        <v>983249.99999999988</v>
      </c>
      <c r="H63" s="8" t="s">
        <v>114</v>
      </c>
      <c r="I63" s="8" t="s">
        <v>217</v>
      </c>
      <c r="J63" s="8" t="s">
        <v>119</v>
      </c>
      <c r="K63" s="8" t="s">
        <v>119</v>
      </c>
      <c r="L63" s="8" t="s">
        <v>119</v>
      </c>
      <c r="M63" s="8" t="s">
        <v>119</v>
      </c>
      <c r="N63" s="8"/>
      <c r="O63" s="8" t="s">
        <v>119</v>
      </c>
    </row>
    <row r="64" spans="4:15" ht="75" x14ac:dyDescent="0.25">
      <c r="D64" s="8" t="s">
        <v>15</v>
      </c>
      <c r="E64" s="8" t="s">
        <v>155</v>
      </c>
      <c r="F64" s="8" t="s">
        <v>100</v>
      </c>
      <c r="G64" s="23">
        <f>1070000*$R$2</f>
        <v>1107450</v>
      </c>
      <c r="H64" s="8" t="s">
        <v>114</v>
      </c>
      <c r="I64" s="8" t="s">
        <v>217</v>
      </c>
      <c r="J64" s="8" t="s">
        <v>119</v>
      </c>
      <c r="K64" s="8" t="s">
        <v>119</v>
      </c>
      <c r="L64" s="8" t="s">
        <v>119</v>
      </c>
      <c r="M64" s="8" t="s">
        <v>119</v>
      </c>
      <c r="N64" s="8"/>
      <c r="O64" s="8" t="s">
        <v>119</v>
      </c>
    </row>
    <row r="65" spans="4:15" ht="75" x14ac:dyDescent="0.25">
      <c r="D65" s="8" t="s">
        <v>15</v>
      </c>
      <c r="E65" s="8" t="s">
        <v>156</v>
      </c>
      <c r="F65" s="8" t="s">
        <v>100</v>
      </c>
      <c r="G65" s="23">
        <f>1300000*$R$2</f>
        <v>1345500</v>
      </c>
      <c r="H65" s="8" t="s">
        <v>114</v>
      </c>
      <c r="I65" s="8" t="s">
        <v>217</v>
      </c>
      <c r="J65" s="8" t="s">
        <v>119</v>
      </c>
      <c r="K65" s="8" t="s">
        <v>119</v>
      </c>
      <c r="L65" s="8" t="s">
        <v>119</v>
      </c>
      <c r="M65" s="8" t="s">
        <v>119</v>
      </c>
      <c r="N65" s="8"/>
      <c r="O65" s="8" t="s">
        <v>119</v>
      </c>
    </row>
    <row r="66" spans="4:15" ht="75" x14ac:dyDescent="0.25">
      <c r="D66" s="8" t="s">
        <v>15</v>
      </c>
      <c r="E66" s="8" t="s">
        <v>157</v>
      </c>
      <c r="F66" s="8" t="s">
        <v>100</v>
      </c>
      <c r="G66" s="23">
        <f>1500000*$R$2</f>
        <v>1552499.9999999998</v>
      </c>
      <c r="H66" s="8" t="s">
        <v>114</v>
      </c>
      <c r="I66" s="8" t="s">
        <v>217</v>
      </c>
      <c r="J66" s="8" t="s">
        <v>119</v>
      </c>
      <c r="K66" s="8" t="s">
        <v>119</v>
      </c>
      <c r="L66" s="8" t="s">
        <v>119</v>
      </c>
      <c r="M66" s="8" t="s">
        <v>119</v>
      </c>
      <c r="N66" s="8"/>
      <c r="O66" s="8" t="s">
        <v>119</v>
      </c>
    </row>
    <row r="67" spans="4:15" ht="75" x14ac:dyDescent="0.25">
      <c r="D67" s="8" t="s">
        <v>15</v>
      </c>
      <c r="E67" s="8" t="s">
        <v>158</v>
      </c>
      <c r="F67" s="8" t="s">
        <v>100</v>
      </c>
      <c r="G67" s="23">
        <f>1600000*$R$2</f>
        <v>1655999.9999999998</v>
      </c>
      <c r="H67" s="8" t="s">
        <v>114</v>
      </c>
      <c r="I67" s="8" t="s">
        <v>217</v>
      </c>
      <c r="J67" s="8" t="s">
        <v>119</v>
      </c>
      <c r="K67" s="8" t="s">
        <v>119</v>
      </c>
      <c r="L67" s="8" t="s">
        <v>119</v>
      </c>
      <c r="M67" s="8" t="s">
        <v>119</v>
      </c>
      <c r="N67" s="8"/>
      <c r="O67" s="8" t="s">
        <v>119</v>
      </c>
    </row>
    <row r="68" spans="4:15" ht="180" x14ac:dyDescent="0.25">
      <c r="D68" s="8" t="s">
        <v>12</v>
      </c>
      <c r="E68" s="27" t="s">
        <v>122</v>
      </c>
      <c r="F68" s="8" t="s">
        <v>100</v>
      </c>
      <c r="G68" s="23">
        <f>80000*$R$2</f>
        <v>82800</v>
      </c>
      <c r="H68" s="8" t="s">
        <v>128</v>
      </c>
      <c r="I68" s="8" t="s">
        <v>220</v>
      </c>
      <c r="J68" s="27" t="s">
        <v>120</v>
      </c>
      <c r="K68" s="8" t="s">
        <v>221</v>
      </c>
      <c r="L68" s="8" t="s">
        <v>127</v>
      </c>
      <c r="M68" s="27" t="s">
        <v>222</v>
      </c>
      <c r="N68" s="8"/>
      <c r="O68" s="8" t="s">
        <v>210</v>
      </c>
    </row>
    <row r="69" spans="4:15" ht="60" x14ac:dyDescent="0.25">
      <c r="D69" s="8" t="s">
        <v>12</v>
      </c>
      <c r="E69" s="27" t="s">
        <v>123</v>
      </c>
      <c r="F69" s="8" t="s">
        <v>100</v>
      </c>
      <c r="G69" s="23">
        <f>115000*$R$2</f>
        <v>119024.99999999999</v>
      </c>
      <c r="H69" s="8" t="s">
        <v>128</v>
      </c>
      <c r="I69" s="8" t="s">
        <v>220</v>
      </c>
      <c r="J69" s="8" t="s">
        <v>119</v>
      </c>
      <c r="K69" s="8" t="s">
        <v>119</v>
      </c>
      <c r="L69" s="8" t="s">
        <v>119</v>
      </c>
      <c r="M69" s="8" t="s">
        <v>119</v>
      </c>
      <c r="N69" s="8"/>
      <c r="O69" s="8" t="s">
        <v>119</v>
      </c>
    </row>
    <row r="70" spans="4:15" ht="60" x14ac:dyDescent="0.25">
      <c r="D70" s="8" t="s">
        <v>12</v>
      </c>
      <c r="E70" s="27" t="s">
        <v>124</v>
      </c>
      <c r="F70" s="8" t="s">
        <v>100</v>
      </c>
      <c r="G70" s="23">
        <f>140000*$R$2</f>
        <v>144900</v>
      </c>
      <c r="H70" s="8" t="s">
        <v>128</v>
      </c>
      <c r="I70" s="8" t="s">
        <v>220</v>
      </c>
      <c r="J70" s="8" t="s">
        <v>119</v>
      </c>
      <c r="K70" s="8" t="s">
        <v>119</v>
      </c>
      <c r="L70" s="8" t="s">
        <v>119</v>
      </c>
      <c r="M70" s="8" t="s">
        <v>119</v>
      </c>
      <c r="N70" s="8"/>
      <c r="O70" s="8" t="s">
        <v>119</v>
      </c>
    </row>
    <row r="71" spans="4:15" ht="60" x14ac:dyDescent="0.25">
      <c r="D71" s="8" t="s">
        <v>12</v>
      </c>
      <c r="E71" s="27" t="s">
        <v>125</v>
      </c>
      <c r="F71" s="8" t="s">
        <v>100</v>
      </c>
      <c r="G71" s="23">
        <f>190000*$R$2</f>
        <v>196649.99999999997</v>
      </c>
      <c r="H71" s="8" t="s">
        <v>128</v>
      </c>
      <c r="I71" s="8" t="s">
        <v>220</v>
      </c>
      <c r="J71" s="8" t="s">
        <v>119</v>
      </c>
      <c r="K71" s="8" t="s">
        <v>119</v>
      </c>
      <c r="L71" s="8" t="s">
        <v>119</v>
      </c>
      <c r="M71" s="8" t="s">
        <v>119</v>
      </c>
      <c r="N71" s="8"/>
      <c r="O71" s="8" t="s">
        <v>119</v>
      </c>
    </row>
    <row r="72" spans="4:15" ht="60" x14ac:dyDescent="0.25">
      <c r="D72" s="8" t="s">
        <v>12</v>
      </c>
      <c r="E72" s="27" t="s">
        <v>126</v>
      </c>
      <c r="F72" s="8" t="s">
        <v>100</v>
      </c>
      <c r="G72" s="23">
        <f>370000*$R$2</f>
        <v>382949.99999999994</v>
      </c>
      <c r="H72" s="8" t="s">
        <v>128</v>
      </c>
      <c r="I72" s="8" t="s">
        <v>220</v>
      </c>
      <c r="J72" s="8" t="s">
        <v>119</v>
      </c>
      <c r="K72" s="8" t="s">
        <v>119</v>
      </c>
      <c r="L72" s="8" t="s">
        <v>119</v>
      </c>
      <c r="M72" s="8" t="s">
        <v>119</v>
      </c>
      <c r="N72" s="8"/>
      <c r="O72" s="8" t="s">
        <v>119</v>
      </c>
    </row>
    <row r="73" spans="4:15" ht="180" x14ac:dyDescent="0.25">
      <c r="D73" s="8" t="s">
        <v>12</v>
      </c>
      <c r="E73" s="27" t="s">
        <v>223</v>
      </c>
      <c r="F73" s="8" t="s">
        <v>100</v>
      </c>
      <c r="G73" s="23">
        <f>395000*$R$2</f>
        <v>408824.99999999994</v>
      </c>
      <c r="H73" s="8" t="s">
        <v>128</v>
      </c>
      <c r="I73" s="8" t="s">
        <v>224</v>
      </c>
      <c r="J73" s="27" t="s">
        <v>301</v>
      </c>
      <c r="K73" s="8" t="s">
        <v>225</v>
      </c>
      <c r="L73" s="8" t="s">
        <v>129</v>
      </c>
      <c r="M73" s="27" t="s">
        <v>226</v>
      </c>
      <c r="N73" s="8"/>
      <c r="O73" s="8" t="s">
        <v>210</v>
      </c>
    </row>
    <row r="74" spans="4:15" ht="60" x14ac:dyDescent="0.25">
      <c r="D74" s="8" t="s">
        <v>12</v>
      </c>
      <c r="E74" s="27" t="s">
        <v>227</v>
      </c>
      <c r="F74" s="8" t="s">
        <v>100</v>
      </c>
      <c r="G74" s="23">
        <f>590000*$R$2</f>
        <v>610650</v>
      </c>
      <c r="H74" s="8" t="s">
        <v>128</v>
      </c>
      <c r="I74" s="8" t="s">
        <v>224</v>
      </c>
      <c r="J74" s="8" t="s">
        <v>119</v>
      </c>
      <c r="K74" s="8" t="s">
        <v>119</v>
      </c>
      <c r="L74" s="8" t="s">
        <v>119</v>
      </c>
      <c r="M74" s="8" t="s">
        <v>119</v>
      </c>
      <c r="N74" s="8"/>
      <c r="O74" s="8" t="s">
        <v>119</v>
      </c>
    </row>
    <row r="75" spans="4:15" ht="60" x14ac:dyDescent="0.25">
      <c r="D75" s="8" t="s">
        <v>12</v>
      </c>
      <c r="E75" s="27" t="s">
        <v>228</v>
      </c>
      <c r="F75" s="8" t="s">
        <v>100</v>
      </c>
      <c r="G75" s="23">
        <f>840000*$R$2</f>
        <v>869399.99999999988</v>
      </c>
      <c r="H75" s="8" t="s">
        <v>128</v>
      </c>
      <c r="I75" s="8" t="s">
        <v>224</v>
      </c>
      <c r="J75" s="8" t="s">
        <v>119</v>
      </c>
      <c r="K75" s="8" t="s">
        <v>119</v>
      </c>
      <c r="L75" s="8" t="s">
        <v>119</v>
      </c>
      <c r="M75" s="8" t="s">
        <v>119</v>
      </c>
      <c r="N75" s="8"/>
      <c r="O75" s="8" t="s">
        <v>119</v>
      </c>
    </row>
    <row r="76" spans="4:15" ht="60" x14ac:dyDescent="0.25">
      <c r="D76" s="8" t="s">
        <v>12</v>
      </c>
      <c r="E76" s="27" t="s">
        <v>229</v>
      </c>
      <c r="F76" s="8" t="s">
        <v>100</v>
      </c>
      <c r="G76" s="23">
        <f>1150000*$R$2</f>
        <v>1190250</v>
      </c>
      <c r="H76" s="8" t="s">
        <v>128</v>
      </c>
      <c r="I76" s="8" t="s">
        <v>224</v>
      </c>
      <c r="J76" s="8" t="s">
        <v>119</v>
      </c>
      <c r="K76" s="8" t="s">
        <v>119</v>
      </c>
      <c r="L76" s="8" t="s">
        <v>119</v>
      </c>
      <c r="M76" s="8" t="s">
        <v>119</v>
      </c>
      <c r="N76" s="8"/>
      <c r="O76" s="8" t="s">
        <v>119</v>
      </c>
    </row>
    <row r="77" spans="4:15" ht="60" x14ac:dyDescent="0.25">
      <c r="D77" s="8" t="s">
        <v>12</v>
      </c>
      <c r="E77" s="27" t="s">
        <v>230</v>
      </c>
      <c r="F77" s="8" t="s">
        <v>100</v>
      </c>
      <c r="G77" s="23">
        <f>1320000*$R$2</f>
        <v>1366200</v>
      </c>
      <c r="H77" s="8" t="s">
        <v>128</v>
      </c>
      <c r="I77" s="8" t="s">
        <v>224</v>
      </c>
      <c r="J77" s="8" t="s">
        <v>119</v>
      </c>
      <c r="K77" s="8" t="s">
        <v>119</v>
      </c>
      <c r="L77" s="8" t="s">
        <v>119</v>
      </c>
      <c r="M77" s="8" t="s">
        <v>119</v>
      </c>
      <c r="N77" s="8"/>
      <c r="O77" s="8" t="s">
        <v>119</v>
      </c>
    </row>
    <row r="78" spans="4:15" ht="60" x14ac:dyDescent="0.25">
      <c r="D78" s="8" t="s">
        <v>12</v>
      </c>
      <c r="E78" s="27" t="s">
        <v>231</v>
      </c>
      <c r="F78" s="8" t="s">
        <v>100</v>
      </c>
      <c r="G78" s="23">
        <f>1800000*$R$2</f>
        <v>1862999.9999999998</v>
      </c>
      <c r="H78" s="8" t="s">
        <v>128</v>
      </c>
      <c r="I78" s="8" t="s">
        <v>224</v>
      </c>
      <c r="J78" s="8" t="s">
        <v>119</v>
      </c>
      <c r="K78" s="8" t="s">
        <v>119</v>
      </c>
      <c r="L78" s="8" t="s">
        <v>119</v>
      </c>
      <c r="M78" s="8" t="s">
        <v>119</v>
      </c>
      <c r="N78" s="8"/>
      <c r="O78" s="8" t="s">
        <v>119</v>
      </c>
    </row>
    <row r="79" spans="4:15" ht="60" x14ac:dyDescent="0.25">
      <c r="D79" s="8" t="s">
        <v>12</v>
      </c>
      <c r="E79" s="27" t="s">
        <v>232</v>
      </c>
      <c r="F79" s="8" t="s">
        <v>100</v>
      </c>
      <c r="G79" s="23">
        <f>2100000*$R$2</f>
        <v>2173500</v>
      </c>
      <c r="H79" s="8" t="s">
        <v>128</v>
      </c>
      <c r="I79" s="8" t="s">
        <v>224</v>
      </c>
      <c r="J79" s="8" t="s">
        <v>119</v>
      </c>
      <c r="K79" s="8" t="s">
        <v>119</v>
      </c>
      <c r="L79" s="8" t="s">
        <v>119</v>
      </c>
      <c r="M79" s="8" t="s">
        <v>119</v>
      </c>
      <c r="N79" s="8"/>
      <c r="O79" s="8" t="s">
        <v>119</v>
      </c>
    </row>
    <row r="80" spans="4:15" ht="60" x14ac:dyDescent="0.25">
      <c r="D80" s="8" t="s">
        <v>12</v>
      </c>
      <c r="E80" s="27" t="s">
        <v>233</v>
      </c>
      <c r="F80" s="8" t="s">
        <v>100</v>
      </c>
      <c r="G80" s="23">
        <f>2850000*$R$2</f>
        <v>2949750</v>
      </c>
      <c r="H80" s="8" t="s">
        <v>128</v>
      </c>
      <c r="I80" s="8" t="s">
        <v>224</v>
      </c>
      <c r="J80" s="8" t="s">
        <v>119</v>
      </c>
      <c r="K80" s="8" t="s">
        <v>119</v>
      </c>
      <c r="L80" s="8" t="s">
        <v>119</v>
      </c>
      <c r="M80" s="8" t="s">
        <v>119</v>
      </c>
      <c r="N80" s="8"/>
      <c r="O80" s="8" t="s">
        <v>119</v>
      </c>
    </row>
    <row r="81" spans="4:15" x14ac:dyDescent="0.25">
      <c r="D81" s="8"/>
      <c r="E81" s="8"/>
      <c r="F81" s="8"/>
      <c r="G81" s="8"/>
      <c r="H81" s="8"/>
      <c r="I81" s="8"/>
      <c r="J81" s="8"/>
      <c r="K81" s="8"/>
      <c r="L81" s="8"/>
      <c r="M81" s="8"/>
      <c r="N81" s="8"/>
      <c r="O81" s="8"/>
    </row>
    <row r="82" spans="4:15" x14ac:dyDescent="0.25">
      <c r="D82" s="8"/>
      <c r="E82" s="8"/>
      <c r="F82" s="8"/>
      <c r="G82" s="8"/>
      <c r="H82" s="8"/>
      <c r="I82" s="8"/>
      <c r="J82" s="8"/>
      <c r="K82" s="8"/>
      <c r="L82" s="8"/>
      <c r="M82" s="8"/>
      <c r="N82" s="8"/>
      <c r="O82" s="8"/>
    </row>
    <row r="83" spans="4:15" x14ac:dyDescent="0.25">
      <c r="D83" s="8"/>
      <c r="E83" s="8"/>
      <c r="F83" s="8"/>
      <c r="G83" s="8"/>
      <c r="H83" s="8"/>
      <c r="I83" s="8"/>
      <c r="J83" s="8"/>
      <c r="K83" s="8"/>
      <c r="L83" s="8"/>
      <c r="M83" s="8"/>
      <c r="N83" s="8"/>
      <c r="O83" s="8"/>
    </row>
    <row r="84" spans="4:15" x14ac:dyDescent="0.25">
      <c r="D84" s="8"/>
      <c r="E84" s="8"/>
      <c r="F84" s="8"/>
      <c r="G84" s="8"/>
      <c r="H84" s="8"/>
      <c r="I84" s="8"/>
      <c r="J84" s="8"/>
      <c r="K84" s="8"/>
      <c r="L84" s="8"/>
      <c r="M84" s="8"/>
      <c r="N84" s="8"/>
      <c r="O84" s="8"/>
    </row>
    <row r="85" spans="4:15" x14ac:dyDescent="0.25">
      <c r="D85" s="8"/>
      <c r="E85" s="8"/>
      <c r="F85" s="8"/>
      <c r="G85" s="8"/>
      <c r="H85" s="8"/>
      <c r="I85" s="8"/>
      <c r="J85" s="8"/>
      <c r="K85" s="8"/>
      <c r="L85" s="8"/>
      <c r="M85" s="8"/>
      <c r="N85" s="8"/>
      <c r="O85" s="8"/>
    </row>
    <row r="86" spans="4:15" x14ac:dyDescent="0.25">
      <c r="D86" s="7"/>
      <c r="E86" s="7"/>
      <c r="F86" s="7"/>
      <c r="G86" s="7"/>
      <c r="H86" s="7"/>
      <c r="I86" s="7"/>
      <c r="J86" s="7"/>
      <c r="K86" s="7"/>
      <c r="L86" s="7"/>
      <c r="M86" s="7"/>
      <c r="N86" s="7"/>
      <c r="O86" s="7"/>
    </row>
    <row r="87" spans="4:15" x14ac:dyDescent="0.25">
      <c r="D87" s="7"/>
      <c r="E87" s="7"/>
      <c r="F87" s="7"/>
      <c r="G87" s="7"/>
      <c r="H87" s="7"/>
      <c r="I87" s="7"/>
      <c r="J87" s="7"/>
      <c r="K87" s="7"/>
      <c r="L87" s="7"/>
      <c r="M87" s="7"/>
      <c r="N87" s="7"/>
      <c r="O87" s="7"/>
    </row>
    <row r="88" spans="4:15" x14ac:dyDescent="0.25">
      <c r="D88" s="7"/>
      <c r="E88" s="7"/>
      <c r="F88" s="7"/>
      <c r="G88" s="7"/>
      <c r="H88" s="7"/>
      <c r="I88" s="7"/>
      <c r="J88" s="7"/>
      <c r="K88" s="7"/>
      <c r="L88" s="7"/>
      <c r="M88" s="7"/>
      <c r="N88" s="7"/>
      <c r="O88" s="7"/>
    </row>
    <row r="89" spans="4:15" x14ac:dyDescent="0.25">
      <c r="D89" s="4"/>
      <c r="E89" s="4"/>
      <c r="F89" s="4"/>
      <c r="G89" s="4"/>
      <c r="H89" s="4"/>
      <c r="I89" s="4"/>
      <c r="J89" s="4"/>
      <c r="K89" s="4"/>
      <c r="L89" s="4"/>
      <c r="M89" s="4"/>
      <c r="N89" s="4"/>
      <c r="O89" s="4"/>
    </row>
  </sheetData>
  <sheetProtection algorithmName="SHA-512" hashValue="vhQwB9dr7bHuc97mLsN/VrkOLouyxG1tBpZ6TK7GNOqJdqHtVDtSLTsxsqrBp2XXf4b+qQdxPQEn5cxTXPUHwA==" saltValue="iP0EPZBf07w5hcx/2Emq0A==" spinCount="100000" sheet="1" objects="1" scenarios="1" sort="0" autoFilter="0"/>
  <autoFilter ref="D10:O89">
    <filterColumn colId="3" showButton="0"/>
    <filterColumn colId="4" showButton="0"/>
    <filterColumn colId="6" showButton="0"/>
    <filterColumn colId="7" showButton="0"/>
    <filterColumn colId="8" showButton="0"/>
    <filterColumn colId="9" showButton="0"/>
  </autoFilter>
  <mergeCells count="6">
    <mergeCell ref="O10:O11"/>
    <mergeCell ref="G10:I10"/>
    <mergeCell ref="J10:N10"/>
    <mergeCell ref="D10:D11"/>
    <mergeCell ref="E10:E11"/>
    <mergeCell ref="F10:F11"/>
  </mergeCells>
  <dataValidations count="1">
    <dataValidation type="list" allowBlank="1" showInputMessage="1" showErrorMessage="1" sqref="D12:D165">
      <formula1>Service_Names</formula1>
    </dataValidation>
  </dataValidations>
  <pageMargins left="0.7" right="0.7" top="0.75" bottom="0.75" header="0.3" footer="0.3"/>
  <pageSetup paperSize="8"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6:L103"/>
  <sheetViews>
    <sheetView showGridLines="0" view="pageBreakPreview" topLeftCell="F7" zoomScaleNormal="100" zoomScaleSheetLayoutView="100" workbookViewId="0">
      <selection activeCell="K28" sqref="K28"/>
    </sheetView>
  </sheetViews>
  <sheetFormatPr defaultRowHeight="15" x14ac:dyDescent="0.25"/>
  <cols>
    <col min="1" max="3" width="8.7109375" customWidth="1"/>
    <col min="4" max="4" width="11.140625" customWidth="1"/>
    <col min="5" max="5" width="8.7109375" customWidth="1"/>
    <col min="6" max="6" width="49.140625" style="57" customWidth="1"/>
    <col min="7" max="12" width="20.7109375" customWidth="1"/>
  </cols>
  <sheetData>
    <row r="6" spans="6:12" ht="20.45" x14ac:dyDescent="0.45">
      <c r="G6" s="65" t="s">
        <v>185</v>
      </c>
    </row>
    <row r="8" spans="6:12" thickBot="1" x14ac:dyDescent="0.4"/>
    <row r="9" spans="6:12" ht="32.1" customHeight="1" thickTop="1" x14ac:dyDescent="0.35">
      <c r="G9" s="117" t="s">
        <v>33</v>
      </c>
      <c r="H9" s="118"/>
      <c r="I9" s="117" t="s">
        <v>34</v>
      </c>
      <c r="J9" s="118"/>
      <c r="K9" s="117" t="s">
        <v>35</v>
      </c>
      <c r="L9" s="118"/>
    </row>
    <row r="10" spans="6:12" thickBot="1" x14ac:dyDescent="0.4">
      <c r="G10" s="18" t="s">
        <v>30</v>
      </c>
      <c r="H10" s="19" t="s">
        <v>31</v>
      </c>
      <c r="I10" s="18" t="s">
        <v>30</v>
      </c>
      <c r="J10" s="19" t="s">
        <v>31</v>
      </c>
      <c r="K10" s="18" t="s">
        <v>30</v>
      </c>
      <c r="L10" s="19" t="s">
        <v>31</v>
      </c>
    </row>
    <row r="11" spans="6:12" thickTop="1" x14ac:dyDescent="0.35">
      <c r="F11" s="58" t="s">
        <v>19</v>
      </c>
      <c r="G11" s="16"/>
      <c r="H11" s="17"/>
      <c r="I11" s="16"/>
      <c r="J11" s="17"/>
      <c r="K11" s="16"/>
      <c r="L11" s="17"/>
    </row>
    <row r="12" spans="6:12" ht="57.95" x14ac:dyDescent="0.35">
      <c r="F12" s="59" t="s">
        <v>20</v>
      </c>
      <c r="G12" s="10" t="s">
        <v>36</v>
      </c>
      <c r="H12" s="11" t="s">
        <v>36</v>
      </c>
      <c r="I12" s="10" t="s">
        <v>241</v>
      </c>
      <c r="J12" s="11" t="s">
        <v>241</v>
      </c>
      <c r="K12" s="10" t="s">
        <v>242</v>
      </c>
      <c r="L12" s="11" t="s">
        <v>242</v>
      </c>
    </row>
    <row r="13" spans="6:12" ht="29.1" x14ac:dyDescent="0.35">
      <c r="F13" s="59" t="s">
        <v>38</v>
      </c>
      <c r="G13" s="10" t="s">
        <v>37</v>
      </c>
      <c r="H13" s="12" t="s">
        <v>243</v>
      </c>
      <c r="I13" s="13" t="s">
        <v>131</v>
      </c>
      <c r="J13" s="12" t="s">
        <v>102</v>
      </c>
      <c r="K13" s="13" t="s">
        <v>132</v>
      </c>
      <c r="L13" s="12" t="s">
        <v>102</v>
      </c>
    </row>
    <row r="14" spans="6:12" ht="14.45" x14ac:dyDescent="0.35">
      <c r="F14" s="59" t="s">
        <v>21</v>
      </c>
      <c r="G14" s="13" t="s">
        <v>81</v>
      </c>
      <c r="H14" s="12"/>
      <c r="I14" s="13" t="s">
        <v>162</v>
      </c>
      <c r="J14" s="12"/>
      <c r="K14" s="13" t="s">
        <v>160</v>
      </c>
      <c r="L14" s="12"/>
    </row>
    <row r="15" spans="6:12" ht="14.45" x14ac:dyDescent="0.35">
      <c r="F15" s="59" t="s">
        <v>22</v>
      </c>
      <c r="G15" s="13"/>
      <c r="H15" s="12" t="s">
        <v>82</v>
      </c>
      <c r="I15" s="13"/>
      <c r="J15" s="12" t="s">
        <v>161</v>
      </c>
      <c r="K15" s="13"/>
      <c r="L15" s="12" t="s">
        <v>159</v>
      </c>
    </row>
    <row r="16" spans="6:12" ht="14.45" x14ac:dyDescent="0.35">
      <c r="F16" s="59"/>
      <c r="G16" s="14"/>
      <c r="H16" s="15"/>
      <c r="I16" s="14"/>
      <c r="J16" s="15"/>
      <c r="K16" s="14"/>
      <c r="L16" s="15"/>
    </row>
    <row r="17" spans="1:12" ht="14.45" x14ac:dyDescent="0.35">
      <c r="F17" s="58" t="s">
        <v>23</v>
      </c>
      <c r="G17" s="20"/>
      <c r="H17" s="21"/>
      <c r="I17" s="20"/>
      <c r="J17" s="21"/>
      <c r="K17" s="20"/>
      <c r="L17" s="21"/>
    </row>
    <row r="18" spans="1:12" ht="14.45" x14ac:dyDescent="0.35">
      <c r="F18" s="59" t="s">
        <v>24</v>
      </c>
      <c r="G18" s="13">
        <v>2000</v>
      </c>
      <c r="H18" s="12">
        <v>2000</v>
      </c>
      <c r="I18" s="13">
        <v>2000</v>
      </c>
      <c r="J18" s="12">
        <v>2000</v>
      </c>
      <c r="K18" s="13">
        <v>10000</v>
      </c>
      <c r="L18" s="12">
        <v>10000</v>
      </c>
    </row>
    <row r="19" spans="1:12" ht="14.45" x14ac:dyDescent="0.35">
      <c r="F19" s="59" t="s">
        <v>25</v>
      </c>
      <c r="G19" s="32">
        <f>'Benchmark Unit Rates'!$G$12*'Example Scenarios'!G18</f>
        <v>1000000</v>
      </c>
      <c r="H19" s="33"/>
      <c r="I19" s="32">
        <f>'Benchmark Unit Rates'!$G$12*'Example Scenarios'!I18</f>
        <v>1000000</v>
      </c>
      <c r="J19" s="33"/>
      <c r="K19" s="32">
        <f>'Benchmark Unit Rates'!$G$12*'Example Scenarios'!K18</f>
        <v>5000000</v>
      </c>
      <c r="L19" s="33"/>
    </row>
    <row r="20" spans="1:12" ht="14.45" x14ac:dyDescent="0.35">
      <c r="F20" s="59" t="s">
        <v>26</v>
      </c>
      <c r="G20" s="32"/>
      <c r="H20" s="33"/>
      <c r="I20" s="32"/>
      <c r="J20" s="33"/>
      <c r="K20" s="32"/>
      <c r="L20" s="33"/>
    </row>
    <row r="21" spans="1:12" ht="14.45" x14ac:dyDescent="0.35">
      <c r="F21" s="59" t="s">
        <v>176</v>
      </c>
      <c r="G21" s="32"/>
      <c r="H21" s="33"/>
      <c r="I21" s="32"/>
      <c r="J21" s="33"/>
      <c r="K21" s="32"/>
      <c r="L21" s="33"/>
    </row>
    <row r="22" spans="1:12" ht="14.45" x14ac:dyDescent="0.35">
      <c r="F22" s="59"/>
      <c r="G22" s="34"/>
      <c r="H22" s="35"/>
      <c r="I22" s="34"/>
      <c r="J22" s="35"/>
      <c r="K22" s="34"/>
      <c r="L22" s="35"/>
    </row>
    <row r="23" spans="1:12" ht="14.45" x14ac:dyDescent="0.35">
      <c r="F23" s="82" t="s">
        <v>32</v>
      </c>
      <c r="G23" s="36"/>
      <c r="H23" s="37"/>
      <c r="I23" s="36"/>
      <c r="J23" s="37"/>
      <c r="K23" s="36"/>
      <c r="L23" s="37"/>
    </row>
    <row r="24" spans="1:12" ht="14.45" x14ac:dyDescent="0.35">
      <c r="F24" s="83" t="s">
        <v>271</v>
      </c>
      <c r="G24" s="111">
        <f>4*12*$G$18</f>
        <v>96000</v>
      </c>
      <c r="H24" s="112"/>
      <c r="I24" s="111">
        <f>4*12*$I$18</f>
        <v>96000</v>
      </c>
      <c r="J24" s="112"/>
      <c r="K24" s="111">
        <f>2*12*$K$18</f>
        <v>240000</v>
      </c>
      <c r="L24" s="112"/>
    </row>
    <row r="25" spans="1:12" ht="14.45" x14ac:dyDescent="0.35">
      <c r="A25" t="s">
        <v>234</v>
      </c>
      <c r="F25" s="83" t="s">
        <v>272</v>
      </c>
      <c r="G25" s="111">
        <f>4*12*$G$18</f>
        <v>96000</v>
      </c>
      <c r="H25" s="112"/>
      <c r="I25" s="111">
        <f>4*12*$I$18</f>
        <v>96000</v>
      </c>
      <c r="J25" s="112"/>
      <c r="K25" s="111">
        <f>4*12*$K$18</f>
        <v>480000</v>
      </c>
      <c r="L25" s="112"/>
    </row>
    <row r="26" spans="1:12" ht="14.45" x14ac:dyDescent="0.35">
      <c r="F26" s="83" t="s">
        <v>273</v>
      </c>
      <c r="G26" s="111">
        <f>1*12*$G$18</f>
        <v>24000</v>
      </c>
      <c r="H26" s="112"/>
      <c r="I26" s="111">
        <f>1*12*$I$18</f>
        <v>24000</v>
      </c>
      <c r="J26" s="112"/>
      <c r="K26" s="111">
        <f>0.5*12*$K$18</f>
        <v>60000</v>
      </c>
      <c r="L26" s="112"/>
    </row>
    <row r="27" spans="1:12" ht="14.45" x14ac:dyDescent="0.35">
      <c r="F27" s="83" t="s">
        <v>274</v>
      </c>
      <c r="G27" s="111">
        <f>1*12*$G$18</f>
        <v>24000</v>
      </c>
      <c r="H27" s="112"/>
      <c r="I27" s="111">
        <f>1*12*$I$18</f>
        <v>24000</v>
      </c>
      <c r="J27" s="112"/>
      <c r="K27" s="111">
        <f>0.5*12*$K$18</f>
        <v>60000</v>
      </c>
      <c r="L27" s="112"/>
    </row>
    <row r="28" spans="1:12" ht="14.45" x14ac:dyDescent="0.35">
      <c r="F28" s="107" t="s">
        <v>293</v>
      </c>
      <c r="G28" s="111">
        <f>SUM(G24:G27)</f>
        <v>240000</v>
      </c>
      <c r="H28" s="112"/>
      <c r="I28" s="111">
        <f>SUM(I24:I27)</f>
        <v>240000</v>
      </c>
      <c r="J28" s="112"/>
      <c r="K28" s="111">
        <f>SUM(K24:K27)</f>
        <v>840000</v>
      </c>
      <c r="L28" s="112"/>
    </row>
    <row r="29" spans="1:12" ht="14.45" x14ac:dyDescent="0.35">
      <c r="A29" s="71" t="s">
        <v>235</v>
      </c>
      <c r="B29" s="71"/>
      <c r="C29" s="71"/>
      <c r="D29" s="71">
        <v>10</v>
      </c>
      <c r="F29" s="83"/>
      <c r="G29" s="38"/>
      <c r="H29" s="39"/>
      <c r="I29" s="38"/>
      <c r="J29" s="39"/>
      <c r="K29" s="38"/>
      <c r="L29" s="39"/>
    </row>
    <row r="30" spans="1:12" ht="14.45" x14ac:dyDescent="0.35">
      <c r="A30" s="72"/>
      <c r="B30" s="72" t="s">
        <v>236</v>
      </c>
      <c r="C30" s="72" t="s">
        <v>237</v>
      </c>
      <c r="D30" s="72" t="s">
        <v>238</v>
      </c>
      <c r="F30" s="84"/>
      <c r="G30" s="108"/>
      <c r="H30" s="109"/>
      <c r="I30" s="108"/>
      <c r="J30" s="109"/>
      <c r="K30" s="108"/>
      <c r="L30" s="109"/>
    </row>
    <row r="31" spans="1:12" ht="14.45" x14ac:dyDescent="0.35">
      <c r="A31" s="73" t="s">
        <v>239</v>
      </c>
      <c r="B31" s="73" t="s">
        <v>240</v>
      </c>
      <c r="C31" s="74" t="s">
        <v>240</v>
      </c>
      <c r="D31" s="74"/>
      <c r="F31" s="84" t="s">
        <v>27</v>
      </c>
      <c r="G31" s="36"/>
      <c r="H31" s="37"/>
      <c r="I31" s="36"/>
      <c r="J31" s="37"/>
      <c r="K31" s="36"/>
      <c r="L31" s="37"/>
    </row>
    <row r="32" spans="1:12" ht="14.45" x14ac:dyDescent="0.35">
      <c r="A32" s="75">
        <f>VLOOKUP(F32,'Benchmark Unit Rates'!E:I,3,FALSE)</f>
        <v>64.17</v>
      </c>
      <c r="B32" s="73"/>
      <c r="C32" s="74">
        <f>D29*I18</f>
        <v>20000</v>
      </c>
      <c r="D32" s="74">
        <f>D29*K18</f>
        <v>100000</v>
      </c>
      <c r="F32" s="85" t="s">
        <v>202</v>
      </c>
      <c r="G32" s="32"/>
      <c r="H32" s="45"/>
      <c r="I32" s="40">
        <f t="shared" ref="I32" si="0">C32*A32</f>
        <v>1283400</v>
      </c>
      <c r="J32" s="33"/>
      <c r="K32" s="40">
        <f t="shared" ref="K32" si="1">D32*A32</f>
        <v>6417000</v>
      </c>
      <c r="L32" s="41"/>
    </row>
    <row r="33" spans="1:12" x14ac:dyDescent="0.25">
      <c r="A33" s="75">
        <f>VLOOKUP(F33,'Benchmark Unit Rates'!E:I,3,FALSE)</f>
        <v>64.17</v>
      </c>
      <c r="B33" s="76"/>
      <c r="C33" s="77"/>
      <c r="D33" s="77"/>
      <c r="F33" s="85" t="s">
        <v>59</v>
      </c>
      <c r="G33" s="32"/>
      <c r="H33" s="45"/>
      <c r="I33" s="40"/>
      <c r="J33" s="33"/>
      <c r="K33" s="40"/>
      <c r="L33" s="41"/>
    </row>
    <row r="34" spans="1:12" x14ac:dyDescent="0.25">
      <c r="A34" s="75">
        <f>VLOOKUP(F34,'Benchmark Unit Rates'!E:I,3,FALSE)</f>
        <v>82.8</v>
      </c>
      <c r="B34" s="76">
        <f>D29*2*32</f>
        <v>640</v>
      </c>
      <c r="C34" s="77"/>
      <c r="D34" s="77"/>
      <c r="F34" s="85" t="s">
        <v>60</v>
      </c>
      <c r="G34" s="32">
        <f>B34*A34</f>
        <v>52992</v>
      </c>
      <c r="H34" s="45"/>
      <c r="I34" s="40"/>
      <c r="J34" s="33"/>
      <c r="K34" s="40"/>
      <c r="L34" s="41"/>
    </row>
    <row r="35" spans="1:12" x14ac:dyDescent="0.25">
      <c r="A35" s="75">
        <f>VLOOKUP(F35,'Benchmark Unit Rates'!E:I,3,FALSE)</f>
        <v>209.07</v>
      </c>
      <c r="B35" s="76"/>
      <c r="C35" s="77"/>
      <c r="D35" s="77"/>
      <c r="F35" s="85" t="s">
        <v>61</v>
      </c>
      <c r="G35" s="32"/>
      <c r="H35" s="45"/>
      <c r="I35" s="40"/>
      <c r="J35" s="33"/>
      <c r="K35" s="40"/>
      <c r="L35" s="41"/>
    </row>
    <row r="36" spans="1:12" x14ac:dyDescent="0.25">
      <c r="A36" s="75">
        <f>VLOOKUP(F36,'Benchmark Unit Rates'!E:I,3,FALSE)</f>
        <v>270.13499999999999</v>
      </c>
      <c r="B36" s="76">
        <f>D29*32+780</f>
        <v>1100</v>
      </c>
      <c r="C36" s="77"/>
      <c r="D36" s="77"/>
      <c r="F36" s="85" t="s">
        <v>62</v>
      </c>
      <c r="G36" s="32">
        <f t="shared" ref="G36:G38" si="2">B36*A36</f>
        <v>297148.5</v>
      </c>
      <c r="H36" s="45"/>
      <c r="I36" s="40"/>
      <c r="J36" s="33"/>
      <c r="K36" s="40"/>
      <c r="L36" s="41"/>
    </row>
    <row r="37" spans="1:12" x14ac:dyDescent="0.25">
      <c r="A37" s="75">
        <f>VLOOKUP(F37,'Benchmark Unit Rates'!E:I,3,FALSE)</f>
        <v>342.58499999999998</v>
      </c>
      <c r="B37" s="76"/>
      <c r="C37" s="77"/>
      <c r="D37" s="77"/>
      <c r="F37" s="85" t="s">
        <v>63</v>
      </c>
      <c r="G37" s="32"/>
      <c r="H37" s="45"/>
      <c r="I37" s="40"/>
      <c r="J37" s="33"/>
      <c r="K37" s="40"/>
      <c r="L37" s="41"/>
    </row>
    <row r="38" spans="1:12" x14ac:dyDescent="0.25">
      <c r="A38" s="75">
        <f>VLOOKUP(F38,'Benchmark Unit Rates'!E:I,3,FALSE)</f>
        <v>405.71999999999997</v>
      </c>
      <c r="B38" s="76">
        <v>1420</v>
      </c>
      <c r="C38" s="77"/>
      <c r="D38" s="77"/>
      <c r="F38" s="85" t="s">
        <v>64</v>
      </c>
      <c r="G38" s="32">
        <f t="shared" si="2"/>
        <v>576122.39999999991</v>
      </c>
      <c r="H38" s="45"/>
      <c r="I38" s="40"/>
      <c r="J38" s="33"/>
      <c r="K38" s="40"/>
      <c r="L38" s="41"/>
    </row>
    <row r="39" spans="1:12" x14ac:dyDescent="0.25">
      <c r="A39" s="75">
        <f>VLOOKUP(F39,'Benchmark Unit Rates'!E:I,3,FALSE)</f>
        <v>478.16999999999996</v>
      </c>
      <c r="B39" s="76"/>
      <c r="C39" s="77"/>
      <c r="D39" s="77"/>
      <c r="F39" s="85" t="s">
        <v>65</v>
      </c>
      <c r="G39" s="32"/>
      <c r="H39" s="45"/>
      <c r="I39" s="40"/>
      <c r="J39" s="33"/>
      <c r="K39" s="40"/>
      <c r="L39" s="41"/>
    </row>
    <row r="40" spans="1:12" x14ac:dyDescent="0.25">
      <c r="A40" s="75">
        <f>VLOOKUP(F40,'Benchmark Unit Rates'!E:I,3,FALSE)</f>
        <v>612.71999999999991</v>
      </c>
      <c r="B40" s="76"/>
      <c r="C40" s="77"/>
      <c r="D40" s="77"/>
      <c r="F40" s="85" t="s">
        <v>66</v>
      </c>
      <c r="G40" s="32"/>
      <c r="H40" s="45"/>
      <c r="I40" s="40"/>
      <c r="J40" s="33"/>
      <c r="K40" s="40"/>
      <c r="L40" s="41"/>
    </row>
    <row r="41" spans="1:12" x14ac:dyDescent="0.25">
      <c r="A41" s="75">
        <f>VLOOKUP(F41,'Benchmark Unit Rates'!E:I,3,FALSE)</f>
        <v>165.6</v>
      </c>
      <c r="B41" s="76"/>
      <c r="C41" s="77">
        <v>20400</v>
      </c>
      <c r="D41" s="77">
        <v>95200</v>
      </c>
      <c r="F41" s="85" t="s">
        <v>67</v>
      </c>
      <c r="G41" s="32"/>
      <c r="H41" s="45"/>
      <c r="I41" s="40">
        <f t="shared" ref="I41:I44" si="3">C41*A41</f>
        <v>3378240</v>
      </c>
      <c r="J41" s="33"/>
      <c r="K41" s="40">
        <f t="shared" ref="K41" si="4">D41*A41</f>
        <v>15765120</v>
      </c>
      <c r="L41" s="41"/>
    </row>
    <row r="42" spans="1:12" x14ac:dyDescent="0.25">
      <c r="A42" s="75">
        <f>VLOOKUP(F42,'Benchmark Unit Rates'!E:I,3,FALSE)</f>
        <v>206.99999999999997</v>
      </c>
      <c r="B42" s="76"/>
      <c r="C42" s="77"/>
      <c r="D42" s="77"/>
      <c r="F42" s="85" t="s">
        <v>68</v>
      </c>
      <c r="G42" s="32"/>
      <c r="H42" s="45"/>
      <c r="I42" s="40"/>
      <c r="J42" s="33"/>
      <c r="K42" s="40"/>
      <c r="L42" s="41"/>
    </row>
    <row r="43" spans="1:12" x14ac:dyDescent="0.25">
      <c r="A43" s="75">
        <f>VLOOKUP(F43,'Benchmark Unit Rates'!E:I,3,FALSE)</f>
        <v>258.75</v>
      </c>
      <c r="B43" s="76"/>
      <c r="C43" s="77"/>
      <c r="D43" s="77"/>
      <c r="F43" s="85" t="s">
        <v>69</v>
      </c>
      <c r="G43" s="32"/>
      <c r="H43" s="45"/>
      <c r="I43" s="40"/>
      <c r="J43" s="33"/>
      <c r="K43" s="40"/>
      <c r="L43" s="41"/>
    </row>
    <row r="44" spans="1:12" x14ac:dyDescent="0.25">
      <c r="A44" s="75">
        <f>VLOOKUP(F44,'Benchmark Unit Rates'!E:I,3,FALSE)</f>
        <v>300.14999999999998</v>
      </c>
      <c r="B44" s="76"/>
      <c r="C44" s="77">
        <v>13440</v>
      </c>
      <c r="D44" s="77"/>
      <c r="F44" s="85" t="s">
        <v>70</v>
      </c>
      <c r="G44" s="32"/>
      <c r="H44" s="45"/>
      <c r="I44" s="40">
        <f t="shared" si="3"/>
        <v>4034015.9999999995</v>
      </c>
      <c r="J44" s="33"/>
      <c r="K44" s="40"/>
      <c r="L44" s="41"/>
    </row>
    <row r="45" spans="1:12" x14ac:dyDescent="0.25">
      <c r="A45" s="75">
        <f>VLOOKUP(F45,'Benchmark Unit Rates'!E:I,3,FALSE)</f>
        <v>351.9</v>
      </c>
      <c r="B45" s="76"/>
      <c r="C45" s="77"/>
      <c r="D45" s="77"/>
      <c r="F45" s="85" t="s">
        <v>71</v>
      </c>
      <c r="G45" s="32"/>
      <c r="H45" s="45"/>
      <c r="I45" s="40"/>
      <c r="J45" s="33"/>
      <c r="K45" s="40"/>
      <c r="L45" s="41"/>
    </row>
    <row r="46" spans="1:12" x14ac:dyDescent="0.25">
      <c r="A46" s="75">
        <f>VLOOKUP(F46,'Benchmark Unit Rates'!E:I,3,FALSE)</f>
        <v>445.04999999999995</v>
      </c>
      <c r="B46" s="76"/>
      <c r="C46" s="77"/>
      <c r="D46" s="77"/>
      <c r="F46" s="85" t="s">
        <v>72</v>
      </c>
      <c r="G46" s="32"/>
      <c r="H46" s="45"/>
      <c r="I46" s="40"/>
      <c r="J46" s="33"/>
      <c r="K46" s="40"/>
      <c r="L46" s="41"/>
    </row>
    <row r="47" spans="1:12" x14ac:dyDescent="0.25">
      <c r="A47" s="75">
        <f>VLOOKUP(F47,'Benchmark Unit Rates'!E:I,3,FALSE)</f>
        <v>527.84999999999991</v>
      </c>
      <c r="B47" s="76"/>
      <c r="C47" s="77"/>
      <c r="D47" s="77">
        <v>8960</v>
      </c>
      <c r="F47" s="85" t="s">
        <v>154</v>
      </c>
      <c r="G47" s="32"/>
      <c r="H47" s="45"/>
      <c r="I47" s="40"/>
      <c r="J47" s="33"/>
      <c r="K47" s="40">
        <f t="shared" ref="K47" si="5">D47*A47</f>
        <v>4729535.9999999991</v>
      </c>
      <c r="L47" s="41"/>
    </row>
    <row r="48" spans="1:12" x14ac:dyDescent="0.25">
      <c r="A48" s="75">
        <f>VLOOKUP(F48,'Benchmark Unit Rates'!E:I,3,FALSE)</f>
        <v>267.02999999999997</v>
      </c>
      <c r="B48" s="76"/>
      <c r="C48" s="77"/>
      <c r="D48" s="77"/>
      <c r="F48" s="85" t="s">
        <v>73</v>
      </c>
      <c r="G48" s="32"/>
      <c r="H48" s="45"/>
      <c r="I48" s="40"/>
      <c r="J48" s="33"/>
      <c r="K48" s="40"/>
      <c r="L48" s="41"/>
    </row>
    <row r="49" spans="1:12" x14ac:dyDescent="0.25">
      <c r="A49" s="75">
        <f>VLOOKUP(F49,'Benchmark Unit Rates'!E:I,3,FALSE)</f>
        <v>324.98999999999995</v>
      </c>
      <c r="B49" s="76">
        <f>D29*32</f>
        <v>320</v>
      </c>
      <c r="C49" s="77"/>
      <c r="D49" s="77"/>
      <c r="F49" s="85" t="s">
        <v>74</v>
      </c>
      <c r="G49" s="32"/>
      <c r="H49" s="45">
        <f>B49*A49</f>
        <v>103996.79999999999</v>
      </c>
      <c r="I49" s="40"/>
      <c r="J49" s="33"/>
      <c r="K49" s="40"/>
      <c r="L49" s="41"/>
    </row>
    <row r="50" spans="1:12" x14ac:dyDescent="0.25">
      <c r="A50" s="75">
        <f>VLOOKUP(F50,'Benchmark Unit Rates'!E:I,3,FALSE)</f>
        <v>431.59499999999997</v>
      </c>
      <c r="B50" s="76">
        <v>1300</v>
      </c>
      <c r="C50" s="77"/>
      <c r="D50" s="77"/>
      <c r="F50" s="85" t="s">
        <v>75</v>
      </c>
      <c r="G50" s="32"/>
      <c r="H50" s="45">
        <f>B50*A50</f>
        <v>561073.5</v>
      </c>
      <c r="I50" s="40"/>
      <c r="J50" s="33"/>
      <c r="K50" s="40"/>
      <c r="L50" s="41"/>
    </row>
    <row r="51" spans="1:12" x14ac:dyDescent="0.25">
      <c r="A51" s="75">
        <f>VLOOKUP(F51,'Benchmark Unit Rates'!E:I,3,FALSE)</f>
        <v>568.21499999999992</v>
      </c>
      <c r="B51" s="76"/>
      <c r="C51" s="77"/>
      <c r="D51" s="77"/>
      <c r="F51" s="85" t="s">
        <v>76</v>
      </c>
      <c r="G51" s="32"/>
      <c r="H51" s="45"/>
      <c r="I51" s="40"/>
      <c r="J51" s="33"/>
      <c r="K51" s="40"/>
      <c r="L51" s="41"/>
    </row>
    <row r="52" spans="1:12" x14ac:dyDescent="0.25">
      <c r="A52" s="75">
        <f>VLOOKUP(F52,'Benchmark Unit Rates'!E:I,3,FALSE)</f>
        <v>740.02499999999998</v>
      </c>
      <c r="B52" s="76">
        <v>300</v>
      </c>
      <c r="C52" s="77"/>
      <c r="D52" s="77"/>
      <c r="F52" s="85" t="s">
        <v>77</v>
      </c>
      <c r="G52" s="32"/>
      <c r="H52" s="45">
        <f>B52*A52</f>
        <v>222007.5</v>
      </c>
      <c r="I52" s="40"/>
      <c r="J52" s="33"/>
      <c r="K52" s="40"/>
      <c r="L52" s="41"/>
    </row>
    <row r="53" spans="1:12" x14ac:dyDescent="0.25">
      <c r="A53" s="75">
        <f>VLOOKUP(F53,'Benchmark Unit Rates'!E:I,3,FALSE)</f>
        <v>903.55499999999995</v>
      </c>
      <c r="B53" s="76"/>
      <c r="C53" s="77"/>
      <c r="D53" s="77"/>
      <c r="F53" s="85" t="s">
        <v>78</v>
      </c>
      <c r="G53" s="32"/>
      <c r="H53" s="45"/>
      <c r="I53" s="40"/>
      <c r="J53" s="33"/>
      <c r="K53" s="40"/>
      <c r="L53" s="41"/>
    </row>
    <row r="54" spans="1:12" x14ac:dyDescent="0.25">
      <c r="A54" s="75">
        <f>VLOOKUP(F54,'Benchmark Unit Rates'!E:I,3,FALSE)</f>
        <v>1041.2099999999998</v>
      </c>
      <c r="B54" s="76"/>
      <c r="C54" s="77"/>
      <c r="D54" s="77"/>
      <c r="F54" s="85" t="s">
        <v>79</v>
      </c>
      <c r="G54" s="32"/>
      <c r="H54" s="45"/>
      <c r="I54" s="40"/>
      <c r="J54" s="33"/>
      <c r="K54" s="40"/>
      <c r="L54" s="41"/>
    </row>
    <row r="55" spans="1:12" x14ac:dyDescent="0.25">
      <c r="A55" s="75">
        <f>VLOOKUP(F55,'Benchmark Unit Rates'!E:I,3,FALSE)</f>
        <v>1315.4849999999999</v>
      </c>
      <c r="B55" s="76"/>
      <c r="C55" s="77"/>
      <c r="D55" s="77"/>
      <c r="F55" s="85" t="s">
        <v>80</v>
      </c>
      <c r="G55" s="32"/>
      <c r="H55" s="45"/>
      <c r="I55" s="40"/>
      <c r="J55" s="33"/>
      <c r="K55" s="40"/>
      <c r="L55" s="41"/>
    </row>
    <row r="56" spans="1:12" x14ac:dyDescent="0.25">
      <c r="A56" s="75">
        <f>VLOOKUP(F56,'Benchmark Unit Rates'!E:I,3,FALSE)</f>
        <v>223.55999999999997</v>
      </c>
      <c r="B56" s="76"/>
      <c r="C56" s="77">
        <f>D29*J18</f>
        <v>20000</v>
      </c>
      <c r="D56" s="77">
        <f>D29*L18</f>
        <v>100000</v>
      </c>
      <c r="F56" s="85" t="s">
        <v>83</v>
      </c>
      <c r="G56" s="32"/>
      <c r="H56" s="45"/>
      <c r="I56" s="32"/>
      <c r="J56" s="41">
        <f>C56*A56</f>
        <v>4471199.9999999991</v>
      </c>
      <c r="K56" s="40"/>
      <c r="L56" s="41">
        <f t="shared" ref="L56:L63" si="6">D56*A56</f>
        <v>22355999.999999996</v>
      </c>
    </row>
    <row r="57" spans="1:12" x14ac:dyDescent="0.25">
      <c r="A57" s="75">
        <f>VLOOKUP(F57,'Benchmark Unit Rates'!E:I,3,FALSE)</f>
        <v>261.85499999999996</v>
      </c>
      <c r="B57" s="76"/>
      <c r="C57" s="77"/>
      <c r="D57" s="77"/>
      <c r="F57" s="85" t="s">
        <v>84</v>
      </c>
      <c r="G57" s="32"/>
      <c r="H57" s="45"/>
      <c r="I57" s="32"/>
      <c r="J57" s="41"/>
      <c r="K57" s="40"/>
      <c r="L57" s="41"/>
    </row>
    <row r="58" spans="1:12" x14ac:dyDescent="0.25">
      <c r="A58" s="75">
        <f>VLOOKUP(F58,'Benchmark Unit Rates'!E:I,3,FALSE)</f>
        <v>326.02499999999998</v>
      </c>
      <c r="B58" s="76"/>
      <c r="C58" s="77">
        <v>28560</v>
      </c>
      <c r="D58" s="77">
        <v>133280</v>
      </c>
      <c r="F58" s="85" t="s">
        <v>85</v>
      </c>
      <c r="G58" s="32"/>
      <c r="H58" s="45"/>
      <c r="I58" s="32"/>
      <c r="J58" s="41">
        <f t="shared" ref="J58:J67" si="7">C58*A58</f>
        <v>9311274</v>
      </c>
      <c r="K58" s="40"/>
      <c r="L58" s="41">
        <f t="shared" si="6"/>
        <v>43452612</v>
      </c>
    </row>
    <row r="59" spans="1:12" x14ac:dyDescent="0.25">
      <c r="A59" s="75">
        <f>VLOOKUP(F59,'Benchmark Unit Rates'!E:I,3,FALSE)</f>
        <v>441.94499999999999</v>
      </c>
      <c r="B59" s="76"/>
      <c r="C59" s="77"/>
      <c r="D59" s="77"/>
      <c r="F59" s="85" t="s">
        <v>86</v>
      </c>
      <c r="G59" s="32"/>
      <c r="H59" s="45"/>
      <c r="I59" s="32"/>
      <c r="J59" s="41"/>
      <c r="K59" s="40"/>
      <c r="L59" s="41"/>
    </row>
    <row r="60" spans="1:12" x14ac:dyDescent="0.25">
      <c r="A60" s="75">
        <f>VLOOKUP(F60,'Benchmark Unit Rates'!E:I,3,FALSE)</f>
        <v>572.3549999999999</v>
      </c>
      <c r="B60" s="76"/>
      <c r="C60" s="77">
        <v>8040</v>
      </c>
      <c r="D60" s="77">
        <v>17920</v>
      </c>
      <c r="F60" s="85" t="s">
        <v>87</v>
      </c>
      <c r="G60" s="32"/>
      <c r="H60" s="45"/>
      <c r="I60" s="32"/>
      <c r="J60" s="41">
        <f t="shared" si="7"/>
        <v>4601734.1999999993</v>
      </c>
      <c r="K60" s="40"/>
      <c r="L60" s="41">
        <f t="shared" ref="L60" si="8">D60*A60</f>
        <v>10256601.599999998</v>
      </c>
    </row>
    <row r="61" spans="1:12" x14ac:dyDescent="0.25">
      <c r="A61" s="75">
        <f>VLOOKUP(F61,'Benchmark Unit Rates'!E:I,3,FALSE)</f>
        <v>693.44999999999993</v>
      </c>
      <c r="B61" s="76"/>
      <c r="C61" s="77"/>
      <c r="D61" s="77"/>
      <c r="F61" s="85" t="s">
        <v>88</v>
      </c>
      <c r="G61" s="32"/>
      <c r="H61" s="45"/>
      <c r="I61" s="32"/>
      <c r="J61" s="41"/>
      <c r="K61" s="40"/>
      <c r="L61" s="41"/>
    </row>
    <row r="62" spans="1:12" x14ac:dyDescent="0.25">
      <c r="A62" s="75">
        <f>VLOOKUP(F62,'Benchmark Unit Rates'!E:I,3,FALSE)</f>
        <v>802.12499999999989</v>
      </c>
      <c r="B62" s="76"/>
      <c r="C62" s="77"/>
      <c r="D62" s="77"/>
      <c r="F62" s="85" t="s">
        <v>89</v>
      </c>
      <c r="G62" s="32"/>
      <c r="H62" s="45"/>
      <c r="I62" s="32"/>
      <c r="J62" s="41"/>
      <c r="K62" s="40"/>
      <c r="L62" s="41"/>
    </row>
    <row r="63" spans="1:12" x14ac:dyDescent="0.25">
      <c r="A63" s="75">
        <f>VLOOKUP(F63,'Benchmark Unit Rates'!E:I,3,FALSE)</f>
        <v>1035</v>
      </c>
      <c r="B63" s="78"/>
      <c r="C63" s="79"/>
      <c r="D63" s="79">
        <v>17920</v>
      </c>
      <c r="F63" s="86" t="s">
        <v>90</v>
      </c>
      <c r="G63" s="32"/>
      <c r="H63" s="45"/>
      <c r="I63" s="32"/>
      <c r="J63" s="41"/>
      <c r="K63" s="40"/>
      <c r="L63" s="41">
        <f t="shared" si="6"/>
        <v>18547200</v>
      </c>
    </row>
    <row r="64" spans="1:12" x14ac:dyDescent="0.25">
      <c r="A64" s="75">
        <f>VLOOKUP(F64,'Benchmark Unit Rates'!E:I,3,FALSE)</f>
        <v>119.02499999999999</v>
      </c>
      <c r="B64" s="76"/>
      <c r="C64" s="77"/>
      <c r="D64" s="77"/>
      <c r="F64" s="85" t="s">
        <v>91</v>
      </c>
      <c r="G64" s="32"/>
      <c r="H64" s="45"/>
      <c r="I64" s="32"/>
      <c r="J64" s="41"/>
      <c r="K64" s="40"/>
      <c r="L64" s="41"/>
    </row>
    <row r="65" spans="1:12" x14ac:dyDescent="0.25">
      <c r="A65" s="75">
        <f>VLOOKUP(F65,'Benchmark Unit Rates'!E:I,3,FALSE)</f>
        <v>119.02499999999999</v>
      </c>
      <c r="B65" s="76"/>
      <c r="C65" s="77"/>
      <c r="D65" s="77"/>
      <c r="F65" s="85" t="s">
        <v>91</v>
      </c>
      <c r="G65" s="32"/>
      <c r="H65" s="45"/>
      <c r="I65" s="32"/>
      <c r="J65" s="41"/>
      <c r="K65" s="40"/>
      <c r="L65" s="41"/>
    </row>
    <row r="66" spans="1:12" x14ac:dyDescent="0.25">
      <c r="A66" s="75">
        <f>VLOOKUP(F66,'Benchmark Unit Rates'!E:I,3,FALSE)</f>
        <v>165.6</v>
      </c>
      <c r="B66" s="76"/>
      <c r="C66" s="77"/>
      <c r="D66" s="77"/>
      <c r="F66" s="85" t="s">
        <v>92</v>
      </c>
      <c r="G66" s="32"/>
      <c r="H66" s="45"/>
      <c r="I66" s="32"/>
      <c r="J66" s="41"/>
      <c r="K66" s="40"/>
      <c r="L66" s="41"/>
    </row>
    <row r="67" spans="1:12" x14ac:dyDescent="0.25">
      <c r="A67" s="75">
        <f>VLOOKUP(F67,'Benchmark Unit Rates'!E:I,3,FALSE)</f>
        <v>196.64999999999998</v>
      </c>
      <c r="B67" s="76"/>
      <c r="C67" s="77">
        <v>1000</v>
      </c>
      <c r="D67" s="77">
        <v>3000</v>
      </c>
      <c r="F67" s="85" t="s">
        <v>93</v>
      </c>
      <c r="G67" s="32"/>
      <c r="H67" s="45"/>
      <c r="I67" s="32"/>
      <c r="J67" s="41">
        <f t="shared" si="7"/>
        <v>196649.99999999997</v>
      </c>
      <c r="K67" s="40"/>
      <c r="L67" s="41">
        <f t="shared" ref="L67" si="9">D67*A67</f>
        <v>589949.99999999988</v>
      </c>
    </row>
    <row r="68" spans="1:12" x14ac:dyDescent="0.25">
      <c r="A68" s="75">
        <f>VLOOKUP(F68,'Benchmark Unit Rates'!E:I,3,FALSE)</f>
        <v>243.22499999999999</v>
      </c>
      <c r="B68" s="76"/>
      <c r="C68" s="77"/>
      <c r="D68" s="77"/>
      <c r="F68" s="85" t="s">
        <v>94</v>
      </c>
      <c r="G68" s="32"/>
      <c r="H68" s="45"/>
      <c r="I68" s="32"/>
      <c r="J68" s="41"/>
      <c r="K68" s="40"/>
      <c r="L68" s="41"/>
    </row>
    <row r="69" spans="1:12" x14ac:dyDescent="0.25">
      <c r="A69" s="75"/>
      <c r="B69" s="76"/>
      <c r="C69" s="77"/>
      <c r="D69" s="77"/>
      <c r="F69" s="85" t="s">
        <v>105</v>
      </c>
      <c r="G69" s="32"/>
      <c r="H69" s="45"/>
      <c r="I69" s="32"/>
      <c r="J69" s="33"/>
      <c r="K69" s="32"/>
      <c r="L69" s="41"/>
    </row>
    <row r="70" spans="1:12" x14ac:dyDescent="0.25">
      <c r="A70" s="75"/>
      <c r="B70" s="76"/>
      <c r="C70" s="77"/>
      <c r="D70" s="77"/>
      <c r="F70" s="85" t="s">
        <v>106</v>
      </c>
      <c r="G70" s="32"/>
      <c r="H70" s="45"/>
      <c r="I70" s="32"/>
      <c r="J70" s="33"/>
      <c r="K70" s="32"/>
      <c r="L70" s="41"/>
    </row>
    <row r="71" spans="1:12" x14ac:dyDescent="0.25">
      <c r="A71" s="76"/>
      <c r="B71" s="76"/>
      <c r="C71" s="77"/>
      <c r="D71" s="77"/>
      <c r="F71" s="85" t="s">
        <v>28</v>
      </c>
      <c r="G71" s="42">
        <f>SUM(B32:B47)</f>
        <v>3160</v>
      </c>
      <c r="H71" s="46">
        <f>SUM(B48:B55)</f>
        <v>1920</v>
      </c>
      <c r="I71" s="42">
        <f>SUM(C32:C46)</f>
        <v>53840</v>
      </c>
      <c r="J71" s="43">
        <f>SUM(C56:C68)</f>
        <v>57600</v>
      </c>
      <c r="K71" s="42">
        <f>SUM(D32:D47)</f>
        <v>204160</v>
      </c>
      <c r="L71" s="43">
        <f>SUM(D49:D70)</f>
        <v>272120</v>
      </c>
    </row>
    <row r="72" spans="1:12" x14ac:dyDescent="0.25">
      <c r="A72" s="76"/>
      <c r="B72" s="76"/>
      <c r="C72" s="77"/>
      <c r="D72" s="77"/>
      <c r="F72" s="85" t="s">
        <v>171</v>
      </c>
      <c r="G72" s="32">
        <f t="shared" ref="G72:L72" si="10">SUM(G32:G70)</f>
        <v>926262.89999999991</v>
      </c>
      <c r="H72" s="47">
        <f t="shared" si="10"/>
        <v>887077.8</v>
      </c>
      <c r="I72" s="40">
        <f t="shared" si="10"/>
        <v>8695656</v>
      </c>
      <c r="J72" s="41">
        <f t="shared" si="10"/>
        <v>18580858.199999999</v>
      </c>
      <c r="K72" s="40">
        <f t="shared" si="10"/>
        <v>26911656</v>
      </c>
      <c r="L72" s="41">
        <f t="shared" si="10"/>
        <v>95202363.599999994</v>
      </c>
    </row>
    <row r="73" spans="1:12" ht="30" x14ac:dyDescent="0.25">
      <c r="A73" s="76"/>
      <c r="B73" s="76"/>
      <c r="C73" s="77"/>
      <c r="D73" s="77"/>
      <c r="F73" s="85" t="s">
        <v>26</v>
      </c>
      <c r="G73" s="10" t="s">
        <v>115</v>
      </c>
      <c r="H73" s="11" t="s">
        <v>116</v>
      </c>
      <c r="I73" s="10" t="s">
        <v>115</v>
      </c>
      <c r="J73" s="11" t="s">
        <v>116</v>
      </c>
      <c r="K73" s="10" t="s">
        <v>115</v>
      </c>
      <c r="L73" s="11" t="s">
        <v>116</v>
      </c>
    </row>
    <row r="74" spans="1:12" x14ac:dyDescent="0.25">
      <c r="A74" s="76"/>
      <c r="B74" s="76"/>
      <c r="C74" s="77"/>
      <c r="D74" s="77"/>
      <c r="F74" s="86" t="s">
        <v>175</v>
      </c>
      <c r="G74" s="40">
        <f>G71*'Operating Cost Summary'!$C$12</f>
        <v>6320</v>
      </c>
      <c r="H74" s="40">
        <f>H71*'Operating Cost Summary'!$C$22</f>
        <v>5760</v>
      </c>
      <c r="I74" s="100">
        <f>I71*'Operating Cost Summary'!C12</f>
        <v>107680</v>
      </c>
      <c r="J74" s="41">
        <f>J71*'Operating Cost Summary'!C22</f>
        <v>172800</v>
      </c>
      <c r="K74" s="40">
        <f>K71*'Operating Cost Summary'!C12</f>
        <v>408320</v>
      </c>
      <c r="L74" s="41">
        <f>L71*'Operating Cost Summary'!C22</f>
        <v>816360</v>
      </c>
    </row>
    <row r="75" spans="1:12" x14ac:dyDescent="0.25">
      <c r="A75" s="76"/>
      <c r="B75" s="76"/>
      <c r="C75" s="77"/>
      <c r="D75" s="77"/>
      <c r="F75" s="85"/>
      <c r="G75" s="87"/>
      <c r="H75" s="88"/>
      <c r="I75" s="87"/>
      <c r="J75" s="88"/>
      <c r="K75" s="87"/>
      <c r="L75" s="88"/>
    </row>
    <row r="76" spans="1:12" x14ac:dyDescent="0.25">
      <c r="A76" s="77"/>
      <c r="B76" s="77"/>
      <c r="C76" s="77"/>
      <c r="D76" s="77"/>
      <c r="F76" s="89" t="s">
        <v>29</v>
      </c>
      <c r="G76" s="20"/>
      <c r="H76" s="21"/>
      <c r="I76" s="20"/>
      <c r="J76" s="21"/>
      <c r="K76" s="20"/>
      <c r="L76" s="21"/>
    </row>
    <row r="77" spans="1:12" x14ac:dyDescent="0.25">
      <c r="A77" s="77"/>
      <c r="B77" s="77"/>
      <c r="C77" s="77"/>
      <c r="D77" s="77"/>
      <c r="F77" s="85" t="s">
        <v>95</v>
      </c>
      <c r="G77" s="13"/>
      <c r="H77" s="12"/>
      <c r="I77" s="13"/>
      <c r="J77" s="12"/>
      <c r="K77" s="13"/>
      <c r="L77" s="12"/>
    </row>
    <row r="78" spans="1:12" x14ac:dyDescent="0.25">
      <c r="A78" s="76">
        <f>CEILING(VLOOKUP(F78,'Benchmark Unit Rates'!E:H,3,FALSE),10)</f>
        <v>434700</v>
      </c>
      <c r="B78" s="77"/>
      <c r="C78" s="77"/>
      <c r="D78" s="77"/>
      <c r="F78" s="85" t="s">
        <v>96</v>
      </c>
      <c r="G78" s="13"/>
      <c r="H78" s="24"/>
      <c r="I78" s="13"/>
      <c r="J78" s="25"/>
      <c r="K78" s="13"/>
      <c r="L78" s="12"/>
    </row>
    <row r="79" spans="1:12" x14ac:dyDescent="0.25">
      <c r="A79" s="76">
        <f>CEILING(VLOOKUP(F79,'Benchmark Unit Rates'!E:H,3,FALSE),10)</f>
        <v>548550</v>
      </c>
      <c r="B79" s="77"/>
      <c r="C79" s="77"/>
      <c r="D79" s="77"/>
      <c r="F79" s="85" t="s">
        <v>97</v>
      </c>
      <c r="G79" s="13"/>
      <c r="H79" s="12"/>
      <c r="I79" s="40"/>
      <c r="J79" s="41"/>
      <c r="K79" s="40"/>
      <c r="L79" s="41"/>
    </row>
    <row r="80" spans="1:12" x14ac:dyDescent="0.25">
      <c r="A80" s="76">
        <f>CEILING(VLOOKUP(F80,'Benchmark Unit Rates'!E:H,3,FALSE),10)</f>
        <v>652050</v>
      </c>
      <c r="B80" s="77"/>
      <c r="C80" s="77"/>
      <c r="D80" s="77"/>
      <c r="F80" s="85" t="s">
        <v>98</v>
      </c>
      <c r="G80" s="13"/>
      <c r="H80" s="12"/>
      <c r="I80" s="40"/>
      <c r="J80" s="41"/>
      <c r="K80" s="40"/>
      <c r="L80" s="41"/>
    </row>
    <row r="81" spans="1:12" x14ac:dyDescent="0.25">
      <c r="A81" s="76">
        <f>CEILING(VLOOKUP(F81,'Benchmark Unit Rates'!E:H,3,FALSE),10)</f>
        <v>745200</v>
      </c>
      <c r="B81" s="77"/>
      <c r="C81" s="77"/>
      <c r="D81" s="77"/>
      <c r="F81" s="85" t="s">
        <v>99</v>
      </c>
      <c r="G81" s="13"/>
      <c r="H81" s="12"/>
      <c r="I81" s="40"/>
      <c r="J81" s="41"/>
      <c r="K81" s="40"/>
      <c r="L81" s="41"/>
    </row>
    <row r="82" spans="1:12" x14ac:dyDescent="0.25">
      <c r="A82" s="76">
        <f>CEILING(VLOOKUP(F82,'Benchmark Unit Rates'!E:H,3,FALSE),10)</f>
        <v>828000</v>
      </c>
      <c r="B82" s="77"/>
      <c r="C82" s="77"/>
      <c r="D82" s="77"/>
      <c r="F82" s="85" t="s">
        <v>103</v>
      </c>
      <c r="G82" s="13"/>
      <c r="H82" s="12"/>
      <c r="I82" s="40"/>
      <c r="J82" s="41"/>
      <c r="K82" s="40"/>
      <c r="L82" s="41"/>
    </row>
    <row r="83" spans="1:12" x14ac:dyDescent="0.25">
      <c r="A83" s="76">
        <f>CEILING(VLOOKUP(F83,'Benchmark Unit Rates'!E:H,3,FALSE),10)</f>
        <v>983250</v>
      </c>
      <c r="B83" s="77"/>
      <c r="C83" s="77">
        <v>1</v>
      </c>
      <c r="D83" s="77">
        <v>3</v>
      </c>
      <c r="F83" s="85" t="s">
        <v>104</v>
      </c>
      <c r="G83" s="13"/>
      <c r="H83" s="12"/>
      <c r="I83" s="40"/>
      <c r="J83" s="41">
        <f t="shared" ref="J83" si="11">C83*A83</f>
        <v>983250</v>
      </c>
      <c r="K83" s="40"/>
      <c r="L83" s="41">
        <f t="shared" ref="L83" si="12">D83*A83</f>
        <v>2949750</v>
      </c>
    </row>
    <row r="84" spans="1:12" x14ac:dyDescent="0.25">
      <c r="A84" s="76">
        <f>CEILING(VLOOKUP(F84,'Benchmark Unit Rates'!E:H,3,FALSE),10)</f>
        <v>1107450</v>
      </c>
      <c r="B84" s="77"/>
      <c r="C84" s="77"/>
      <c r="D84" s="77"/>
      <c r="F84" s="85" t="s">
        <v>155</v>
      </c>
      <c r="G84" s="13"/>
      <c r="H84" s="12"/>
      <c r="I84" s="40"/>
      <c r="J84" s="41"/>
      <c r="K84" s="40"/>
      <c r="L84" s="41"/>
    </row>
    <row r="85" spans="1:12" x14ac:dyDescent="0.25">
      <c r="A85" s="76">
        <f>CEILING(VLOOKUP(F85,'Benchmark Unit Rates'!E:H,3,FALSE),10)</f>
        <v>1345500</v>
      </c>
      <c r="B85" s="77"/>
      <c r="C85" s="77"/>
      <c r="D85" s="77"/>
      <c r="F85" s="85" t="s">
        <v>156</v>
      </c>
      <c r="G85" s="13"/>
      <c r="H85" s="12"/>
      <c r="I85" s="40"/>
      <c r="J85" s="41"/>
      <c r="K85" s="40"/>
      <c r="L85" s="41"/>
    </row>
    <row r="86" spans="1:12" x14ac:dyDescent="0.25">
      <c r="A86" s="76">
        <f>CEILING(VLOOKUP(F86,'Benchmark Unit Rates'!E:H,3,FALSE),10)</f>
        <v>1552500</v>
      </c>
      <c r="B86" s="77"/>
      <c r="C86" s="77"/>
      <c r="D86" s="77"/>
      <c r="F86" s="85" t="s">
        <v>157</v>
      </c>
      <c r="G86" s="13"/>
      <c r="H86" s="12"/>
      <c r="I86" s="40"/>
      <c r="J86" s="41"/>
      <c r="K86" s="40"/>
      <c r="L86" s="41"/>
    </row>
    <row r="87" spans="1:12" x14ac:dyDescent="0.25">
      <c r="A87" s="76">
        <f>CEILING(VLOOKUP(F87,'Benchmark Unit Rates'!E:H,3,FALSE),10)</f>
        <v>1656000</v>
      </c>
      <c r="B87" s="77"/>
      <c r="C87" s="77"/>
      <c r="D87" s="77"/>
      <c r="F87" s="85" t="s">
        <v>158</v>
      </c>
      <c r="G87" s="13"/>
      <c r="H87" s="12"/>
      <c r="I87" s="40"/>
      <c r="J87" s="41"/>
      <c r="K87" s="40"/>
      <c r="L87" s="41"/>
    </row>
    <row r="88" spans="1:12" x14ac:dyDescent="0.25">
      <c r="A88" s="76">
        <f>CEILING(VLOOKUP(F88,'Benchmark Unit Rates'!E:H,3,FALSE),10)</f>
        <v>2173500</v>
      </c>
      <c r="B88" s="79"/>
      <c r="C88" s="79">
        <v>1</v>
      </c>
      <c r="D88" s="79">
        <v>2</v>
      </c>
      <c r="F88" s="85" t="s">
        <v>232</v>
      </c>
      <c r="G88" s="13"/>
      <c r="H88" s="12"/>
      <c r="I88" s="40">
        <f>C88*A88</f>
        <v>2173500</v>
      </c>
      <c r="J88" s="41"/>
      <c r="K88" s="40">
        <f>D88*A88</f>
        <v>4347000</v>
      </c>
      <c r="L88" s="41"/>
    </row>
    <row r="89" spans="1:12" x14ac:dyDescent="0.25">
      <c r="A89" s="76">
        <f>CEILING(VLOOKUP(F89,'Benchmark Unit Rates'!E:H,3,FALSE),10)</f>
        <v>382950</v>
      </c>
      <c r="B89" s="79"/>
      <c r="C89" s="79">
        <v>1</v>
      </c>
      <c r="D89" s="79">
        <v>2</v>
      </c>
      <c r="F89" s="85" t="s">
        <v>126</v>
      </c>
      <c r="G89" s="13"/>
      <c r="H89" s="12"/>
      <c r="I89" s="40">
        <f>C89*A89</f>
        <v>382950</v>
      </c>
      <c r="J89" s="41"/>
      <c r="K89" s="40">
        <f>D89*A89</f>
        <v>765900</v>
      </c>
      <c r="L89" s="41"/>
    </row>
    <row r="90" spans="1:12" x14ac:dyDescent="0.25">
      <c r="F90" s="85" t="s">
        <v>172</v>
      </c>
      <c r="G90" s="26"/>
      <c r="H90" s="25"/>
      <c r="I90" s="40">
        <f>SUM(I77:I89)</f>
        <v>2556450</v>
      </c>
      <c r="J90" s="41">
        <f>SUM(J77:J87)</f>
        <v>983250</v>
      </c>
      <c r="K90" s="40">
        <f>SUM(K77:K89)</f>
        <v>5112900</v>
      </c>
      <c r="L90" s="41">
        <f>SUM(L77:L87)</f>
        <v>2949750</v>
      </c>
    </row>
    <row r="91" spans="1:12" ht="75" x14ac:dyDescent="0.25">
      <c r="F91" s="85" t="s">
        <v>26</v>
      </c>
      <c r="G91" s="13"/>
      <c r="H91" s="12"/>
      <c r="I91" s="44" t="s">
        <v>128</v>
      </c>
      <c r="J91" s="11" t="s">
        <v>114</v>
      </c>
      <c r="K91" s="44" t="s">
        <v>128</v>
      </c>
      <c r="L91" s="11" t="s">
        <v>114</v>
      </c>
    </row>
    <row r="92" spans="1:12" ht="15.75" thickBot="1" x14ac:dyDescent="0.3">
      <c r="F92" s="90" t="s">
        <v>174</v>
      </c>
      <c r="G92" s="49"/>
      <c r="H92" s="50"/>
      <c r="I92" s="49">
        <f>'Operating Cost Summary'!C20*I18+'Operating Cost Summary'!C16</f>
        <v>46910</v>
      </c>
      <c r="J92" s="50">
        <f>'Operating Cost Summary'!C26</f>
        <v>14490</v>
      </c>
      <c r="K92" s="49">
        <f>'Operating Cost Summary'!C20*K18+'Operating Cost Summary'!C16*2</f>
        <v>153820</v>
      </c>
      <c r="L92" s="50">
        <f>'Operating Cost Summary'!C26*3</f>
        <v>43470</v>
      </c>
    </row>
    <row r="93" spans="1:12" ht="16.5" thickTop="1" thickBot="1" x14ac:dyDescent="0.3">
      <c r="F93" s="82"/>
      <c r="G93" s="51"/>
      <c r="H93" s="51"/>
      <c r="I93" s="31"/>
      <c r="J93" s="31"/>
      <c r="K93" s="31"/>
      <c r="L93" s="31"/>
    </row>
    <row r="94" spans="1:12" ht="15.75" thickTop="1" x14ac:dyDescent="0.25">
      <c r="F94" s="48" t="s">
        <v>170</v>
      </c>
      <c r="G94" s="53"/>
      <c r="H94" s="54">
        <f>SUM(G90:H90,G72:H72,G19:H19)</f>
        <v>2813340.7</v>
      </c>
      <c r="I94" s="55"/>
      <c r="J94" s="56">
        <f>SUM(I90:J90,I72:J72,I19:J19)</f>
        <v>31816214.199999999</v>
      </c>
      <c r="K94" s="55"/>
      <c r="L94" s="56">
        <f>SUM(K90:L90,K72:L72,K19:L19)</f>
        <v>135176669.59999999</v>
      </c>
    </row>
    <row r="95" spans="1:12" ht="15.75" thickBot="1" x14ac:dyDescent="0.3">
      <c r="F95" s="48" t="s">
        <v>173</v>
      </c>
      <c r="G95" s="52"/>
      <c r="H95" s="113">
        <f>SUM(G92:H92,G74:H74,G22:H22,G28:H28)</f>
        <v>252080</v>
      </c>
      <c r="I95" s="52"/>
      <c r="J95" s="113">
        <f>SUM(I92:J92,I74:J74,I22:J22,I28:J28)</f>
        <v>581880</v>
      </c>
      <c r="K95" s="52"/>
      <c r="L95" s="113">
        <f>SUM(K92:L92,K74:L74,K22:L22,K28:L28)</f>
        <v>2261970</v>
      </c>
    </row>
    <row r="96" spans="1:12" ht="16.5" thickTop="1" thickBot="1" x14ac:dyDescent="0.3">
      <c r="F96" s="91"/>
      <c r="H96" s="30"/>
      <c r="J96" s="30"/>
      <c r="L96" s="30"/>
    </row>
    <row r="97" spans="6:12" ht="15.75" thickTop="1" x14ac:dyDescent="0.25">
      <c r="F97" s="48" t="s">
        <v>245</v>
      </c>
      <c r="G97" s="53"/>
      <c r="H97" s="92">
        <f>H94/H18</f>
        <v>1406.6703500000001</v>
      </c>
      <c r="I97" s="55"/>
      <c r="J97" s="92">
        <f>J94/J18</f>
        <v>15908.107099999999</v>
      </c>
      <c r="K97" s="55"/>
      <c r="L97" s="92">
        <f>L94/L18</f>
        <v>13517.666959999999</v>
      </c>
    </row>
    <row r="98" spans="6:12" ht="15.75" thickBot="1" x14ac:dyDescent="0.3">
      <c r="F98" s="48" t="s">
        <v>246</v>
      </c>
      <c r="G98" s="52"/>
      <c r="H98" s="114">
        <f>H95/H18</f>
        <v>126.04</v>
      </c>
      <c r="I98" s="52"/>
      <c r="J98" s="114">
        <f>J95/J18</f>
        <v>290.94</v>
      </c>
      <c r="K98" s="52"/>
      <c r="L98" s="114">
        <f>L95/L18</f>
        <v>226.197</v>
      </c>
    </row>
    <row r="99" spans="6:12" ht="15.75" thickTop="1" x14ac:dyDescent="0.25">
      <c r="F99" s="60"/>
    </row>
    <row r="103" spans="6:12" x14ac:dyDescent="0.25">
      <c r="F103" s="61"/>
    </row>
  </sheetData>
  <sheetProtection algorithmName="SHA-512" hashValue="JVseDtLQVUTP/y0HiE9sF8FxjEzpSr+vBccwYc8fvLN52dhxS0kcLB0KNqKoPCzemg/+1ntLidi6ZOl41Xy3Hg==" saltValue="eKEc5VA82ro5jgRd4keaoA==" spinCount="100000" sheet="1" objects="1" scenarios="1"/>
  <mergeCells count="3">
    <mergeCell ref="G9:H9"/>
    <mergeCell ref="I9:J9"/>
    <mergeCell ref="K9:L9"/>
  </mergeCells>
  <pageMargins left="0.7" right="0.7" top="0.75" bottom="0.75" header="0.3" footer="0.3"/>
  <pageSetup paperSize="8" scale="75"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F97"/>
  <sheetViews>
    <sheetView showGridLines="0" workbookViewId="0">
      <selection activeCell="C16" sqref="C16"/>
    </sheetView>
  </sheetViews>
  <sheetFormatPr defaultColWidth="8.7109375" defaultRowHeight="14.25" x14ac:dyDescent="0.2"/>
  <cols>
    <col min="1" max="1" width="8.7109375" style="62"/>
    <col min="2" max="2" width="24.85546875" style="62" customWidth="1"/>
    <col min="3" max="3" width="9.140625" style="62" bestFit="1" customWidth="1"/>
    <col min="4" max="4" width="14.140625" style="62" customWidth="1"/>
    <col min="5" max="5" width="18.85546875" style="62" customWidth="1"/>
    <col min="6" max="6" width="23.85546875" style="62" customWidth="1"/>
    <col min="7" max="16384" width="8.7109375" style="62"/>
  </cols>
  <sheetData>
    <row r="7" spans="2:6" ht="20.45" x14ac:dyDescent="0.45">
      <c r="B7" s="65" t="s">
        <v>247</v>
      </c>
    </row>
    <row r="9" spans="2:6" ht="14.1" x14ac:dyDescent="0.3">
      <c r="B9" s="66"/>
    </row>
    <row r="10" spans="2:6" ht="14.1" x14ac:dyDescent="0.3">
      <c r="C10" s="67"/>
    </row>
    <row r="11" spans="2:6" ht="14.1" x14ac:dyDescent="0.3">
      <c r="B11" s="93" t="s">
        <v>248</v>
      </c>
      <c r="C11" s="93" t="s">
        <v>249</v>
      </c>
      <c r="D11" s="93" t="s">
        <v>250</v>
      </c>
      <c r="E11" s="93" t="s">
        <v>251</v>
      </c>
      <c r="F11" s="94" t="s">
        <v>252</v>
      </c>
    </row>
    <row r="12" spans="2:6" ht="14.1" x14ac:dyDescent="0.3">
      <c r="B12" s="95" t="s">
        <v>253</v>
      </c>
      <c r="C12" s="96">
        <f>CEILING(SUM(C13:C15)*1000/100/1000*1.035,1)</f>
        <v>2</v>
      </c>
      <c r="D12" s="95" t="s">
        <v>254</v>
      </c>
      <c r="E12" s="95"/>
      <c r="F12" s="97"/>
    </row>
    <row r="13" spans="2:6" x14ac:dyDescent="0.2">
      <c r="B13" s="97"/>
      <c r="C13" s="98">
        <v>50</v>
      </c>
      <c r="D13" s="99" t="s">
        <v>255</v>
      </c>
      <c r="E13" s="97" t="s">
        <v>256</v>
      </c>
      <c r="F13" s="119" t="s">
        <v>257</v>
      </c>
    </row>
    <row r="14" spans="2:6" x14ac:dyDescent="0.2">
      <c r="B14" s="97"/>
      <c r="C14" s="98">
        <v>143</v>
      </c>
      <c r="D14" s="99" t="s">
        <v>255</v>
      </c>
      <c r="E14" s="97" t="s">
        <v>258</v>
      </c>
      <c r="F14" s="120"/>
    </row>
    <row r="15" spans="2:6" x14ac:dyDescent="0.2">
      <c r="B15" s="97"/>
      <c r="C15" s="98"/>
      <c r="D15" s="99"/>
      <c r="E15" s="97"/>
      <c r="F15" s="120"/>
    </row>
    <row r="16" spans="2:6" x14ac:dyDescent="0.2">
      <c r="B16" s="95" t="s">
        <v>259</v>
      </c>
      <c r="C16" s="96">
        <f>CEILING(SUM(C17:C19)*1000*1.035,1)</f>
        <v>26910</v>
      </c>
      <c r="D16" s="95" t="s">
        <v>260</v>
      </c>
      <c r="E16" s="95"/>
      <c r="F16" s="120"/>
    </row>
    <row r="17" spans="2:6" x14ac:dyDescent="0.2">
      <c r="B17" s="97"/>
      <c r="C17" s="97">
        <v>3</v>
      </c>
      <c r="D17" s="99" t="s">
        <v>261</v>
      </c>
      <c r="E17" s="97" t="s">
        <v>256</v>
      </c>
      <c r="F17" s="120"/>
    </row>
    <row r="18" spans="2:6" x14ac:dyDescent="0.2">
      <c r="B18" s="97"/>
      <c r="C18" s="97">
        <v>5</v>
      </c>
      <c r="D18" s="99" t="s">
        <v>261</v>
      </c>
      <c r="E18" s="97" t="s">
        <v>258</v>
      </c>
      <c r="F18" s="120"/>
    </row>
    <row r="19" spans="2:6" x14ac:dyDescent="0.2">
      <c r="B19" s="97"/>
      <c r="C19" s="97">
        <v>18</v>
      </c>
      <c r="D19" s="99" t="s">
        <v>261</v>
      </c>
      <c r="E19" s="97" t="s">
        <v>262</v>
      </c>
      <c r="F19" s="120"/>
    </row>
    <row r="20" spans="2:6" x14ac:dyDescent="0.2">
      <c r="B20" s="95" t="s">
        <v>263</v>
      </c>
      <c r="C20" s="96">
        <f>CEILING(C21*1.035,1)</f>
        <v>10</v>
      </c>
      <c r="D20" s="95" t="s">
        <v>264</v>
      </c>
      <c r="E20" s="95"/>
      <c r="F20" s="120"/>
    </row>
    <row r="21" spans="2:6" x14ac:dyDescent="0.2">
      <c r="B21" s="97"/>
      <c r="C21" s="98">
        <v>9</v>
      </c>
      <c r="D21" s="97" t="s">
        <v>264</v>
      </c>
      <c r="E21" s="97"/>
      <c r="F21" s="120"/>
    </row>
    <row r="22" spans="2:6" ht="14.1" x14ac:dyDescent="0.3">
      <c r="B22" s="95" t="s">
        <v>265</v>
      </c>
      <c r="C22" s="96">
        <f>CEILING(SUM(C23:C25)*1000/100/1000*1.035,1)</f>
        <v>3</v>
      </c>
      <c r="D22" s="95" t="s">
        <v>254</v>
      </c>
      <c r="E22" s="95"/>
      <c r="F22" s="97"/>
    </row>
    <row r="23" spans="2:6" x14ac:dyDescent="0.2">
      <c r="B23" s="97"/>
      <c r="C23" s="98">
        <v>73</v>
      </c>
      <c r="D23" s="99" t="s">
        <v>255</v>
      </c>
      <c r="E23" s="97" t="s">
        <v>256</v>
      </c>
      <c r="F23" s="119" t="s">
        <v>266</v>
      </c>
    </row>
    <row r="24" spans="2:6" x14ac:dyDescent="0.2">
      <c r="B24" s="97"/>
      <c r="C24" s="98">
        <v>157</v>
      </c>
      <c r="D24" s="99" t="s">
        <v>255</v>
      </c>
      <c r="E24" s="97" t="s">
        <v>258</v>
      </c>
      <c r="F24" s="120"/>
    </row>
    <row r="25" spans="2:6" x14ac:dyDescent="0.2">
      <c r="B25" s="97"/>
      <c r="C25" s="97"/>
      <c r="D25" s="97"/>
      <c r="E25" s="97"/>
      <c r="F25" s="120"/>
    </row>
    <row r="26" spans="2:6" x14ac:dyDescent="0.2">
      <c r="B26" s="95" t="s">
        <v>267</v>
      </c>
      <c r="C26" s="96">
        <f>CEILING(SUM(C27:C29)*1000*1.035,1)</f>
        <v>14490</v>
      </c>
      <c r="D26" s="95" t="s">
        <v>260</v>
      </c>
      <c r="E26" s="95"/>
      <c r="F26" s="120"/>
    </row>
    <row r="27" spans="2:6" x14ac:dyDescent="0.2">
      <c r="B27" s="97"/>
      <c r="C27" s="98">
        <v>5</v>
      </c>
      <c r="D27" s="99" t="s">
        <v>261</v>
      </c>
      <c r="E27" s="97" t="s">
        <v>256</v>
      </c>
      <c r="F27" s="120"/>
    </row>
    <row r="28" spans="2:6" x14ac:dyDescent="0.2">
      <c r="B28" s="97"/>
      <c r="C28" s="98">
        <v>5</v>
      </c>
      <c r="D28" s="99" t="s">
        <v>261</v>
      </c>
      <c r="E28" s="97" t="s">
        <v>258</v>
      </c>
      <c r="F28" s="120"/>
    </row>
    <row r="29" spans="2:6" x14ac:dyDescent="0.2">
      <c r="B29" s="97"/>
      <c r="C29" s="98">
        <v>4</v>
      </c>
      <c r="D29" s="99" t="s">
        <v>261</v>
      </c>
      <c r="E29" s="97" t="s">
        <v>262</v>
      </c>
      <c r="F29" s="120"/>
    </row>
    <row r="30" spans="2:6" x14ac:dyDescent="0.2">
      <c r="B30" s="97"/>
      <c r="C30" s="97"/>
      <c r="D30" s="97"/>
      <c r="E30" s="97"/>
      <c r="F30" s="120"/>
    </row>
    <row r="31" spans="2:6" ht="14.1" x14ac:dyDescent="0.3">
      <c r="C31" s="68"/>
      <c r="D31" s="69"/>
    </row>
    <row r="32" spans="2:6" ht="14.1" x14ac:dyDescent="0.3">
      <c r="C32" s="68"/>
      <c r="D32" s="69"/>
    </row>
    <row r="33" spans="2:4" x14ac:dyDescent="0.2">
      <c r="C33" s="68"/>
      <c r="D33" s="69"/>
    </row>
    <row r="34" spans="2:4" x14ac:dyDescent="0.2">
      <c r="C34" s="68"/>
      <c r="D34" s="69"/>
    </row>
    <row r="35" spans="2:4" x14ac:dyDescent="0.2">
      <c r="C35" s="68"/>
      <c r="D35" s="69"/>
    </row>
    <row r="36" spans="2:4" x14ac:dyDescent="0.2">
      <c r="D36" s="69"/>
    </row>
    <row r="37" spans="2:4" x14ac:dyDescent="0.2">
      <c r="C37" s="67"/>
      <c r="D37" s="69"/>
    </row>
    <row r="38" spans="2:4" x14ac:dyDescent="0.2">
      <c r="C38" s="68"/>
      <c r="D38" s="69"/>
    </row>
    <row r="39" spans="2:4" x14ac:dyDescent="0.2">
      <c r="C39" s="68"/>
      <c r="D39" s="69"/>
    </row>
    <row r="40" spans="2:4" x14ac:dyDescent="0.2">
      <c r="C40" s="68"/>
      <c r="D40" s="69"/>
    </row>
    <row r="41" spans="2:4" x14ac:dyDescent="0.2">
      <c r="C41" s="68"/>
      <c r="D41" s="69"/>
    </row>
    <row r="42" spans="2:4" x14ac:dyDescent="0.2">
      <c r="D42" s="64"/>
    </row>
    <row r="43" spans="2:4" x14ac:dyDescent="0.2">
      <c r="D43" s="64"/>
    </row>
    <row r="44" spans="2:4" x14ac:dyDescent="0.2">
      <c r="B44" s="66"/>
      <c r="D44" s="69"/>
    </row>
    <row r="45" spans="2:4" x14ac:dyDescent="0.2">
      <c r="C45" s="67"/>
      <c r="D45" s="69"/>
    </row>
    <row r="46" spans="2:4" x14ac:dyDescent="0.2">
      <c r="C46" s="68"/>
      <c r="D46" s="69"/>
    </row>
    <row r="47" spans="2:4" x14ac:dyDescent="0.2">
      <c r="C47" s="68"/>
      <c r="D47" s="69"/>
    </row>
    <row r="48" spans="2:4" x14ac:dyDescent="0.2">
      <c r="C48" s="68"/>
      <c r="D48" s="69"/>
    </row>
    <row r="49" spans="3:4" x14ac:dyDescent="0.2">
      <c r="C49" s="68"/>
      <c r="D49" s="69"/>
    </row>
    <row r="50" spans="3:4" x14ac:dyDescent="0.2">
      <c r="C50" s="68"/>
      <c r="D50" s="69"/>
    </row>
    <row r="51" spans="3:4" x14ac:dyDescent="0.2">
      <c r="C51" s="68"/>
      <c r="D51" s="69"/>
    </row>
    <row r="52" spans="3:4" x14ac:dyDescent="0.2">
      <c r="C52" s="68"/>
      <c r="D52" s="69"/>
    </row>
    <row r="53" spans="3:4" x14ac:dyDescent="0.2">
      <c r="C53" s="68"/>
      <c r="D53" s="69"/>
    </row>
    <row r="54" spans="3:4" x14ac:dyDescent="0.2">
      <c r="C54" s="68"/>
      <c r="D54" s="69"/>
    </row>
    <row r="55" spans="3:4" x14ac:dyDescent="0.2">
      <c r="C55" s="67"/>
      <c r="D55" s="69"/>
    </row>
    <row r="56" spans="3:4" x14ac:dyDescent="0.2">
      <c r="C56" s="68"/>
      <c r="D56" s="69"/>
    </row>
    <row r="57" spans="3:4" x14ac:dyDescent="0.2">
      <c r="C57" s="68"/>
      <c r="D57" s="69"/>
    </row>
    <row r="58" spans="3:4" x14ac:dyDescent="0.2">
      <c r="C58" s="68"/>
      <c r="D58" s="69"/>
    </row>
    <row r="59" spans="3:4" x14ac:dyDescent="0.2">
      <c r="C59" s="68"/>
      <c r="D59" s="69"/>
    </row>
    <row r="60" spans="3:4" x14ac:dyDescent="0.2">
      <c r="C60" s="68"/>
      <c r="D60" s="69"/>
    </row>
    <row r="61" spans="3:4" x14ac:dyDescent="0.2">
      <c r="C61" s="68"/>
      <c r="D61" s="69"/>
    </row>
    <row r="62" spans="3:4" x14ac:dyDescent="0.2">
      <c r="D62" s="69"/>
    </row>
    <row r="63" spans="3:4" x14ac:dyDescent="0.2">
      <c r="C63" s="67"/>
      <c r="D63" s="69"/>
    </row>
    <row r="64" spans="3:4" x14ac:dyDescent="0.2">
      <c r="C64" s="68"/>
      <c r="D64" s="69"/>
    </row>
    <row r="65" spans="2:4" x14ac:dyDescent="0.2">
      <c r="C65" s="68"/>
      <c r="D65" s="69"/>
    </row>
    <row r="66" spans="2:4" x14ac:dyDescent="0.2">
      <c r="C66" s="68"/>
      <c r="D66" s="69"/>
    </row>
    <row r="67" spans="2:4" x14ac:dyDescent="0.2">
      <c r="C67" s="68"/>
      <c r="D67" s="69"/>
    </row>
    <row r="68" spans="2:4" x14ac:dyDescent="0.2">
      <c r="C68" s="68"/>
      <c r="D68" s="69"/>
    </row>
    <row r="69" spans="2:4" x14ac:dyDescent="0.2">
      <c r="C69" s="68"/>
      <c r="D69" s="69"/>
    </row>
    <row r="70" spans="2:4" x14ac:dyDescent="0.2">
      <c r="D70" s="64"/>
    </row>
    <row r="71" spans="2:4" x14ac:dyDescent="0.2">
      <c r="D71" s="64"/>
    </row>
    <row r="72" spans="2:4" x14ac:dyDescent="0.2">
      <c r="B72" s="66"/>
      <c r="D72" s="69"/>
    </row>
    <row r="73" spans="2:4" x14ac:dyDescent="0.2">
      <c r="C73" s="67"/>
      <c r="D73" s="69"/>
    </row>
    <row r="74" spans="2:4" x14ac:dyDescent="0.2">
      <c r="C74" s="68"/>
      <c r="D74" s="69"/>
    </row>
    <row r="75" spans="2:4" x14ac:dyDescent="0.2">
      <c r="C75" s="68"/>
      <c r="D75" s="69"/>
    </row>
    <row r="76" spans="2:4" x14ac:dyDescent="0.2">
      <c r="C76" s="68"/>
      <c r="D76" s="69"/>
    </row>
    <row r="77" spans="2:4" x14ac:dyDescent="0.2">
      <c r="C77" s="68"/>
      <c r="D77" s="69"/>
    </row>
    <row r="78" spans="2:4" x14ac:dyDescent="0.2">
      <c r="C78" s="68"/>
      <c r="D78" s="69"/>
    </row>
    <row r="79" spans="2:4" x14ac:dyDescent="0.2">
      <c r="C79" s="68"/>
      <c r="D79" s="69"/>
    </row>
    <row r="80" spans="2:4" x14ac:dyDescent="0.2">
      <c r="C80" s="68"/>
      <c r="D80" s="69"/>
    </row>
    <row r="81" spans="3:4" x14ac:dyDescent="0.2">
      <c r="C81" s="68"/>
      <c r="D81" s="69"/>
    </row>
    <row r="82" spans="3:4" x14ac:dyDescent="0.2">
      <c r="D82" s="69"/>
    </row>
    <row r="83" spans="3:4" x14ac:dyDescent="0.2">
      <c r="C83" s="67"/>
      <c r="D83" s="69"/>
    </row>
    <row r="84" spans="3:4" x14ac:dyDescent="0.2">
      <c r="C84" s="68"/>
      <c r="D84" s="69"/>
    </row>
    <row r="85" spans="3:4" x14ac:dyDescent="0.2">
      <c r="C85" s="68"/>
      <c r="D85" s="69"/>
    </row>
    <row r="86" spans="3:4" x14ac:dyDescent="0.2">
      <c r="C86" s="68"/>
      <c r="D86" s="69"/>
    </row>
    <row r="87" spans="3:4" x14ac:dyDescent="0.2">
      <c r="C87" s="68"/>
      <c r="D87" s="69"/>
    </row>
    <row r="88" spans="3:4" x14ac:dyDescent="0.2">
      <c r="C88" s="68"/>
      <c r="D88" s="69"/>
    </row>
    <row r="89" spans="3:4" x14ac:dyDescent="0.2">
      <c r="C89" s="68"/>
      <c r="D89" s="69"/>
    </row>
    <row r="90" spans="3:4" x14ac:dyDescent="0.2">
      <c r="D90" s="69"/>
    </row>
    <row r="91" spans="3:4" x14ac:dyDescent="0.2">
      <c r="C91" s="67"/>
      <c r="D91" s="69"/>
    </row>
    <row r="92" spans="3:4" x14ac:dyDescent="0.2">
      <c r="C92" s="68"/>
      <c r="D92" s="69"/>
    </row>
    <row r="93" spans="3:4" x14ac:dyDescent="0.2">
      <c r="C93" s="68"/>
      <c r="D93" s="69"/>
    </row>
    <row r="94" spans="3:4" x14ac:dyDescent="0.2">
      <c r="C94" s="68"/>
      <c r="D94" s="69"/>
    </row>
    <row r="95" spans="3:4" x14ac:dyDescent="0.2">
      <c r="C95" s="68"/>
      <c r="D95" s="69"/>
    </row>
    <row r="96" spans="3:4" x14ac:dyDescent="0.2">
      <c r="C96" s="68"/>
      <c r="D96" s="69"/>
    </row>
    <row r="97" spans="3:4" x14ac:dyDescent="0.2">
      <c r="C97" s="68"/>
      <c r="D97" s="69"/>
    </row>
  </sheetData>
  <sheetProtection algorithmName="SHA-512" hashValue="XPTEHHAniLmq/u0ahYAuaAgPKwi/0M6f7FYOF26qqyrdfG05PufCSpWclrSeTuMFvntEtXfm6Kb8m/IaoMaRRw==" saltValue="53cxyGcusC42SYcO7bwD7A==" spinCount="100000" sheet="1" objects="1" scenarios="1"/>
  <mergeCells count="2">
    <mergeCell ref="F13:F21"/>
    <mergeCell ref="F23:F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98"/>
  <sheetViews>
    <sheetView showGridLines="0" view="pageBreakPreview" zoomScaleNormal="100" zoomScaleSheetLayoutView="100" workbookViewId="0"/>
  </sheetViews>
  <sheetFormatPr defaultColWidth="8.7109375" defaultRowHeight="14.25" x14ac:dyDescent="0.2"/>
  <cols>
    <col min="1" max="3" width="8.7109375" style="62"/>
    <col min="4" max="4" width="101.42578125" style="62" customWidth="1"/>
    <col min="5" max="16384" width="8.7109375" style="62"/>
  </cols>
  <sheetData>
    <row r="7" spans="2:4" ht="20.45" x14ac:dyDescent="0.45">
      <c r="B7" s="65" t="s">
        <v>186</v>
      </c>
    </row>
    <row r="9" spans="2:4" ht="14.1" x14ac:dyDescent="0.3">
      <c r="B9" s="66" t="s">
        <v>45</v>
      </c>
      <c r="C9" s="101"/>
      <c r="D9" s="101"/>
    </row>
    <row r="10" spans="2:4" ht="14.1" x14ac:dyDescent="0.3">
      <c r="C10" s="102" t="s">
        <v>187</v>
      </c>
      <c r="D10" s="101"/>
    </row>
    <row r="11" spans="2:4" ht="14.1" x14ac:dyDescent="0.3">
      <c r="C11" s="103" t="s">
        <v>44</v>
      </c>
      <c r="D11" s="104" t="s">
        <v>167</v>
      </c>
    </row>
    <row r="12" spans="2:4" ht="27.95" x14ac:dyDescent="0.3">
      <c r="C12" s="101"/>
      <c r="D12" s="104" t="s">
        <v>168</v>
      </c>
    </row>
    <row r="13" spans="2:4" ht="27.95" x14ac:dyDescent="0.3">
      <c r="C13" s="101"/>
      <c r="D13" s="104" t="s">
        <v>169</v>
      </c>
    </row>
    <row r="14" spans="2:4" ht="14.1" x14ac:dyDescent="0.3">
      <c r="C14" s="105" t="s">
        <v>46</v>
      </c>
      <c r="D14" s="104" t="s">
        <v>268</v>
      </c>
    </row>
    <row r="15" spans="2:4" ht="14.1" x14ac:dyDescent="0.3">
      <c r="C15" s="101"/>
      <c r="D15" s="104"/>
    </row>
    <row r="16" spans="2:4" ht="14.1" x14ac:dyDescent="0.3">
      <c r="C16" s="101"/>
      <c r="D16" s="104"/>
    </row>
    <row r="17" spans="2:4" ht="14.1" x14ac:dyDescent="0.3">
      <c r="B17" s="66" t="s">
        <v>151</v>
      </c>
      <c r="C17" s="101"/>
      <c r="D17" s="104"/>
    </row>
    <row r="18" spans="2:4" ht="14.1" x14ac:dyDescent="0.3">
      <c r="C18" s="102" t="s">
        <v>54</v>
      </c>
      <c r="D18" s="104"/>
    </row>
    <row r="19" spans="2:4" ht="14.1" x14ac:dyDescent="0.3">
      <c r="C19" s="103" t="s">
        <v>44</v>
      </c>
      <c r="D19" s="104" t="s">
        <v>52</v>
      </c>
    </row>
    <row r="20" spans="2:4" ht="14.1" x14ac:dyDescent="0.3">
      <c r="C20" s="103"/>
      <c r="D20" s="106" t="s">
        <v>53</v>
      </c>
    </row>
    <row r="21" spans="2:4" ht="14.1" x14ac:dyDescent="0.3">
      <c r="C21" s="103"/>
      <c r="D21" s="106" t="s">
        <v>107</v>
      </c>
    </row>
    <row r="22" spans="2:4" ht="14.1" x14ac:dyDescent="0.3">
      <c r="C22" s="103"/>
      <c r="D22" s="106" t="s">
        <v>108</v>
      </c>
    </row>
    <row r="23" spans="2:4" ht="14.1" x14ac:dyDescent="0.3">
      <c r="C23" s="103"/>
      <c r="D23" s="106" t="s">
        <v>137</v>
      </c>
    </row>
    <row r="24" spans="2:4" ht="14.1" x14ac:dyDescent="0.3">
      <c r="C24" s="103"/>
      <c r="D24" s="106" t="s">
        <v>133</v>
      </c>
    </row>
    <row r="25" spans="2:4" ht="14.1" x14ac:dyDescent="0.3">
      <c r="C25" s="103" t="s">
        <v>46</v>
      </c>
      <c r="D25" s="106" t="s">
        <v>111</v>
      </c>
    </row>
    <row r="26" spans="2:4" ht="14.1" x14ac:dyDescent="0.3">
      <c r="C26" s="103" t="s">
        <v>47</v>
      </c>
      <c r="D26" s="106" t="s">
        <v>134</v>
      </c>
    </row>
    <row r="27" spans="2:4" ht="27.95" x14ac:dyDescent="0.3">
      <c r="C27" s="103" t="s">
        <v>49</v>
      </c>
      <c r="D27" s="106" t="s">
        <v>269</v>
      </c>
    </row>
    <row r="28" spans="2:4" ht="14.1" x14ac:dyDescent="0.3">
      <c r="C28" s="103"/>
      <c r="D28" s="106"/>
    </row>
    <row r="29" spans="2:4" ht="14.1" x14ac:dyDescent="0.3">
      <c r="C29" s="102" t="s">
        <v>136</v>
      </c>
      <c r="D29" s="106"/>
    </row>
    <row r="30" spans="2:4" x14ac:dyDescent="0.2">
      <c r="C30" s="103" t="s">
        <v>44</v>
      </c>
      <c r="D30" s="106" t="s">
        <v>138</v>
      </c>
    </row>
    <row r="31" spans="2:4" ht="28.5" x14ac:dyDescent="0.2">
      <c r="C31" s="103" t="s">
        <v>46</v>
      </c>
      <c r="D31" s="106" t="s">
        <v>139</v>
      </c>
    </row>
    <row r="32" spans="2:4" ht="28.5" x14ac:dyDescent="0.2">
      <c r="C32" s="103" t="s">
        <v>47</v>
      </c>
      <c r="D32" s="106" t="s">
        <v>188</v>
      </c>
    </row>
    <row r="33" spans="2:4" ht="28.5" x14ac:dyDescent="0.2">
      <c r="C33" s="103" t="s">
        <v>49</v>
      </c>
      <c r="D33" s="106" t="s">
        <v>48</v>
      </c>
    </row>
    <row r="34" spans="2:4" ht="28.5" x14ac:dyDescent="0.2">
      <c r="C34" s="103" t="s">
        <v>50</v>
      </c>
      <c r="D34" s="106" t="s">
        <v>140</v>
      </c>
    </row>
    <row r="35" spans="2:4" x14ac:dyDescent="0.2">
      <c r="C35" s="103" t="s">
        <v>51</v>
      </c>
      <c r="D35" s="106" t="s">
        <v>55</v>
      </c>
    </row>
    <row r="36" spans="2:4" x14ac:dyDescent="0.2">
      <c r="C36" s="103"/>
      <c r="D36" s="106"/>
    </row>
    <row r="37" spans="2:4" x14ac:dyDescent="0.2">
      <c r="C37" s="101"/>
      <c r="D37" s="106"/>
    </row>
    <row r="38" spans="2:4" x14ac:dyDescent="0.2">
      <c r="C38" s="102" t="s">
        <v>147</v>
      </c>
      <c r="D38" s="106"/>
    </row>
    <row r="39" spans="2:4" x14ac:dyDescent="0.2">
      <c r="C39" s="103" t="s">
        <v>44</v>
      </c>
      <c r="D39" s="106" t="s">
        <v>56</v>
      </c>
    </row>
    <row r="40" spans="2:4" x14ac:dyDescent="0.2">
      <c r="C40" s="103" t="s">
        <v>46</v>
      </c>
      <c r="D40" s="106" t="s">
        <v>141</v>
      </c>
    </row>
    <row r="41" spans="2:4" x14ac:dyDescent="0.2">
      <c r="C41" s="103" t="s">
        <v>47</v>
      </c>
      <c r="D41" s="106" t="s">
        <v>57</v>
      </c>
    </row>
    <row r="42" spans="2:4" x14ac:dyDescent="0.2">
      <c r="C42" s="103" t="s">
        <v>49</v>
      </c>
      <c r="D42" s="106" t="s">
        <v>142</v>
      </c>
    </row>
    <row r="43" spans="2:4" x14ac:dyDescent="0.2">
      <c r="C43" s="101"/>
      <c r="D43" s="104"/>
    </row>
    <row r="44" spans="2:4" x14ac:dyDescent="0.2">
      <c r="C44" s="101"/>
      <c r="D44" s="104"/>
    </row>
    <row r="45" spans="2:4" x14ac:dyDescent="0.2">
      <c r="B45" s="66" t="s">
        <v>152</v>
      </c>
      <c r="C45" s="101"/>
      <c r="D45" s="106"/>
    </row>
    <row r="46" spans="2:4" x14ac:dyDescent="0.2">
      <c r="C46" s="102" t="s">
        <v>54</v>
      </c>
      <c r="D46" s="106"/>
    </row>
    <row r="47" spans="2:4" x14ac:dyDescent="0.2">
      <c r="C47" s="103" t="s">
        <v>44</v>
      </c>
      <c r="D47" s="106" t="s">
        <v>52</v>
      </c>
    </row>
    <row r="48" spans="2:4" x14ac:dyDescent="0.2">
      <c r="C48" s="103"/>
      <c r="D48" s="106" t="s">
        <v>177</v>
      </c>
    </row>
    <row r="49" spans="3:4" x14ac:dyDescent="0.2">
      <c r="C49" s="103"/>
      <c r="D49" s="106" t="s">
        <v>143</v>
      </c>
    </row>
    <row r="50" spans="3:4" x14ac:dyDescent="0.2">
      <c r="C50" s="103"/>
      <c r="D50" s="106" t="s">
        <v>149</v>
      </c>
    </row>
    <row r="51" spans="3:4" x14ac:dyDescent="0.2">
      <c r="C51" s="103"/>
      <c r="D51" s="106" t="s">
        <v>163</v>
      </c>
    </row>
    <row r="52" spans="3:4" x14ac:dyDescent="0.2">
      <c r="C52" s="103"/>
      <c r="D52" s="106" t="s">
        <v>189</v>
      </c>
    </row>
    <row r="53" spans="3:4" x14ac:dyDescent="0.2">
      <c r="C53" s="103" t="s">
        <v>46</v>
      </c>
      <c r="D53" s="106" t="s">
        <v>109</v>
      </c>
    </row>
    <row r="54" spans="3:4" ht="28.5" x14ac:dyDescent="0.2">
      <c r="C54" s="103" t="s">
        <v>47</v>
      </c>
      <c r="D54" s="106" t="s">
        <v>269</v>
      </c>
    </row>
    <row r="55" spans="3:4" x14ac:dyDescent="0.2">
      <c r="C55" s="103"/>
      <c r="D55" s="106"/>
    </row>
    <row r="56" spans="3:4" x14ac:dyDescent="0.2">
      <c r="C56" s="102" t="s">
        <v>136</v>
      </c>
      <c r="D56" s="106"/>
    </row>
    <row r="57" spans="3:4" x14ac:dyDescent="0.2">
      <c r="C57" s="103" t="s">
        <v>44</v>
      </c>
      <c r="D57" s="106" t="s">
        <v>138</v>
      </c>
    </row>
    <row r="58" spans="3:4" x14ac:dyDescent="0.2">
      <c r="C58" s="103" t="s">
        <v>46</v>
      </c>
      <c r="D58" s="106" t="s">
        <v>190</v>
      </c>
    </row>
    <row r="59" spans="3:4" ht="28.5" x14ac:dyDescent="0.2">
      <c r="C59" s="103" t="s">
        <v>47</v>
      </c>
      <c r="D59" s="106" t="s">
        <v>188</v>
      </c>
    </row>
    <row r="60" spans="3:4" ht="28.5" x14ac:dyDescent="0.2">
      <c r="C60" s="103" t="s">
        <v>49</v>
      </c>
      <c r="D60" s="106" t="s">
        <v>110</v>
      </c>
    </row>
    <row r="61" spans="3:4" x14ac:dyDescent="0.2">
      <c r="C61" s="103" t="s">
        <v>50</v>
      </c>
      <c r="D61" s="106" t="s">
        <v>144</v>
      </c>
    </row>
    <row r="62" spans="3:4" x14ac:dyDescent="0.2">
      <c r="C62" s="103" t="s">
        <v>51</v>
      </c>
      <c r="D62" s="106" t="s">
        <v>55</v>
      </c>
    </row>
    <row r="63" spans="3:4" x14ac:dyDescent="0.2">
      <c r="C63" s="101"/>
      <c r="D63" s="106"/>
    </row>
    <row r="64" spans="3:4" x14ac:dyDescent="0.2">
      <c r="C64" s="102" t="s">
        <v>147</v>
      </c>
      <c r="D64" s="106"/>
    </row>
    <row r="65" spans="2:4" x14ac:dyDescent="0.2">
      <c r="C65" s="103" t="s">
        <v>44</v>
      </c>
      <c r="D65" s="106" t="s">
        <v>56</v>
      </c>
    </row>
    <row r="66" spans="2:4" x14ac:dyDescent="0.2">
      <c r="C66" s="103" t="s">
        <v>46</v>
      </c>
      <c r="D66" s="106" t="s">
        <v>145</v>
      </c>
    </row>
    <row r="67" spans="2:4" x14ac:dyDescent="0.2">
      <c r="C67" s="103" t="s">
        <v>47</v>
      </c>
      <c r="D67" s="106" t="s">
        <v>57</v>
      </c>
    </row>
    <row r="68" spans="2:4" x14ac:dyDescent="0.2">
      <c r="C68" s="103" t="s">
        <v>49</v>
      </c>
      <c r="D68" s="106" t="s">
        <v>146</v>
      </c>
    </row>
    <row r="69" spans="2:4" x14ac:dyDescent="0.2">
      <c r="C69" s="103" t="s">
        <v>50</v>
      </c>
      <c r="D69" s="106" t="s">
        <v>191</v>
      </c>
    </row>
    <row r="70" spans="2:4" ht="28.5" x14ac:dyDescent="0.2">
      <c r="C70" s="103" t="s">
        <v>51</v>
      </c>
      <c r="D70" s="106" t="s">
        <v>192</v>
      </c>
    </row>
    <row r="71" spans="2:4" x14ac:dyDescent="0.2">
      <c r="C71" s="101"/>
      <c r="D71" s="104"/>
    </row>
    <row r="72" spans="2:4" x14ac:dyDescent="0.2">
      <c r="C72" s="101"/>
      <c r="D72" s="104"/>
    </row>
    <row r="73" spans="2:4" x14ac:dyDescent="0.2">
      <c r="B73" s="66" t="s">
        <v>153</v>
      </c>
      <c r="C73" s="101"/>
      <c r="D73" s="106"/>
    </row>
    <row r="74" spans="2:4" x14ac:dyDescent="0.2">
      <c r="C74" s="102" t="s">
        <v>54</v>
      </c>
      <c r="D74" s="106"/>
    </row>
    <row r="75" spans="2:4" x14ac:dyDescent="0.2">
      <c r="C75" s="103" t="s">
        <v>44</v>
      </c>
      <c r="D75" s="106" t="s">
        <v>52</v>
      </c>
    </row>
    <row r="76" spans="2:4" x14ac:dyDescent="0.2">
      <c r="C76" s="103"/>
      <c r="D76" s="106" t="s">
        <v>178</v>
      </c>
    </row>
    <row r="77" spans="2:4" x14ac:dyDescent="0.2">
      <c r="C77" s="103"/>
      <c r="D77" s="106" t="s">
        <v>148</v>
      </c>
    </row>
    <row r="78" spans="2:4" x14ac:dyDescent="0.2">
      <c r="C78" s="103"/>
      <c r="D78" s="106" t="s">
        <v>149</v>
      </c>
    </row>
    <row r="79" spans="2:4" x14ac:dyDescent="0.2">
      <c r="C79" s="103"/>
      <c r="D79" s="106" t="s">
        <v>179</v>
      </c>
    </row>
    <row r="80" spans="2:4" x14ac:dyDescent="0.2">
      <c r="C80" s="103"/>
      <c r="D80" s="106" t="s">
        <v>270</v>
      </c>
    </row>
    <row r="81" spans="3:4" x14ac:dyDescent="0.2">
      <c r="C81" s="103" t="s">
        <v>46</v>
      </c>
      <c r="D81" s="106" t="s">
        <v>109</v>
      </c>
    </row>
    <row r="82" spans="3:4" ht="28.5" x14ac:dyDescent="0.2">
      <c r="C82" s="103" t="s">
        <v>47</v>
      </c>
      <c r="D82" s="106" t="s">
        <v>135</v>
      </c>
    </row>
    <row r="83" spans="3:4" x14ac:dyDescent="0.2">
      <c r="C83" s="101"/>
      <c r="D83" s="106"/>
    </row>
    <row r="84" spans="3:4" x14ac:dyDescent="0.2">
      <c r="C84" s="102" t="s">
        <v>136</v>
      </c>
      <c r="D84" s="106"/>
    </row>
    <row r="85" spans="3:4" x14ac:dyDescent="0.2">
      <c r="C85" s="103" t="s">
        <v>44</v>
      </c>
      <c r="D85" s="106" t="s">
        <v>164</v>
      </c>
    </row>
    <row r="86" spans="3:4" x14ac:dyDescent="0.2">
      <c r="C86" s="103" t="s">
        <v>46</v>
      </c>
      <c r="D86" s="106" t="s">
        <v>193</v>
      </c>
    </row>
    <row r="87" spans="3:4" ht="28.5" x14ac:dyDescent="0.2">
      <c r="C87" s="103" t="s">
        <v>47</v>
      </c>
      <c r="D87" s="106" t="s">
        <v>194</v>
      </c>
    </row>
    <row r="88" spans="3:4" ht="28.5" x14ac:dyDescent="0.2">
      <c r="C88" s="103" t="s">
        <v>49</v>
      </c>
      <c r="D88" s="106" t="s">
        <v>110</v>
      </c>
    </row>
    <row r="89" spans="3:4" x14ac:dyDescent="0.2">
      <c r="C89" s="103" t="s">
        <v>50</v>
      </c>
      <c r="D89" s="106" t="s">
        <v>144</v>
      </c>
    </row>
    <row r="90" spans="3:4" x14ac:dyDescent="0.2">
      <c r="C90" s="103" t="s">
        <v>51</v>
      </c>
      <c r="D90" s="106" t="s">
        <v>55</v>
      </c>
    </row>
    <row r="91" spans="3:4" x14ac:dyDescent="0.2">
      <c r="C91" s="101"/>
      <c r="D91" s="106"/>
    </row>
    <row r="92" spans="3:4" x14ac:dyDescent="0.2">
      <c r="C92" s="102" t="s">
        <v>147</v>
      </c>
      <c r="D92" s="106"/>
    </row>
    <row r="93" spans="3:4" x14ac:dyDescent="0.2">
      <c r="C93" s="103" t="s">
        <v>44</v>
      </c>
      <c r="D93" s="106" t="s">
        <v>165</v>
      </c>
    </row>
    <row r="94" spans="3:4" x14ac:dyDescent="0.2">
      <c r="C94" s="103" t="s">
        <v>46</v>
      </c>
      <c r="D94" s="106" t="s">
        <v>145</v>
      </c>
    </row>
    <row r="95" spans="3:4" x14ac:dyDescent="0.2">
      <c r="C95" s="103" t="s">
        <v>47</v>
      </c>
      <c r="D95" s="106" t="s">
        <v>57</v>
      </c>
    </row>
    <row r="96" spans="3:4" x14ac:dyDescent="0.2">
      <c r="C96" s="103" t="s">
        <v>49</v>
      </c>
      <c r="D96" s="106" t="s">
        <v>180</v>
      </c>
    </row>
    <row r="97" spans="3:4" x14ac:dyDescent="0.2">
      <c r="C97" s="103" t="s">
        <v>50</v>
      </c>
      <c r="D97" s="106" t="s">
        <v>191</v>
      </c>
    </row>
    <row r="98" spans="3:4" ht="28.5" x14ac:dyDescent="0.2">
      <c r="C98" s="103" t="s">
        <v>51</v>
      </c>
      <c r="D98" s="106" t="s">
        <v>166</v>
      </c>
    </row>
  </sheetData>
  <sheetProtection algorithmName="SHA-512" hashValue="95I2KPSHvzaIMxEXrJL2QYtppr7dll/ZAO//gHx107xEvLMLvRkjiI2QB0m2w7vKTtzngqYduZ6QNMTc7Peq1g==" saltValue="WckeLJ26EVTWLebkuu7Upw==" spinCount="100000" sheet="1" objects="1" scenarios="1"/>
  <pageMargins left="0.7" right="0.7" top="0.75" bottom="0.75" header="0.3" footer="0.3"/>
  <pageSetup paperSize="9" scale="65" orientation="portrait" r:id="rId1"/>
  <rowBreaks count="1" manualBreakCount="1">
    <brk id="7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83"/>
  <sheetViews>
    <sheetView showGridLines="0" workbookViewId="0"/>
  </sheetViews>
  <sheetFormatPr defaultColWidth="8.7109375" defaultRowHeight="14.25" x14ac:dyDescent="0.2"/>
  <cols>
    <col min="1" max="3" width="8.7109375" style="62"/>
    <col min="4" max="4" width="101.42578125" style="62" customWidth="1"/>
    <col min="5" max="16384" width="8.7109375" style="62"/>
  </cols>
  <sheetData>
    <row r="7" spans="2:4" ht="20.45" x14ac:dyDescent="0.45">
      <c r="B7" s="65" t="s">
        <v>195</v>
      </c>
    </row>
    <row r="9" spans="2:4" ht="14.1" x14ac:dyDescent="0.3">
      <c r="D9" s="64"/>
    </row>
    <row r="10" spans="2:4" ht="14.1" x14ac:dyDescent="0.3">
      <c r="B10" s="66" t="s">
        <v>151</v>
      </c>
      <c r="D10" s="64"/>
    </row>
    <row r="11" spans="2:4" ht="14.1" x14ac:dyDescent="0.3">
      <c r="C11" s="67"/>
      <c r="D11" s="64"/>
    </row>
    <row r="12" spans="2:4" ht="14.1" x14ac:dyDescent="0.3">
      <c r="C12" s="68"/>
      <c r="D12" s="64"/>
    </row>
    <row r="13" spans="2:4" ht="14.1" x14ac:dyDescent="0.3">
      <c r="C13" s="68"/>
      <c r="D13" s="69"/>
    </row>
    <row r="14" spans="2:4" ht="14.1" x14ac:dyDescent="0.3">
      <c r="C14" s="68"/>
      <c r="D14" s="69"/>
    </row>
    <row r="15" spans="2:4" ht="14.1" x14ac:dyDescent="0.3">
      <c r="C15" s="68"/>
      <c r="D15" s="69"/>
    </row>
    <row r="16" spans="2:4" ht="14.1" x14ac:dyDescent="0.3">
      <c r="C16" s="68"/>
      <c r="D16" s="69"/>
    </row>
    <row r="17" spans="2:4" ht="14.1" x14ac:dyDescent="0.3">
      <c r="C17" s="68"/>
      <c r="D17" s="69"/>
    </row>
    <row r="18" spans="2:4" ht="14.1" x14ac:dyDescent="0.3">
      <c r="C18" s="68"/>
      <c r="D18" s="69"/>
    </row>
    <row r="19" spans="2:4" ht="14.1" x14ac:dyDescent="0.3">
      <c r="C19" s="68"/>
      <c r="D19" s="69"/>
    </row>
    <row r="20" spans="2:4" ht="14.1" x14ac:dyDescent="0.3">
      <c r="C20" s="68"/>
      <c r="D20" s="69"/>
    </row>
    <row r="21" spans="2:4" ht="14.1" x14ac:dyDescent="0.3">
      <c r="C21" s="68"/>
      <c r="D21" s="69"/>
    </row>
    <row r="22" spans="2:4" ht="14.1" x14ac:dyDescent="0.3">
      <c r="C22" s="67"/>
      <c r="D22" s="69"/>
    </row>
    <row r="23" spans="2:4" ht="14.1" x14ac:dyDescent="0.3">
      <c r="C23" s="68"/>
      <c r="D23" s="69"/>
    </row>
    <row r="24" spans="2:4" ht="14.1" x14ac:dyDescent="0.3">
      <c r="C24" s="68"/>
      <c r="D24" s="69"/>
    </row>
    <row r="25" spans="2:4" ht="14.1" x14ac:dyDescent="0.3">
      <c r="C25" s="68"/>
      <c r="D25" s="69"/>
    </row>
    <row r="26" spans="2:4" ht="14.1" x14ac:dyDescent="0.3">
      <c r="C26" s="68"/>
      <c r="D26" s="69"/>
    </row>
    <row r="27" spans="2:4" ht="14.1" x14ac:dyDescent="0.3">
      <c r="C27" s="68"/>
      <c r="D27" s="69"/>
    </row>
    <row r="28" spans="2:4" ht="14.1" x14ac:dyDescent="0.3">
      <c r="C28" s="68"/>
      <c r="D28" s="69"/>
    </row>
    <row r="29" spans="2:4" ht="14.1" x14ac:dyDescent="0.3">
      <c r="C29" s="68"/>
      <c r="D29" s="69"/>
    </row>
    <row r="30" spans="2:4" ht="14.1" x14ac:dyDescent="0.3">
      <c r="D30" s="69"/>
    </row>
    <row r="31" spans="2:4" ht="14.1" x14ac:dyDescent="0.3">
      <c r="D31" s="64"/>
    </row>
    <row r="32" spans="2:4" ht="14.1" x14ac:dyDescent="0.3">
      <c r="B32" s="66" t="s">
        <v>152</v>
      </c>
      <c r="D32" s="69"/>
    </row>
    <row r="33" spans="3:4" x14ac:dyDescent="0.2">
      <c r="C33" s="67"/>
      <c r="D33" s="69"/>
    </row>
    <row r="34" spans="3:4" x14ac:dyDescent="0.2">
      <c r="C34" s="68"/>
      <c r="D34" s="69"/>
    </row>
    <row r="35" spans="3:4" x14ac:dyDescent="0.2">
      <c r="C35" s="68"/>
      <c r="D35" s="69"/>
    </row>
    <row r="36" spans="3:4" x14ac:dyDescent="0.2">
      <c r="C36" s="68"/>
      <c r="D36" s="69"/>
    </row>
    <row r="37" spans="3:4" x14ac:dyDescent="0.2">
      <c r="C37" s="68"/>
      <c r="D37" s="69"/>
    </row>
    <row r="38" spans="3:4" x14ac:dyDescent="0.2">
      <c r="C38" s="68"/>
      <c r="D38" s="69"/>
    </row>
    <row r="39" spans="3:4" x14ac:dyDescent="0.2">
      <c r="C39" s="68"/>
      <c r="D39" s="69"/>
    </row>
    <row r="40" spans="3:4" x14ac:dyDescent="0.2">
      <c r="C40" s="68"/>
      <c r="D40" s="69"/>
    </row>
    <row r="41" spans="3:4" x14ac:dyDescent="0.2">
      <c r="C41" s="68"/>
      <c r="D41" s="69"/>
    </row>
    <row r="42" spans="3:4" x14ac:dyDescent="0.2">
      <c r="C42" s="68"/>
      <c r="D42" s="69"/>
    </row>
    <row r="43" spans="3:4" x14ac:dyDescent="0.2">
      <c r="C43" s="67"/>
      <c r="D43" s="69"/>
    </row>
    <row r="44" spans="3:4" x14ac:dyDescent="0.2">
      <c r="C44" s="68"/>
      <c r="D44" s="69"/>
    </row>
    <row r="45" spans="3:4" x14ac:dyDescent="0.2">
      <c r="C45" s="68"/>
      <c r="D45" s="69"/>
    </row>
    <row r="46" spans="3:4" x14ac:dyDescent="0.2">
      <c r="C46" s="68"/>
      <c r="D46" s="69"/>
    </row>
    <row r="47" spans="3:4" x14ac:dyDescent="0.2">
      <c r="C47" s="68"/>
      <c r="D47" s="69"/>
    </row>
    <row r="48" spans="3:4" x14ac:dyDescent="0.2">
      <c r="C48" s="68"/>
      <c r="D48" s="69"/>
    </row>
    <row r="49" spans="2:4" x14ac:dyDescent="0.2">
      <c r="C49" s="68"/>
      <c r="D49" s="69"/>
    </row>
    <row r="50" spans="2:4" x14ac:dyDescent="0.2">
      <c r="D50" s="69"/>
    </row>
    <row r="51" spans="2:4" x14ac:dyDescent="0.2">
      <c r="C51" s="67"/>
      <c r="D51" s="69"/>
    </row>
    <row r="52" spans="2:4" x14ac:dyDescent="0.2">
      <c r="C52" s="68"/>
      <c r="D52" s="69"/>
    </row>
    <row r="53" spans="2:4" x14ac:dyDescent="0.2">
      <c r="C53" s="68"/>
      <c r="D53" s="69"/>
    </row>
    <row r="54" spans="2:4" x14ac:dyDescent="0.2">
      <c r="C54" s="68"/>
      <c r="D54" s="69"/>
    </row>
    <row r="55" spans="2:4" x14ac:dyDescent="0.2">
      <c r="C55" s="68"/>
      <c r="D55" s="69"/>
    </row>
    <row r="56" spans="2:4" x14ac:dyDescent="0.2">
      <c r="D56" s="64"/>
    </row>
    <row r="57" spans="2:4" x14ac:dyDescent="0.2">
      <c r="D57" s="64"/>
    </row>
    <row r="58" spans="2:4" x14ac:dyDescent="0.2">
      <c r="B58" s="66" t="s">
        <v>153</v>
      </c>
      <c r="D58" s="69"/>
    </row>
    <row r="59" spans="2:4" x14ac:dyDescent="0.2">
      <c r="C59" s="67"/>
      <c r="D59" s="69"/>
    </row>
    <row r="60" spans="2:4" x14ac:dyDescent="0.2">
      <c r="C60" s="68"/>
      <c r="D60" s="69"/>
    </row>
    <row r="61" spans="2:4" x14ac:dyDescent="0.2">
      <c r="C61" s="68"/>
      <c r="D61" s="69"/>
    </row>
    <row r="62" spans="2:4" x14ac:dyDescent="0.2">
      <c r="C62" s="68"/>
      <c r="D62" s="69"/>
    </row>
    <row r="63" spans="2:4" x14ac:dyDescent="0.2">
      <c r="C63" s="68"/>
      <c r="D63" s="69"/>
    </row>
    <row r="64" spans="2:4" x14ac:dyDescent="0.2">
      <c r="C64" s="68"/>
      <c r="D64" s="69"/>
    </row>
    <row r="65" spans="3:4" x14ac:dyDescent="0.2">
      <c r="C65" s="68"/>
      <c r="D65" s="69"/>
    </row>
    <row r="66" spans="3:4" x14ac:dyDescent="0.2">
      <c r="C66" s="68"/>
      <c r="D66" s="69"/>
    </row>
    <row r="67" spans="3:4" x14ac:dyDescent="0.2">
      <c r="C67" s="68"/>
      <c r="D67" s="69"/>
    </row>
    <row r="68" spans="3:4" x14ac:dyDescent="0.2">
      <c r="D68" s="69"/>
    </row>
    <row r="69" spans="3:4" x14ac:dyDescent="0.2">
      <c r="C69" s="67"/>
      <c r="D69" s="69"/>
    </row>
    <row r="70" spans="3:4" x14ac:dyDescent="0.2">
      <c r="C70" s="68"/>
      <c r="D70" s="69"/>
    </row>
    <row r="71" spans="3:4" x14ac:dyDescent="0.2">
      <c r="C71" s="68"/>
      <c r="D71" s="69"/>
    </row>
    <row r="72" spans="3:4" x14ac:dyDescent="0.2">
      <c r="C72" s="68"/>
      <c r="D72" s="69"/>
    </row>
    <row r="73" spans="3:4" x14ac:dyDescent="0.2">
      <c r="C73" s="68"/>
      <c r="D73" s="69"/>
    </row>
    <row r="74" spans="3:4" x14ac:dyDescent="0.2">
      <c r="C74" s="68"/>
      <c r="D74" s="69"/>
    </row>
    <row r="75" spans="3:4" x14ac:dyDescent="0.2">
      <c r="C75" s="68"/>
      <c r="D75" s="69"/>
    </row>
    <row r="76" spans="3:4" x14ac:dyDescent="0.2">
      <c r="D76" s="69"/>
    </row>
    <row r="77" spans="3:4" x14ac:dyDescent="0.2">
      <c r="C77" s="67"/>
      <c r="D77" s="69"/>
    </row>
    <row r="78" spans="3:4" x14ac:dyDescent="0.2">
      <c r="C78" s="68"/>
      <c r="D78" s="69"/>
    </row>
    <row r="79" spans="3:4" x14ac:dyDescent="0.2">
      <c r="C79" s="68"/>
      <c r="D79" s="69"/>
    </row>
    <row r="80" spans="3:4" x14ac:dyDescent="0.2">
      <c r="C80" s="68"/>
      <c r="D80" s="69"/>
    </row>
    <row r="81" spans="3:4" x14ac:dyDescent="0.2">
      <c r="C81" s="68"/>
      <c r="D81" s="69"/>
    </row>
    <row r="82" spans="3:4" x14ac:dyDescent="0.2">
      <c r="C82" s="68"/>
      <c r="D82" s="69"/>
    </row>
    <row r="83" spans="3:4" x14ac:dyDescent="0.2">
      <c r="C83" s="68"/>
      <c r="D83" s="69"/>
    </row>
  </sheetData>
  <sheetProtection algorithmName="SHA-512" hashValue="DygB+yvkIyak5PwPrlA96yt2C027tquRQcvisBvQnVK6K2x9Uz79SbiCbvsh7K3wIetsDCd/w4lKXbZ+cB9wcw==" saltValue="YPHk3P4WcOVakOlW1ZUZUw=="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D11"/>
  <sheetViews>
    <sheetView workbookViewId="0">
      <selection activeCell="F19" sqref="F19"/>
    </sheetView>
  </sheetViews>
  <sheetFormatPr defaultRowHeight="15" x14ac:dyDescent="0.25"/>
  <cols>
    <col min="4" max="4" width="30.42578125" bestFit="1" customWidth="1"/>
  </cols>
  <sheetData>
    <row r="6" spans="4:4" x14ac:dyDescent="0.35">
      <c r="D6" s="1" t="s">
        <v>16</v>
      </c>
    </row>
    <row r="7" spans="4:4" x14ac:dyDescent="0.35">
      <c r="D7" t="s">
        <v>11</v>
      </c>
    </row>
    <row r="8" spans="4:4" x14ac:dyDescent="0.35">
      <c r="D8" t="s">
        <v>12</v>
      </c>
    </row>
    <row r="9" spans="4:4" x14ac:dyDescent="0.35">
      <c r="D9" t="s">
        <v>13</v>
      </c>
    </row>
    <row r="10" spans="4:4" x14ac:dyDescent="0.35">
      <c r="D10" t="s">
        <v>14</v>
      </c>
    </row>
    <row r="11" spans="4:4" x14ac:dyDescent="0.35">
      <c r="D11"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 Sheet</vt:lpstr>
      <vt:lpstr>Benchmark Unit Rates</vt:lpstr>
      <vt:lpstr>Example Scenarios</vt:lpstr>
      <vt:lpstr>Operating Cost Summary</vt:lpstr>
      <vt:lpstr>Scenario Assumptions</vt:lpstr>
      <vt:lpstr>Scenario Layouts</vt:lpstr>
      <vt:lpstr>Name Ranges</vt:lpstr>
      <vt:lpstr>'Benchmark Unit Rates'!Print_Area</vt:lpstr>
      <vt:lpstr>'Cover Sheet'!Print_Area</vt:lpstr>
      <vt:lpstr>'Example Scenarios'!Print_Area</vt:lpstr>
      <vt:lpstr>Service_Names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Ryan</dc:creator>
  <cp:lastModifiedBy>Maria Tortura</cp:lastModifiedBy>
  <cp:lastPrinted>2016-09-30T04:21:48Z</cp:lastPrinted>
  <dcterms:created xsi:type="dcterms:W3CDTF">2016-09-20T03:40:10Z</dcterms:created>
  <dcterms:modified xsi:type="dcterms:W3CDTF">2016-11-22T22:14:58Z</dcterms:modified>
</cp:coreProperties>
</file>